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53.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Override PartName="/xl/drawings/drawing46.xml" ContentType="application/vnd.openxmlformats-officedocument.drawing+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42.xml" ContentType="application/vnd.openxmlformats-officedocument.drawing+xml"/>
  <Override PartName="/xl/externalLinks/externalLink1.xml" ContentType="application/vnd.openxmlformats-officedocument.spreadsheetml.externalLink+xml"/>
  <Override PartName="/xl/drawings/drawing20.xml" ContentType="application/vnd.openxmlformats-officedocument.drawing+xml"/>
  <Override PartName="/xl/drawings/drawing31.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drawings/drawing4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Override PartName="/xl/comments3.xml" ContentType="application/vnd.openxmlformats-officedocument.spreadsheetml.comments+xml"/>
  <Override PartName="/xl/drawings/drawing52.xml" ContentType="application/vnd.openxmlformats-officedocument.drawing+xml"/>
  <Override PartName="/xl/drawings/drawing12.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xl/drawings/drawing21.xml" ContentType="application/vnd.openxmlformats-officedocument.drawing+xml"/>
  <Override PartName="/xl/drawings/drawing30.xml" ContentType="application/vnd.openxmlformats-officedocument.drawing+xml"/>
  <Override PartName="/xl/drawings/drawing5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drawings/drawing48.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externalLinks/externalLink7.xml" ContentType="application/vnd.openxmlformats-officedocument.spreadsheetml.externalLink+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drawings/drawing26.xml" ContentType="application/vnd.openxmlformats-officedocument.drawing+xml"/>
  <Override PartName="/xl/drawings/drawing44.xml" ContentType="application/vnd.openxmlformats-officedocument.drawing+xml"/>
  <Override PartName="/xl/externalLinks/externalLink3.xml" ContentType="application/vnd.openxmlformats-officedocument.spreadsheetml.externalLink+xml"/>
  <Override PartName="/xl/drawings/drawing22.xml" ContentType="application/vnd.openxmlformats-officedocument.drawing+xml"/>
  <Override PartName="/xl/drawings/drawing33.xml" ContentType="application/vnd.openxmlformats-officedocument.drawing+xml"/>
  <Override PartName="/xl/comments2.xml" ContentType="application/vnd.openxmlformats-officedocument.spreadsheetml.comments+xml"/>
  <Override PartName="/xl/drawings/drawing51.xml" ContentType="application/vnd.openxmlformats-officedocument.drawing+xml"/>
  <Override PartName="/xl/worksheets/sheet1.xml" ContentType="application/vnd.openxmlformats-officedocument.spreadsheetml.worksheet+xml"/>
  <Override PartName="/xl/worksheets/sheet49.xml" ContentType="application/vnd.openxmlformats-officedocument.spreadsheetml.worksheet+xml"/>
  <Override PartName="/xl/drawings/drawing11.xml" ContentType="application/vnd.openxmlformats-officedocument.drawing+xml"/>
  <Override PartName="/xl/drawings/drawing40.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Objects="placeholders" codeName="ThisWorkbook"/>
  <bookViews>
    <workbookView xWindow="9705" yWindow="-15" windowWidth="9540" windowHeight="11325" tabRatio="911" firstSheet="7" activeTab="7"/>
  </bookViews>
  <sheets>
    <sheet name="PT TAP CHAT" sheetId="112" r:id="rId1"/>
    <sheet name="1" sheetId="98" r:id="rId2"/>
    <sheet name="2" sheetId="99" r:id="rId3"/>
    <sheet name="3" sheetId="100" r:id="rId4"/>
    <sheet name="4" sheetId="108" r:id="rId5"/>
    <sheet name="5" sheetId="101" r:id="rId6"/>
    <sheet name="6" sheetId="102" r:id="rId7"/>
    <sheet name="7" sheetId="104" r:id="rId8"/>
    <sheet name="8" sheetId="109" r:id="rId9"/>
    <sheet name="MENU" sheetId="73" r:id="rId10"/>
    <sheet name="XM.HN" sheetId="7" r:id="rId11"/>
    <sheet name="XM.FILE GOC" sheetId="10" r:id="rId12"/>
    <sheet name="1. XL-1E kh" sheetId="46" r:id="rId13"/>
    <sheet name="2. XL-1F kh" sheetId="58" r:id="rId14"/>
    <sheet name="3.XT-C KH" sheetId="60" r:id="rId15"/>
    <sheet name="XM.GUI MAIL" sheetId="24" r:id="rId16"/>
    <sheet name="1. XL-1E TT" sheetId="61" r:id="rId17"/>
    <sheet name="2. XL-1F TT " sheetId="54" r:id="rId18"/>
    <sheet name="3.XT-C TT" sheetId="56" r:id="rId19"/>
    <sheet name="4.ZN-NI tt(CA1)" sheetId="117" r:id="rId20"/>
    <sheet name="1. XL-1E TT(CA2)" sheetId="113" r:id="rId21"/>
    <sheet name="2. XL-1F TT(CA2)" sheetId="114" r:id="rId22"/>
    <sheet name="3.XT-C TT(CA2)" sheetId="115" r:id="rId23"/>
    <sheet name="4.ZN-NI tt(CA2)" sheetId="118" r:id="rId24"/>
    <sheet name="XM.chart" sheetId="62" r:id="rId25"/>
    <sheet name="XM.chart 1" sheetId="69" r:id="rId26"/>
    <sheet name="BS-XT" sheetId="119" r:id="rId27"/>
    <sheet name="ED-XI DEN" sheetId="75" r:id="rId28"/>
    <sheet name="R.HN" sheetId="76" r:id="rId29"/>
    <sheet name="R.FILE GOC" sheetId="77" r:id="rId30"/>
    <sheet name="1.xi den" sheetId="78" r:id="rId31"/>
    <sheet name="2.RL E" sheetId="79" r:id="rId32"/>
    <sheet name="3.RL G" sheetId="80" r:id="rId33"/>
    <sheet name="4.RL F" sheetId="81" r:id="rId34"/>
    <sheet name="5.ML" sheetId="82" r:id="rId35"/>
    <sheet name="1.xi den TT" sheetId="83" r:id="rId36"/>
    <sheet name="2.RL E tt" sheetId="84" r:id="rId37"/>
    <sheet name="3.RL G tt" sheetId="85" r:id="rId38"/>
    <sheet name="4.RL F tt" sheetId="86" r:id="rId39"/>
    <sheet name="5.ML tt" sheetId="87" r:id="rId40"/>
    <sheet name="R.GUI MAIL" sheetId="88" r:id="rId41"/>
    <sheet name="RL-LINE" sheetId="89" r:id="rId42"/>
    <sheet name="RL.chart" sheetId="90" r:id="rId43"/>
    <sheet name="RL.chart1" sheetId="91" r:id="rId44"/>
    <sheet name="ACID Đ.VAO" sheetId="94" r:id="rId45"/>
    <sheet name="GHI CHU" sheetId="65" r:id="rId46"/>
    <sheet name="tg import" sheetId="110" r:id="rId47"/>
    <sheet name="IT.NONG DO" sheetId="74" r:id="rId48"/>
    <sheet name="IT.NHIET DO" sheetId="92" r:id="rId49"/>
    <sheet name="4. Zn-Ni" sheetId="121" r:id="rId50"/>
    <sheet name="3'.XT-C KH-HL" sheetId="122" r:id="rId51"/>
    <sheet name="3''.XT-C KH-JC " sheetId="120" r:id="rId52"/>
    <sheet name="SOP HOA NGHIEM" sheetId="123" r:id="rId53"/>
  </sheets>
  <externalReferences>
    <externalReference r:id="rId54"/>
    <externalReference r:id="rId55"/>
    <externalReference r:id="rId56"/>
    <externalReference r:id="rId57"/>
    <externalReference r:id="rId58"/>
    <externalReference r:id="rId59"/>
    <externalReference r:id="rId60"/>
  </externalReferences>
  <definedNames>
    <definedName name="_NEW2">[1]吊電B線入出料標準數據!$B$4:$P$4003</definedName>
    <definedName name="_XM_XT_THUCTE" localSheetId="26">'[2]XM.GUI MAIL'!$A$6:$AQ$108</definedName>
    <definedName name="_XM_XT_THUCTE" localSheetId="52">'SOP HOA NGHIEM'!$B$3:$B$41</definedName>
    <definedName name="_XM_XT_THUCTE">'XM.GUI MAIL'!$A$6:$AW$121</definedName>
    <definedName name="AB" localSheetId="20">#REF!</definedName>
    <definedName name="AB" localSheetId="21">#REF!</definedName>
    <definedName name="AB" localSheetId="50">#REF!</definedName>
    <definedName name="AB" localSheetId="51">#REF!</definedName>
    <definedName name="AB" localSheetId="22">#REF!</definedName>
    <definedName name="AB" localSheetId="49">#REF!</definedName>
    <definedName name="AB" localSheetId="19">#REF!</definedName>
    <definedName name="AB" localSheetId="23">#REF!</definedName>
    <definedName name="AB" localSheetId="26">#REF!</definedName>
    <definedName name="AB" localSheetId="52">#REF!</definedName>
    <definedName name="AB">#REF!</definedName>
    <definedName name="abcd" localSheetId="1">#REF!</definedName>
    <definedName name="abcd" localSheetId="2">#REF!</definedName>
    <definedName name="abcd" localSheetId="3">#REF!</definedName>
    <definedName name="abcd" localSheetId="4">#REF!</definedName>
    <definedName name="abcd" localSheetId="19">#REF!</definedName>
    <definedName name="abcd" localSheetId="23">#REF!</definedName>
    <definedName name="abcd" localSheetId="5">#REF!</definedName>
    <definedName name="abcd" localSheetId="6">#REF!</definedName>
    <definedName name="abcd" localSheetId="7">#REF!</definedName>
    <definedName name="abcd" localSheetId="8">#REF!</definedName>
    <definedName name="CCC" localSheetId="20">#REF!</definedName>
    <definedName name="CCC" localSheetId="21">#REF!</definedName>
    <definedName name="CCC" localSheetId="50">#REF!</definedName>
    <definedName name="CCC" localSheetId="51">#REF!</definedName>
    <definedName name="CCC" localSheetId="22">#REF!</definedName>
    <definedName name="CCC" localSheetId="49">#REF!</definedName>
    <definedName name="CCC" localSheetId="19">#REF!</definedName>
    <definedName name="CCC" localSheetId="23">#REF!</definedName>
    <definedName name="CCC" localSheetId="26">#REF!</definedName>
    <definedName name="CCC" localSheetId="52">#REF!</definedName>
    <definedName name="CCC">#REF!</definedName>
    <definedName name="CXXTA" localSheetId="20">#REF!</definedName>
    <definedName name="CXXTA" localSheetId="21">#REF!</definedName>
    <definedName name="CXXTA" localSheetId="50">#REF!</definedName>
    <definedName name="CXXTA" localSheetId="51">#REF!</definedName>
    <definedName name="CXXTA" localSheetId="22">#REF!</definedName>
    <definedName name="CXXTA" localSheetId="49">#REF!</definedName>
    <definedName name="CXXTA" localSheetId="19">#REF!</definedName>
    <definedName name="CXXTA" localSheetId="23">#REF!</definedName>
    <definedName name="CXXTA" localSheetId="26">#REF!</definedName>
    <definedName name="CXXTA" localSheetId="52">#REF!</definedName>
    <definedName name="CXXTA">#REF!</definedName>
    <definedName name="CXXTB">[1]吊電B線入出料標準數據!$B$3:$P$428</definedName>
    <definedName name="HUANGHAIDONGA" localSheetId="20">#REF!</definedName>
    <definedName name="HUANGHAIDONGA" localSheetId="21">#REF!</definedName>
    <definedName name="HUANGHAIDONGA" localSheetId="50">#REF!</definedName>
    <definedName name="HUANGHAIDONGA" localSheetId="51">#REF!</definedName>
    <definedName name="HUANGHAIDONGA" localSheetId="22">#REF!</definedName>
    <definedName name="HUANGHAIDONGA" localSheetId="49">#REF!</definedName>
    <definedName name="HUANGHAIDONGA" localSheetId="19">#REF!</definedName>
    <definedName name="HUANGHAIDONGA" localSheetId="23">#REF!</definedName>
    <definedName name="HUANGHAIDONGA" localSheetId="26">#REF!</definedName>
    <definedName name="HUANGHAIDONGA" localSheetId="52">#REF!</definedName>
    <definedName name="HUANGHAIDONGA">#REF!</definedName>
    <definedName name="HUANGHAIDONGB">[1]吊電B線入出料標準數據!$A$3:$P$428</definedName>
    <definedName name="PartNo">[3]All!$B$5:$Q$65536</definedName>
    <definedName name="_xlnm.Print_Area" localSheetId="12">'1. XL-1E kh'!$A$1:$AG$79</definedName>
    <definedName name="_xlnm.Print_Area" localSheetId="13">'2. XL-1F kh'!$A$1:$AG$75</definedName>
    <definedName name="_xlnm.Print_Area" localSheetId="31">'2.RL E'!$A$1:$S$42</definedName>
    <definedName name="_xlnm.Print_Area" localSheetId="36">'2.RL E tt'!$A$1:$S$44</definedName>
    <definedName name="_xlnm.Print_Area" localSheetId="32">'3.RL G'!$A$1:$Q$35</definedName>
    <definedName name="_xlnm.Print_Area" localSheetId="37">'3.RL G tt'!$A$1:$Q$35</definedName>
    <definedName name="_xlnm.Print_Area" localSheetId="50">'3''.XT-C KH-HL'!$A$1:$AG$83</definedName>
    <definedName name="_xlnm.Print_Area" localSheetId="51">'3''''.XT-C KH-JC '!$A$1:$AG$83</definedName>
    <definedName name="_xlnm.Print_Area" localSheetId="49">'4. Zn-Ni'!$A$1:$AG$67</definedName>
    <definedName name="_xlnm.Print_Area" localSheetId="33">'4.RL F'!$A$1:$R$42</definedName>
    <definedName name="_xlnm.Print_Area" localSheetId="38">'4.RL F tt'!$A$1:$R$44</definedName>
    <definedName name="_xlnm.Print_Area" localSheetId="19">'4.ZN-NI tt(CA1)'!$A$1:$T$21</definedName>
    <definedName name="_xlnm.Print_Area" localSheetId="23">'4.ZN-NI tt(CA2)'!$A$1:$T$21</definedName>
    <definedName name="_xlnm.Print_Area" localSheetId="34">'5.ML'!$A$1:$R$33</definedName>
    <definedName name="_xlnm.Print_Area" localSheetId="39">'5.ML tt'!$A$1:$R$33</definedName>
    <definedName name="_xlnm.Print_Area" localSheetId="44">'ACID Đ.VAO'!$C$1:$I$8</definedName>
    <definedName name="_xlnm.Print_Area" localSheetId="0">'PT TAP CHAT'!$B$1:$G$79</definedName>
    <definedName name="RLMLXD" localSheetId="26">'[2]R.GUI MAIL'!$A$6:$AQ$114</definedName>
    <definedName name="RLMLXD">'R.GUI MAIL'!$A$6:$AQ$114</definedName>
    <definedName name="sss">'[4]附表-01'!$A$2:$L$1662</definedName>
    <definedName name="WUJIWEI" localSheetId="20">#REF!</definedName>
    <definedName name="WUJIWEI" localSheetId="21">#REF!</definedName>
    <definedName name="WUJIWEI" localSheetId="50">#REF!</definedName>
    <definedName name="WUJIWEI" localSheetId="51">#REF!</definedName>
    <definedName name="WUJIWEI" localSheetId="22">#REF!</definedName>
    <definedName name="WUJIWEI" localSheetId="49">#REF!</definedName>
    <definedName name="WUJIWEI" localSheetId="19">#REF!</definedName>
    <definedName name="WUJIWEI" localSheetId="23">#REF!</definedName>
    <definedName name="WUJIWEI" localSheetId="26">#REF!</definedName>
    <definedName name="WUJIWEI" localSheetId="52">#REF!</definedName>
    <definedName name="WUJIWEI">#REF!</definedName>
    <definedName name="XTB123" localSheetId="20">[5]輸入!#REF!</definedName>
    <definedName name="XTB123" localSheetId="21">[5]輸入!#REF!</definedName>
    <definedName name="XTB123" localSheetId="50">[5]輸入!#REF!</definedName>
    <definedName name="XTB123" localSheetId="51">[5]輸入!#REF!</definedName>
    <definedName name="XTB123" localSheetId="22">[5]輸入!#REF!</definedName>
    <definedName name="XTB123" localSheetId="49">[5]輸入!#REF!</definedName>
    <definedName name="XTB123" localSheetId="19">[5]輸入!#REF!</definedName>
    <definedName name="XTB123" localSheetId="23">[5]輸入!#REF!</definedName>
    <definedName name="XTB123" localSheetId="26">[5]輸入!#REF!</definedName>
    <definedName name="XTB123" localSheetId="52">[5]輸入!#REF!</definedName>
    <definedName name="XTB123">[5]輸入!#REF!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AV60" i="24"/>
  <c r="AS60"/>
  <c r="AV59"/>
  <c r="AS59"/>
  <c r="AO60"/>
  <c r="AL60"/>
  <c r="AO59"/>
  <c r="AL59"/>
  <c r="AH60"/>
  <c r="AE60"/>
  <c r="AH59"/>
  <c r="AE59"/>
  <c r="AS60" i="10"/>
  <c r="AS59"/>
  <c r="AL60"/>
  <c r="AL59"/>
  <c r="AE60"/>
  <c r="AE59"/>
  <c r="X60" i="24"/>
  <c r="X59"/>
  <c r="AD18" i="54"/>
  <c r="AH12" i="56"/>
  <c r="AH10"/>
  <c r="AH8"/>
  <c r="AH6"/>
  <c r="X60" i="10"/>
  <c r="X59"/>
  <c r="Q60" i="24" l="1"/>
  <c r="Q59"/>
  <c r="AR129" i="10"/>
  <c r="AK129"/>
  <c r="W129"/>
  <c r="P129"/>
  <c r="I129"/>
  <c r="Q60"/>
  <c r="J74" i="7" l="1"/>
  <c r="K74"/>
  <c r="L74"/>
  <c r="M74"/>
  <c r="N74"/>
  <c r="O74"/>
  <c r="AR102" i="24"/>
  <c r="AS102" s="1"/>
  <c r="AU102" s="1"/>
  <c r="AL102"/>
  <c r="AN102" s="1"/>
  <c r="AK102"/>
  <c r="AD102"/>
  <c r="AE102" s="1"/>
  <c r="AG102" s="1"/>
  <c r="W102"/>
  <c r="X102" s="1"/>
  <c r="Z102" s="1"/>
  <c r="P102"/>
  <c r="Q102" s="1"/>
  <c r="S102" s="1"/>
  <c r="I102"/>
  <c r="J102" s="1"/>
  <c r="L102" s="1"/>
  <c r="AR102" i="10"/>
  <c r="AK102"/>
  <c r="W102"/>
  <c r="P102"/>
  <c r="I102"/>
  <c r="AJ129" i="24"/>
  <c r="M129"/>
  <c r="E129"/>
  <c r="F129"/>
  <c r="AQ129" i="10"/>
  <c r="AJ129"/>
  <c r="AC129"/>
  <c r="V129"/>
  <c r="O129"/>
  <c r="AQ102"/>
  <c r="AJ102"/>
  <c r="AC102"/>
  <c r="AD129" s="1"/>
  <c r="V102"/>
  <c r="O102"/>
  <c r="H102"/>
  <c r="AQ102" i="24"/>
  <c r="AJ102"/>
  <c r="AC102"/>
  <c r="V102"/>
  <c r="O102"/>
  <c r="H102"/>
  <c r="E102" i="10"/>
  <c r="E129" s="1"/>
  <c r="F102"/>
  <c r="F129" s="1"/>
  <c r="G102"/>
  <c r="F30" i="75"/>
  <c r="C31" s="1"/>
  <c r="F31" s="1"/>
  <c r="C32" s="1"/>
  <c r="F32" s="1"/>
  <c r="C33" s="1"/>
  <c r="F33" s="1"/>
  <c r="C34" s="1"/>
  <c r="C35" s="1"/>
  <c r="AI60" i="77"/>
  <c r="AI66"/>
  <c r="AI69"/>
  <c r="AI70"/>
  <c r="N57"/>
  <c r="G89" i="10"/>
  <c r="G90"/>
  <c r="G91"/>
  <c r="G92"/>
  <c r="G93"/>
  <c r="AV92" i="24"/>
  <c r="AV93"/>
  <c r="AV94"/>
  <c r="AV90"/>
  <c r="AV91"/>
  <c r="AO90"/>
  <c r="AO91"/>
  <c r="AO92"/>
  <c r="AO93"/>
  <c r="AH90"/>
  <c r="AH91"/>
  <c r="AH92"/>
  <c r="AH93"/>
  <c r="AA90"/>
  <c r="AA91"/>
  <c r="AA92"/>
  <c r="AA93"/>
  <c r="T90"/>
  <c r="T91"/>
  <c r="T92"/>
  <c r="M90"/>
  <c r="M91"/>
  <c r="M92"/>
  <c r="AG58" i="77"/>
  <c r="AG59"/>
  <c r="AG60"/>
  <c r="AG61"/>
  <c r="AG62"/>
  <c r="AG63"/>
  <c r="AG64"/>
  <c r="AG65"/>
  <c r="AG66"/>
  <c r="AG67"/>
  <c r="AG68"/>
  <c r="AG69"/>
  <c r="AG70"/>
  <c r="AG71"/>
  <c r="AG72"/>
  <c r="AY22" i="10"/>
  <c r="AY15"/>
  <c r="AG57" i="77"/>
  <c r="AR128" i="10"/>
  <c r="AK128"/>
  <c r="AD128"/>
  <c r="W128"/>
  <c r="P128"/>
  <c r="I128"/>
  <c r="O18" i="60"/>
  <c r="AD102" i="10" l="1"/>
  <c r="I129" i="24"/>
  <c r="J129" s="1"/>
  <c r="AE19" i="60"/>
  <c r="O19"/>
  <c r="H59" i="7"/>
  <c r="I59"/>
  <c r="H60"/>
  <c r="I60"/>
  <c r="H61"/>
  <c r="I61"/>
  <c r="I62"/>
  <c r="H62"/>
  <c r="AC49" i="121"/>
  <c r="AC48"/>
  <c r="U49"/>
  <c r="U48"/>
  <c r="M49"/>
  <c r="M48"/>
  <c r="AC15"/>
  <c r="AC14"/>
  <c r="U15"/>
  <c r="U14"/>
  <c r="M15"/>
  <c r="M14"/>
  <c r="BM49" i="60"/>
  <c r="BM48"/>
  <c r="BM7"/>
  <c r="BM6"/>
  <c r="BE7"/>
  <c r="BE6"/>
  <c r="AW7"/>
  <c r="AW6"/>
  <c r="O14" i="121"/>
  <c r="BI54" i="60"/>
  <c r="AA63" i="121" s="1"/>
  <c r="BG54" i="60"/>
  <c r="Y63" i="121" s="1"/>
  <c r="BA54" i="60"/>
  <c r="S63" i="121" s="1"/>
  <c r="AY54" i="60"/>
  <c r="Q63" i="121" s="1"/>
  <c r="AS54" i="60"/>
  <c r="K63" i="121" s="1"/>
  <c r="AQ54" i="60"/>
  <c r="I63" i="121" s="1"/>
  <c r="AP54" i="60"/>
  <c r="AO54"/>
  <c r="BI53"/>
  <c r="AA62" i="121" s="1"/>
  <c r="BG53" i="60"/>
  <c r="Y62" i="121" s="1"/>
  <c r="BA53" i="60"/>
  <c r="S62" i="121" s="1"/>
  <c r="AY53" i="60"/>
  <c r="Q62" i="121" s="1"/>
  <c r="K62"/>
  <c r="AQ53" i="60"/>
  <c r="I62" i="121" s="1"/>
  <c r="AP53" i="60"/>
  <c r="AO53"/>
  <c r="AP50"/>
  <c r="AO50"/>
  <c r="AP49"/>
  <c r="AO49"/>
  <c r="AP48"/>
  <c r="AO48"/>
  <c r="BL45"/>
  <c r="AQ45"/>
  <c r="AP45"/>
  <c r="BI12"/>
  <c r="AA29" i="121" s="1"/>
  <c r="BG12" i="60"/>
  <c r="Y29" i="121" s="1"/>
  <c r="BA12" i="60"/>
  <c r="S29" i="121" s="1"/>
  <c r="AY12" i="60"/>
  <c r="Q29" i="121" s="1"/>
  <c r="AS12" i="60"/>
  <c r="K29" i="121" s="1"/>
  <c r="AQ12" i="60"/>
  <c r="I29" i="121" s="1"/>
  <c r="AP12" i="60"/>
  <c r="AO12"/>
  <c r="BI11"/>
  <c r="AA28" i="121" s="1"/>
  <c r="BG11" i="60"/>
  <c r="Y28" i="121" s="1"/>
  <c r="BA11" i="60"/>
  <c r="S28" i="121" s="1"/>
  <c r="AY11" i="60"/>
  <c r="Q28" i="121" s="1"/>
  <c r="AS11" i="60"/>
  <c r="K28" i="121" s="1"/>
  <c r="AQ11" i="60"/>
  <c r="I28" i="121" s="1"/>
  <c r="AP11" i="60"/>
  <c r="AO11"/>
  <c r="AP8"/>
  <c r="AO8"/>
  <c r="AP7"/>
  <c r="AO7"/>
  <c r="AP6"/>
  <c r="AO6"/>
  <c r="BL3"/>
  <c r="AQ3"/>
  <c r="AP3"/>
  <c r="T93" i="24" l="1"/>
  <c r="E90" i="10"/>
  <c r="F90"/>
  <c r="E91"/>
  <c r="F91"/>
  <c r="E92"/>
  <c r="F92"/>
  <c r="E93"/>
  <c r="F93"/>
  <c r="G21" i="120" l="1"/>
  <c r="G63"/>
  <c r="G20"/>
  <c r="G62"/>
  <c r="G19"/>
  <c r="G61"/>
  <c r="G18"/>
  <c r="G60"/>
  <c r="H21"/>
  <c r="H63"/>
  <c r="H20"/>
  <c r="H62"/>
  <c r="H19"/>
  <c r="H61"/>
  <c r="H18"/>
  <c r="H60"/>
  <c r="D215" i="62"/>
  <c r="E215"/>
  <c r="F215"/>
  <c r="G215"/>
  <c r="H215"/>
  <c r="I215"/>
  <c r="H21" i="122"/>
  <c r="G21"/>
  <c r="H20"/>
  <c r="G20"/>
  <c r="H19"/>
  <c r="G19"/>
  <c r="H18"/>
  <c r="G18"/>
  <c r="H63"/>
  <c r="G63"/>
  <c r="H62"/>
  <c r="G62"/>
  <c r="H61"/>
  <c r="G61"/>
  <c r="H60"/>
  <c r="G60"/>
  <c r="H54" i="121"/>
  <c r="G54"/>
  <c r="H53"/>
  <c r="G53"/>
  <c r="H52"/>
  <c r="G52"/>
  <c r="H51"/>
  <c r="G51"/>
  <c r="H20"/>
  <c r="G20"/>
  <c r="H19"/>
  <c r="G19"/>
  <c r="H18"/>
  <c r="G18"/>
  <c r="H17"/>
  <c r="G17"/>
  <c r="H21" i="115"/>
  <c r="G21"/>
  <c r="H20"/>
  <c r="G20"/>
  <c r="H19"/>
  <c r="G19"/>
  <c r="H18"/>
  <c r="G18"/>
  <c r="G18" i="56"/>
  <c r="H18"/>
  <c r="G19"/>
  <c r="H19"/>
  <c r="G20"/>
  <c r="H20"/>
  <c r="H21"/>
  <c r="G21"/>
  <c r="H21" i="60"/>
  <c r="G21"/>
  <c r="H20"/>
  <c r="G20"/>
  <c r="H19"/>
  <c r="G19"/>
  <c r="H18"/>
  <c r="G18"/>
  <c r="H63"/>
  <c r="H62"/>
  <c r="H61"/>
  <c r="H60"/>
  <c r="G63"/>
  <c r="G62"/>
  <c r="G61"/>
  <c r="G60"/>
  <c r="AQ90" i="24"/>
  <c r="AR90" s="1"/>
  <c r="AJ90"/>
  <c r="AK90" s="1"/>
  <c r="AC90"/>
  <c r="AD90" s="1"/>
  <c r="V90"/>
  <c r="W90" s="1"/>
  <c r="L59" i="7" s="1"/>
  <c r="O90" i="24"/>
  <c r="P90" s="1"/>
  <c r="K59" i="7" s="1"/>
  <c r="H90" i="24"/>
  <c r="I90" s="1"/>
  <c r="AQ90" i="10"/>
  <c r="AJ90"/>
  <c r="AC90"/>
  <c r="V90"/>
  <c r="O90"/>
  <c r="H90"/>
  <c r="I18" i="120" s="1"/>
  <c r="M18" s="1"/>
  <c r="O18" s="1"/>
  <c r="S66" i="122"/>
  <c r="AA66"/>
  <c r="K24"/>
  <c r="S24"/>
  <c r="AA24"/>
  <c r="AC58"/>
  <c r="U58"/>
  <c r="M58"/>
  <c r="O58" s="1"/>
  <c r="W58"/>
  <c r="AE58"/>
  <c r="AC16"/>
  <c r="AE16" s="1"/>
  <c r="U16"/>
  <c r="W16" s="1"/>
  <c r="M16"/>
  <c r="O16" s="1"/>
  <c r="Y76"/>
  <c r="Q76"/>
  <c r="I76"/>
  <c r="H66"/>
  <c r="G66"/>
  <c r="H65"/>
  <c r="G65"/>
  <c r="AC57"/>
  <c r="AE57" s="1"/>
  <c r="U57"/>
  <c r="W57" s="1"/>
  <c r="M57"/>
  <c r="O57" s="1"/>
  <c r="AC56"/>
  <c r="AE56" s="1"/>
  <c r="U56"/>
  <c r="W56" s="1"/>
  <c r="M56"/>
  <c r="O56" s="1"/>
  <c r="AC55"/>
  <c r="U55"/>
  <c r="M55"/>
  <c r="AC54"/>
  <c r="AE54" s="1"/>
  <c r="U54"/>
  <c r="M54"/>
  <c r="O54" s="1"/>
  <c r="AC53"/>
  <c r="U53"/>
  <c r="M53"/>
  <c r="AC52"/>
  <c r="AE53" s="1"/>
  <c r="U52"/>
  <c r="W53" s="1"/>
  <c r="M52"/>
  <c r="O53" s="1"/>
  <c r="AC51"/>
  <c r="U51"/>
  <c r="M51"/>
  <c r="AC50"/>
  <c r="AE50" s="1"/>
  <c r="U50"/>
  <c r="W51" s="1"/>
  <c r="M50"/>
  <c r="O50" s="1"/>
  <c r="AC49"/>
  <c r="U49"/>
  <c r="M49"/>
  <c r="AC48"/>
  <c r="AE49" s="1"/>
  <c r="U48"/>
  <c r="W49" s="1"/>
  <c r="M48"/>
  <c r="O49" s="1"/>
  <c r="AD45"/>
  <c r="I45"/>
  <c r="H45"/>
  <c r="Y34"/>
  <c r="Q34"/>
  <c r="I34"/>
  <c r="H24"/>
  <c r="G24"/>
  <c r="H23"/>
  <c r="G23"/>
  <c r="AC15"/>
  <c r="AE15" s="1"/>
  <c r="U15"/>
  <c r="W15" s="1"/>
  <c r="M15"/>
  <c r="O15" s="1"/>
  <c r="AC14"/>
  <c r="AE14" s="1"/>
  <c r="U14"/>
  <c r="W14" s="1"/>
  <c r="M14"/>
  <c r="O14" s="1"/>
  <c r="AC13"/>
  <c r="U13"/>
  <c r="M13"/>
  <c r="AC12"/>
  <c r="AE13" s="1"/>
  <c r="U12"/>
  <c r="M12"/>
  <c r="O13" s="1"/>
  <c r="AC11"/>
  <c r="U11"/>
  <c r="M11"/>
  <c r="AC10"/>
  <c r="AE10" s="1"/>
  <c r="U10"/>
  <c r="M10"/>
  <c r="O10" s="1"/>
  <c r="AC9"/>
  <c r="U9"/>
  <c r="M9"/>
  <c r="AC8"/>
  <c r="AE9" s="1"/>
  <c r="U8"/>
  <c r="M8"/>
  <c r="AC7"/>
  <c r="U7"/>
  <c r="M7"/>
  <c r="AC6"/>
  <c r="AE6" s="1"/>
  <c r="U6"/>
  <c r="M6"/>
  <c r="O6" s="1"/>
  <c r="AD3"/>
  <c r="I3"/>
  <c r="H3"/>
  <c r="E73" i="112"/>
  <c r="E74"/>
  <c r="E68"/>
  <c r="E69"/>
  <c r="D69"/>
  <c r="E57"/>
  <c r="E58"/>
  <c r="E62"/>
  <c r="E63"/>
  <c r="D50"/>
  <c r="E42"/>
  <c r="E43"/>
  <c r="D42"/>
  <c r="E35"/>
  <c r="E36"/>
  <c r="D36"/>
  <c r="E30"/>
  <c r="E31"/>
  <c r="E23"/>
  <c r="E24"/>
  <c r="E17"/>
  <c r="E16"/>
  <c r="E12"/>
  <c r="E11"/>
  <c r="E5"/>
  <c r="E4"/>
  <c r="D63"/>
  <c r="D62"/>
  <c r="AE3" i="83"/>
  <c r="AI3" i="78"/>
  <c r="AC26" i="83"/>
  <c r="AC27"/>
  <c r="AC28"/>
  <c r="AC29"/>
  <c r="AC30"/>
  <c r="AC31"/>
  <c r="Y26"/>
  <c r="Y27"/>
  <c r="Y28"/>
  <c r="Y29"/>
  <c r="Y30"/>
  <c r="Y31"/>
  <c r="AC25"/>
  <c r="Y25"/>
  <c r="Y22"/>
  <c r="Y21"/>
  <c r="AA20"/>
  <c r="AE20" s="1"/>
  <c r="Y20"/>
  <c r="AC20" s="1"/>
  <c r="AA19"/>
  <c r="AE19" s="1"/>
  <c r="Y19"/>
  <c r="AC19" s="1"/>
  <c r="AA18"/>
  <c r="Y18"/>
  <c r="AA17"/>
  <c r="Y17"/>
  <c r="AC16"/>
  <c r="Y16"/>
  <c r="AC15"/>
  <c r="AC14"/>
  <c r="Y14"/>
  <c r="AE13"/>
  <c r="AC13"/>
  <c r="AA13"/>
  <c r="X3"/>
  <c r="W3"/>
  <c r="AH26" i="78"/>
  <c r="AH27"/>
  <c r="AH28"/>
  <c r="AH29"/>
  <c r="AH30"/>
  <c r="AH31"/>
  <c r="AH25"/>
  <c r="AG26"/>
  <c r="AG27"/>
  <c r="AG28"/>
  <c r="AG29"/>
  <c r="AG30"/>
  <c r="AG31"/>
  <c r="AG25"/>
  <c r="AD26"/>
  <c r="AD27"/>
  <c r="AD28"/>
  <c r="AD29"/>
  <c r="AD30"/>
  <c r="AD31"/>
  <c r="AD25"/>
  <c r="AC26"/>
  <c r="AC27"/>
  <c r="AC28"/>
  <c r="AC29"/>
  <c r="AC30"/>
  <c r="AC31"/>
  <c r="AC25"/>
  <c r="AI14"/>
  <c r="AE14"/>
  <c r="AE15"/>
  <c r="AE20"/>
  <c r="AE19"/>
  <c r="AE18"/>
  <c r="AE17"/>
  <c r="AG16"/>
  <c r="AC16"/>
  <c r="AB3"/>
  <c r="AA3"/>
  <c r="AK1"/>
  <c r="Z65" i="77"/>
  <c r="AY14" i="10" s="1"/>
  <c r="Z64" i="77"/>
  <c r="AY13" i="10" s="1"/>
  <c r="Y58" i="77"/>
  <c r="Y59"/>
  <c r="Y60"/>
  <c r="Y61"/>
  <c r="Y62"/>
  <c r="Y63"/>
  <c r="T65"/>
  <c r="AC15" i="78" s="1"/>
  <c r="T64" i="77"/>
  <c r="AC14" i="78" s="1"/>
  <c r="Z58" i="77"/>
  <c r="AY7" i="10" s="1"/>
  <c r="Z59" i="77"/>
  <c r="AY8" i="10" s="1"/>
  <c r="Z60" i="77"/>
  <c r="AY9" i="10" s="1"/>
  <c r="Z61" i="77"/>
  <c r="AY10" i="10" s="1"/>
  <c r="Z62" i="77"/>
  <c r="AY11" i="10" s="1"/>
  <c r="Z63" i="77"/>
  <c r="Y57"/>
  <c r="Z66"/>
  <c r="AA61"/>
  <c r="AC61" s="1"/>
  <c r="AI11" i="78" s="1"/>
  <c r="AA60" i="77"/>
  <c r="AC60" s="1"/>
  <c r="AI10" i="78" s="1"/>
  <c r="AA58" i="77"/>
  <c r="AC58" s="1"/>
  <c r="AI8" i="78" s="1"/>
  <c r="Z57" i="77"/>
  <c r="T66"/>
  <c r="AC81" i="88"/>
  <c r="AD31" i="83" s="1"/>
  <c r="W81" i="88"/>
  <c r="Z31" i="83" s="1"/>
  <c r="AC80" i="88"/>
  <c r="AD30" i="83" s="1"/>
  <c r="Z80" i="88"/>
  <c r="W80"/>
  <c r="Z30" i="83" s="1"/>
  <c r="T80" i="88"/>
  <c r="AC79"/>
  <c r="AD29" i="83" s="1"/>
  <c r="Z79" i="88"/>
  <c r="W79"/>
  <c r="Z29" i="83" s="1"/>
  <c r="T79" i="88"/>
  <c r="AC78"/>
  <c r="AD28" i="83" s="1"/>
  <c r="Z78" i="88"/>
  <c r="W78"/>
  <c r="Z28" i="83" s="1"/>
  <c r="T78" i="88"/>
  <c r="AC77"/>
  <c r="AD27" i="83" s="1"/>
  <c r="Z77" i="88"/>
  <c r="W77"/>
  <c r="Z27" i="83" s="1"/>
  <c r="T77" i="88"/>
  <c r="AC76"/>
  <c r="AD26" i="83" s="1"/>
  <c r="Z76" i="88"/>
  <c r="W76"/>
  <c r="Z26" i="83" s="1"/>
  <c r="T76" i="88"/>
  <c r="AC75"/>
  <c r="AD25" i="83" s="1"/>
  <c r="Z75" i="88"/>
  <c r="W75"/>
  <c r="Z25" i="83" s="1"/>
  <c r="T75" i="88"/>
  <c r="Z65"/>
  <c r="AA65" s="1"/>
  <c r="Z64"/>
  <c r="Z63"/>
  <c r="T65"/>
  <c r="T64"/>
  <c r="T63"/>
  <c r="U63" s="1"/>
  <c r="Y65"/>
  <c r="Y15" i="83" s="1"/>
  <c r="Y58" i="88"/>
  <c r="Y59"/>
  <c r="Z59" s="1"/>
  <c r="AC9" i="83" s="1"/>
  <c r="Y60" i="88"/>
  <c r="Y61"/>
  <c r="Z61" s="1"/>
  <c r="AC11" i="83" s="1"/>
  <c r="Y62" i="88"/>
  <c r="Y63"/>
  <c r="Y13" i="83" s="1"/>
  <c r="Y57" i="88"/>
  <c r="Z57" s="1"/>
  <c r="AC7" i="83" s="1"/>
  <c r="Z66" i="88"/>
  <c r="Z62"/>
  <c r="AC12" i="83" s="1"/>
  <c r="Z60" i="88"/>
  <c r="AA60" s="1"/>
  <c r="AC60" s="1"/>
  <c r="AE10" i="83" s="1"/>
  <c r="Z58" i="88"/>
  <c r="AC8" i="83" s="1"/>
  <c r="T66" i="88"/>
  <c r="U65"/>
  <c r="I96" i="24"/>
  <c r="C89" i="10"/>
  <c r="C128" i="24"/>
  <c r="C96"/>
  <c r="C89"/>
  <c r="C60"/>
  <c r="C54"/>
  <c r="C25"/>
  <c r="C19"/>
  <c r="AQ92" i="10"/>
  <c r="AJ92"/>
  <c r="AC92"/>
  <c r="V92"/>
  <c r="O92"/>
  <c r="H92"/>
  <c r="I92" s="1"/>
  <c r="I20" i="120" s="1"/>
  <c r="M20" s="1"/>
  <c r="O20" s="1"/>
  <c r="AQ92" i="24"/>
  <c r="AR92" s="1"/>
  <c r="O61" i="7" s="1"/>
  <c r="AJ92" i="24"/>
  <c r="AK92" s="1"/>
  <c r="N61" i="7" s="1"/>
  <c r="AC92" i="24"/>
  <c r="AD92" s="1"/>
  <c r="M61" i="7" s="1"/>
  <c r="V92" i="24"/>
  <c r="W92" s="1"/>
  <c r="L61" i="7" s="1"/>
  <c r="O92" i="24"/>
  <c r="L10" i="65"/>
  <c r="H92" i="24"/>
  <c r="I92" s="1"/>
  <c r="J61" i="7" s="1"/>
  <c r="F225" i="62"/>
  <c r="E225"/>
  <c r="D225"/>
  <c r="I225"/>
  <c r="H225"/>
  <c r="G225"/>
  <c r="W7" i="122" l="1"/>
  <c r="AA59" i="77"/>
  <c r="AC59" s="1"/>
  <c r="AI9" i="78" s="1"/>
  <c r="AA62" i="77"/>
  <c r="AC62" s="1"/>
  <c r="AI12" i="78" s="1"/>
  <c r="AA57" i="77"/>
  <c r="AC57" s="1"/>
  <c r="AI7" i="78" s="1"/>
  <c r="AY6" i="10"/>
  <c r="AA63" i="77"/>
  <c r="AC63" s="1"/>
  <c r="AI13" i="78" s="1"/>
  <c r="AY12" i="10"/>
  <c r="X90"/>
  <c r="Z90" s="1"/>
  <c r="AA17" i="121" s="1"/>
  <c r="Y18" i="120"/>
  <c r="AC18" s="1"/>
  <c r="AE18" s="1"/>
  <c r="AL90" i="10"/>
  <c r="AN90" s="1"/>
  <c r="S60" i="120" s="1"/>
  <c r="Q60"/>
  <c r="U60" s="1"/>
  <c r="W60" s="1"/>
  <c r="Q90" i="10"/>
  <c r="S90" s="1"/>
  <c r="S17" i="121" s="1"/>
  <c r="Q18" i="120"/>
  <c r="U18" s="1"/>
  <c r="W18" s="1"/>
  <c r="AE90" i="10"/>
  <c r="AG90" s="1"/>
  <c r="K60" i="120" s="1"/>
  <c r="I60"/>
  <c r="M60" s="1"/>
  <c r="O60" s="1"/>
  <c r="AS90" i="10"/>
  <c r="AU90" s="1"/>
  <c r="AA60" i="120" s="1"/>
  <c r="Y60"/>
  <c r="AC60" s="1"/>
  <c r="AE60" s="1"/>
  <c r="I18" i="122"/>
  <c r="M18" s="1"/>
  <c r="O18" s="1"/>
  <c r="J90" i="10"/>
  <c r="I18" i="56"/>
  <c r="D126" i="69" s="1"/>
  <c r="J59" i="7"/>
  <c r="AE90" i="24"/>
  <c r="AG90" s="1"/>
  <c r="K18" i="115" s="1"/>
  <c r="G159" i="69" s="1"/>
  <c r="M59" i="7"/>
  <c r="AL90" i="24"/>
  <c r="N59" i="7"/>
  <c r="AS90" i="24"/>
  <c r="AU90" s="1"/>
  <c r="S18" i="115" s="1"/>
  <c r="I159" i="69" s="1"/>
  <c r="O59" i="7"/>
  <c r="AG10" i="78"/>
  <c r="Q20" i="56"/>
  <c r="F128" i="69" s="1"/>
  <c r="X92" i="24"/>
  <c r="AE92"/>
  <c r="AS92"/>
  <c r="AU92" s="1"/>
  <c r="S20" i="115" s="1"/>
  <c r="I161" i="69" s="1"/>
  <c r="I20" i="60"/>
  <c r="J92" i="10"/>
  <c r="W92"/>
  <c r="Y19" i="121" s="1"/>
  <c r="AC19" s="1"/>
  <c r="AE19" s="1"/>
  <c r="AK92" i="10"/>
  <c r="Y18" i="122"/>
  <c r="AC18" s="1"/>
  <c r="AE18" s="1"/>
  <c r="S90" i="24"/>
  <c r="Q90"/>
  <c r="J92"/>
  <c r="L92" s="1"/>
  <c r="K20" i="56" s="1"/>
  <c r="D161" i="69" s="1"/>
  <c r="M20" i="115"/>
  <c r="H128" i="69" s="1"/>
  <c r="AL92" i="24"/>
  <c r="AN92" s="1"/>
  <c r="O20" i="115" s="1"/>
  <c r="H161" i="69" s="1"/>
  <c r="P92" i="24"/>
  <c r="K61" i="7" s="1"/>
  <c r="P92" i="10"/>
  <c r="I53" i="121"/>
  <c r="M53" s="1"/>
  <c r="O53" s="1"/>
  <c r="AR92" i="10"/>
  <c r="Y53" i="121" s="1"/>
  <c r="AC53" s="1"/>
  <c r="AE53" s="1"/>
  <c r="Q18" i="122"/>
  <c r="U18" s="1"/>
  <c r="W18" s="1"/>
  <c r="Q18" i="56"/>
  <c r="F126" i="69" s="1"/>
  <c r="X90" i="24"/>
  <c r="Z90" s="1"/>
  <c r="S18" i="56" s="1"/>
  <c r="F159" i="69" s="1"/>
  <c r="I60" i="122"/>
  <c r="M60" s="1"/>
  <c r="O60" s="1"/>
  <c r="I51" i="121"/>
  <c r="M51" s="1"/>
  <c r="O51" s="1"/>
  <c r="Y60" i="122"/>
  <c r="AC60" s="1"/>
  <c r="AE60" s="1"/>
  <c r="Y51" i="121"/>
  <c r="AC51" s="1"/>
  <c r="AE51" s="1"/>
  <c r="S60" i="60"/>
  <c r="H216" i="62" s="1"/>
  <c r="Q60" i="122"/>
  <c r="U60" s="1"/>
  <c r="W60" s="1"/>
  <c r="Q51" i="121"/>
  <c r="U51" s="1"/>
  <c r="W51" s="1"/>
  <c r="I18" i="60"/>
  <c r="Y18"/>
  <c r="I18" i="115"/>
  <c r="G126" i="69" s="1"/>
  <c r="M18" i="115"/>
  <c r="H126" i="69" s="1"/>
  <c r="Q18" i="115"/>
  <c r="I126" i="69" s="1"/>
  <c r="I20" i="115"/>
  <c r="G128" i="69" s="1"/>
  <c r="Q20" i="115"/>
  <c r="I128" i="69" s="1"/>
  <c r="I19" i="121"/>
  <c r="M19" s="1"/>
  <c r="O19" s="1"/>
  <c r="Q19"/>
  <c r="U19" s="1"/>
  <c r="W19" s="1"/>
  <c r="I17"/>
  <c r="M17" s="1"/>
  <c r="O17" s="1"/>
  <c r="Q17"/>
  <c r="U17" s="1"/>
  <c r="W17" s="1"/>
  <c r="Q18" i="60"/>
  <c r="Y17" i="121"/>
  <c r="AC17" s="1"/>
  <c r="AE17" s="1"/>
  <c r="Q53"/>
  <c r="U53" s="1"/>
  <c r="W53" s="1"/>
  <c r="I20" i="122"/>
  <c r="M20" s="1"/>
  <c r="O20" s="1"/>
  <c r="Q20"/>
  <c r="U20" s="1"/>
  <c r="W20" s="1"/>
  <c r="I62"/>
  <c r="M62" s="1"/>
  <c r="O62" s="1"/>
  <c r="Q62"/>
  <c r="U62" s="1"/>
  <c r="W62" s="1"/>
  <c r="M18" i="56"/>
  <c r="E126" i="69" s="1"/>
  <c r="O18" i="56"/>
  <c r="E159" i="69" s="1"/>
  <c r="J90" i="24"/>
  <c r="L90" s="1"/>
  <c r="K18" i="56" s="1"/>
  <c r="D159" i="69" s="1"/>
  <c r="L90" i="10"/>
  <c r="K18" i="120" s="1"/>
  <c r="Q60" i="60"/>
  <c r="H181" i="62" s="1"/>
  <c r="I60" i="60"/>
  <c r="G181" i="62" s="1"/>
  <c r="Y60" i="60"/>
  <c r="I181" i="62" s="1"/>
  <c r="AN90" i="24"/>
  <c r="O18" i="115" s="1"/>
  <c r="H159" i="69" s="1"/>
  <c r="O8" i="122"/>
  <c r="O9" s="1"/>
  <c r="W8"/>
  <c r="W9" s="1"/>
  <c r="AE8"/>
  <c r="O48"/>
  <c r="W48"/>
  <c r="AE48"/>
  <c r="O7"/>
  <c r="AE7"/>
  <c r="O11"/>
  <c r="AE11"/>
  <c r="O12"/>
  <c r="W12"/>
  <c r="W13" s="1"/>
  <c r="AE12"/>
  <c r="O51"/>
  <c r="AE51"/>
  <c r="O52"/>
  <c r="W52"/>
  <c r="AE52"/>
  <c r="O55"/>
  <c r="AE55"/>
  <c r="W6"/>
  <c r="W10"/>
  <c r="W11" s="1"/>
  <c r="W50"/>
  <c r="W54"/>
  <c r="W55" s="1"/>
  <c r="AG12" i="78"/>
  <c r="AG8"/>
  <c r="AG15"/>
  <c r="AG13"/>
  <c r="AG11"/>
  <c r="AG9"/>
  <c r="AC10" i="83"/>
  <c r="AG7" i="78"/>
  <c r="AG14"/>
  <c r="AA57" i="88"/>
  <c r="AC57" s="1"/>
  <c r="AE7" i="83" s="1"/>
  <c r="AA59" i="88"/>
  <c r="AC59" s="1"/>
  <c r="AE9" i="83" s="1"/>
  <c r="AA61" i="88"/>
  <c r="AC61" s="1"/>
  <c r="AE11" i="83" s="1"/>
  <c r="AA58" i="88"/>
  <c r="AC58" s="1"/>
  <c r="AE8" i="83" s="1"/>
  <c r="AA62" i="88"/>
  <c r="AC62" s="1"/>
  <c r="AE12" i="83" s="1"/>
  <c r="AA63" i="88"/>
  <c r="AC63" s="1"/>
  <c r="W63"/>
  <c r="I20" i="56"/>
  <c r="D128" i="69" s="1"/>
  <c r="AG92" i="24"/>
  <c r="K20" i="115" s="1"/>
  <c r="G161" i="69" s="1"/>
  <c r="Z92" i="24"/>
  <c r="S20" i="56" s="1"/>
  <c r="F161" i="69" s="1"/>
  <c r="H66" i="120"/>
  <c r="G66"/>
  <c r="H65"/>
  <c r="G65"/>
  <c r="H24"/>
  <c r="G24"/>
  <c r="H23"/>
  <c r="G23"/>
  <c r="B23" i="115"/>
  <c r="B23" i="56"/>
  <c r="AE58" i="120"/>
  <c r="W58"/>
  <c r="O58"/>
  <c r="AE16"/>
  <c r="W16"/>
  <c r="T23" i="24"/>
  <c r="I24"/>
  <c r="I60" i="10"/>
  <c r="I23" i="58" s="1"/>
  <c r="I19" i="10"/>
  <c r="I19" i="46" s="1"/>
  <c r="I25" i="10"/>
  <c r="I25" i="46" s="1"/>
  <c r="I89" i="10"/>
  <c r="I19" i="24"/>
  <c r="I19" i="61" s="1"/>
  <c r="P25" i="24"/>
  <c r="I25"/>
  <c r="I25" i="61" s="1"/>
  <c r="I54" i="24"/>
  <c r="I17" i="54" s="1"/>
  <c r="I60" i="24"/>
  <c r="I23" i="54" s="1"/>
  <c r="P89" i="24"/>
  <c r="I89"/>
  <c r="I17" i="56" s="1"/>
  <c r="I24"/>
  <c r="AR96" i="24"/>
  <c r="AK96"/>
  <c r="AD96"/>
  <c r="W96"/>
  <c r="I63" i="112" s="1"/>
  <c r="P96" i="24"/>
  <c r="H63" i="112" s="1"/>
  <c r="AO96" i="24"/>
  <c r="AH96"/>
  <c r="AA96"/>
  <c r="T96"/>
  <c r="M96"/>
  <c r="I23" i="114"/>
  <c r="AA60" i="24"/>
  <c r="T60"/>
  <c r="M60"/>
  <c r="AK25"/>
  <c r="AD25"/>
  <c r="W25"/>
  <c r="I108"/>
  <c r="I79" i="60"/>
  <c r="K79"/>
  <c r="Q79"/>
  <c r="S79"/>
  <c r="Y79"/>
  <c r="AA79"/>
  <c r="I37"/>
  <c r="K37"/>
  <c r="Q37"/>
  <c r="S37"/>
  <c r="Y37"/>
  <c r="AA37"/>
  <c r="H37"/>
  <c r="G37"/>
  <c r="H79"/>
  <c r="G79"/>
  <c r="M24" i="24"/>
  <c r="M59"/>
  <c r="H24" i="60"/>
  <c r="G24"/>
  <c r="H23"/>
  <c r="G23"/>
  <c r="H66"/>
  <c r="G66"/>
  <c r="H65"/>
  <c r="G65"/>
  <c r="AA60" i="58"/>
  <c r="S60"/>
  <c r="K60"/>
  <c r="K23"/>
  <c r="S23"/>
  <c r="AA23"/>
  <c r="H23"/>
  <c r="G23"/>
  <c r="H22"/>
  <c r="G22"/>
  <c r="H61"/>
  <c r="G61"/>
  <c r="H60"/>
  <c r="G60"/>
  <c r="H25" i="46"/>
  <c r="G25"/>
  <c r="H24"/>
  <c r="G24"/>
  <c r="H65"/>
  <c r="G65"/>
  <c r="H64"/>
  <c r="G64"/>
  <c r="K32" i="58"/>
  <c r="I28" i="24"/>
  <c r="Y62" i="122" l="1"/>
  <c r="AC62" s="1"/>
  <c r="AE62" s="1"/>
  <c r="K60" i="60"/>
  <c r="G216" i="62" s="1"/>
  <c r="Y20" i="122"/>
  <c r="AC20" s="1"/>
  <c r="AE20" s="1"/>
  <c r="AA60" i="60"/>
  <c r="I216" i="62" s="1"/>
  <c r="AS92" i="10"/>
  <c r="AU92" s="1"/>
  <c r="AA62" i="120" s="1"/>
  <c r="Y62"/>
  <c r="AC62" s="1"/>
  <c r="AE62" s="1"/>
  <c r="Q92" i="10"/>
  <c r="S92" s="1"/>
  <c r="S20" i="120" s="1"/>
  <c r="Q20"/>
  <c r="U20" s="1"/>
  <c r="W20" s="1"/>
  <c r="AL92" i="10"/>
  <c r="AN92" s="1"/>
  <c r="S62" i="120" s="1"/>
  <c r="Q62"/>
  <c r="U62" s="1"/>
  <c r="W62" s="1"/>
  <c r="S18"/>
  <c r="S18" i="60"/>
  <c r="AA18" i="120"/>
  <c r="AA18" i="60"/>
  <c r="AE92" i="10"/>
  <c r="AG92" s="1"/>
  <c r="K62" i="120" s="1"/>
  <c r="I62"/>
  <c r="M62" s="1"/>
  <c r="O62" s="1"/>
  <c r="X92" i="10"/>
  <c r="Z92" s="1"/>
  <c r="AA20" i="120" s="1"/>
  <c r="Y20"/>
  <c r="AC20" s="1"/>
  <c r="AE20" s="1"/>
  <c r="Y62" i="60"/>
  <c r="I183" i="62" s="1"/>
  <c r="I62" i="60"/>
  <c r="G183" i="62" s="1"/>
  <c r="Q20" i="60"/>
  <c r="E183" i="62" s="1"/>
  <c r="M20" i="56"/>
  <c r="E128" i="69" s="1"/>
  <c r="Q62" i="60"/>
  <c r="H183" i="62" s="1"/>
  <c r="Y20" i="60"/>
  <c r="F183" i="62" s="1"/>
  <c r="E181"/>
  <c r="D181"/>
  <c r="F181"/>
  <c r="D183"/>
  <c r="Q92" i="24"/>
  <c r="S92" s="1"/>
  <c r="O20" i="56" s="1"/>
  <c r="E161" i="69" s="1"/>
  <c r="K17" i="121"/>
  <c r="K18" i="60"/>
  <c r="D216" i="62" s="1"/>
  <c r="K18" i="122"/>
  <c r="S51" i="121"/>
  <c r="S60" i="122"/>
  <c r="K51" i="121"/>
  <c r="K60" i="122"/>
  <c r="AA51" i="121"/>
  <c r="AA60" i="122"/>
  <c r="I17" i="60"/>
  <c r="I17" i="122"/>
  <c r="G63" i="112"/>
  <c r="E111" i="10"/>
  <c r="F111"/>
  <c r="E112"/>
  <c r="F112"/>
  <c r="E113"/>
  <c r="F113"/>
  <c r="E114"/>
  <c r="F114"/>
  <c r="E94"/>
  <c r="G22" i="120" s="1"/>
  <c r="F94" i="10"/>
  <c r="H22" i="120" s="1"/>
  <c r="G94" i="10"/>
  <c r="G87"/>
  <c r="E87"/>
  <c r="F87"/>
  <c r="G58"/>
  <c r="G52"/>
  <c r="G53"/>
  <c r="G54"/>
  <c r="G55"/>
  <c r="G56"/>
  <c r="G57"/>
  <c r="E53"/>
  <c r="F53"/>
  <c r="E54"/>
  <c r="F54"/>
  <c r="E55"/>
  <c r="F55"/>
  <c r="E56"/>
  <c r="F56"/>
  <c r="E57"/>
  <c r="F57"/>
  <c r="E58"/>
  <c r="F58"/>
  <c r="E70"/>
  <c r="F70"/>
  <c r="E52"/>
  <c r="E33"/>
  <c r="F33"/>
  <c r="E34"/>
  <c r="F34"/>
  <c r="E35"/>
  <c r="F35"/>
  <c r="E22"/>
  <c r="F22"/>
  <c r="G22"/>
  <c r="E23"/>
  <c r="F23"/>
  <c r="G23"/>
  <c r="I77" i="60"/>
  <c r="I113" i="24"/>
  <c r="I37" i="56" s="1"/>
  <c r="I77" i="122" l="1"/>
  <c r="H15"/>
  <c r="H57"/>
  <c r="G57"/>
  <c r="G15"/>
  <c r="H64"/>
  <c r="H22"/>
  <c r="H78"/>
  <c r="H36"/>
  <c r="H77"/>
  <c r="H35"/>
  <c r="H76"/>
  <c r="H34"/>
  <c r="H75"/>
  <c r="H33"/>
  <c r="G22"/>
  <c r="G64"/>
  <c r="G36"/>
  <c r="G78"/>
  <c r="G35"/>
  <c r="G77"/>
  <c r="G34"/>
  <c r="G76"/>
  <c r="G33"/>
  <c r="G75"/>
  <c r="H78" i="120"/>
  <c r="H36"/>
  <c r="G78"/>
  <c r="G36"/>
  <c r="AQ58" i="10"/>
  <c r="AR58" s="1"/>
  <c r="AS58" s="1"/>
  <c r="AU58" s="1"/>
  <c r="AJ58"/>
  <c r="AK58" s="1"/>
  <c r="AL58" s="1"/>
  <c r="AN58" s="1"/>
  <c r="AC58"/>
  <c r="AE58" s="1"/>
  <c r="AG58" s="1"/>
  <c r="V58"/>
  <c r="W58" s="1"/>
  <c r="X58" s="1"/>
  <c r="Z58" s="1"/>
  <c r="O58"/>
  <c r="P58" s="1"/>
  <c r="Q58" s="1"/>
  <c r="S58" s="1"/>
  <c r="I105" i="24"/>
  <c r="H67" i="121"/>
  <c r="G67"/>
  <c r="H33"/>
  <c r="G33"/>
  <c r="H36" i="60"/>
  <c r="G36"/>
  <c r="H78"/>
  <c r="G78"/>
  <c r="H38" i="115"/>
  <c r="G38"/>
  <c r="AU114" i="24"/>
  <c r="S38" i="115" s="1"/>
  <c r="AR114" i="24"/>
  <c r="Q38" i="115" s="1"/>
  <c r="AN114" i="24"/>
  <c r="O39" i="115" s="1"/>
  <c r="AK114" i="24"/>
  <c r="M39" i="115" s="1"/>
  <c r="AG114" i="24"/>
  <c r="K38" i="115" s="1"/>
  <c r="AD114" i="24"/>
  <c r="I38" i="115" s="1"/>
  <c r="Z114" i="24"/>
  <c r="S38" i="56" s="1"/>
  <c r="W114" i="24"/>
  <c r="Q38" i="56" s="1"/>
  <c r="S114" i="24"/>
  <c r="O38" i="56" s="1"/>
  <c r="P114" i="24"/>
  <c r="M38" i="56" s="1"/>
  <c r="L114" i="24"/>
  <c r="K38" i="56" s="1"/>
  <c r="I114" i="24"/>
  <c r="I38" i="56" s="1"/>
  <c r="H38"/>
  <c r="G38"/>
  <c r="AA78" i="60"/>
  <c r="Y78"/>
  <c r="S78"/>
  <c r="Q78"/>
  <c r="K78"/>
  <c r="I78"/>
  <c r="AA36"/>
  <c r="Y36"/>
  <c r="S36"/>
  <c r="Q36"/>
  <c r="K36"/>
  <c r="I36"/>
  <c r="K36" i="122" l="1"/>
  <c r="S36"/>
  <c r="AA36"/>
  <c r="K78"/>
  <c r="S78"/>
  <c r="AA78"/>
  <c r="I36"/>
  <c r="Q36"/>
  <c r="Y36"/>
  <c r="I78"/>
  <c r="Q78"/>
  <c r="Y78"/>
  <c r="O38" i="115"/>
  <c r="M38"/>
  <c r="H37"/>
  <c r="G37"/>
  <c r="G36"/>
  <c r="H37" i="56"/>
  <c r="G37"/>
  <c r="AU113" i="24"/>
  <c r="AR113"/>
  <c r="AK113"/>
  <c r="AN113"/>
  <c r="AG113"/>
  <c r="AD113"/>
  <c r="Z113"/>
  <c r="W113"/>
  <c r="S113"/>
  <c r="P113"/>
  <c r="L113"/>
  <c r="S28"/>
  <c r="S70"/>
  <c r="E18" i="10"/>
  <c r="F18"/>
  <c r="E20"/>
  <c r="F20"/>
  <c r="AA94" i="24"/>
  <c r="L33"/>
  <c r="I33"/>
  <c r="K37" i="56" l="1"/>
  <c r="M37"/>
  <c r="Q37"/>
  <c r="I37" i="115"/>
  <c r="O37"/>
  <c r="Q37"/>
  <c r="O37" i="56"/>
  <c r="S37"/>
  <c r="K37" i="115"/>
  <c r="M37"/>
  <c r="S37"/>
  <c r="AK115" i="24"/>
  <c r="P115"/>
  <c r="M39" i="56" s="1"/>
  <c r="AN115" i="24"/>
  <c r="S115"/>
  <c r="O39" i="56" s="1"/>
  <c r="AE49" i="121"/>
  <c r="AE15"/>
  <c r="W15"/>
  <c r="O15"/>
  <c r="AE48"/>
  <c r="AE14"/>
  <c r="W14"/>
  <c r="F98" i="10"/>
  <c r="AA32" i="60" l="1"/>
  <c r="AA32" i="122" s="1"/>
  <c r="S32" i="60"/>
  <c r="S32" i="122" s="1"/>
  <c r="K32" i="60"/>
  <c r="K32" i="122" s="1"/>
  <c r="AA74" i="60"/>
  <c r="AA74" i="122" s="1"/>
  <c r="S74" i="60"/>
  <c r="S74" i="122" s="1"/>
  <c r="K74" i="60"/>
  <c r="K74" i="122" s="1"/>
  <c r="E31" i="10"/>
  <c r="F31"/>
  <c r="E66"/>
  <c r="F66"/>
  <c r="AI7" i="119"/>
  <c r="AI8"/>
  <c r="AI9"/>
  <c r="AI10"/>
  <c r="AI11"/>
  <c r="AI12"/>
  <c r="AI13"/>
  <c r="AI14"/>
  <c r="AI15"/>
  <c r="AI16"/>
  <c r="AI17"/>
  <c r="AI18"/>
  <c r="AI19"/>
  <c r="AI20"/>
  <c r="AI21"/>
  <c r="AI6"/>
  <c r="AD7"/>
  <c r="AD8"/>
  <c r="AD9"/>
  <c r="AD10"/>
  <c r="AD11"/>
  <c r="AD12"/>
  <c r="AD13"/>
  <c r="AD14"/>
  <c r="AD15"/>
  <c r="AD16"/>
  <c r="AD17"/>
  <c r="AD18"/>
  <c r="AD19"/>
  <c r="AD20"/>
  <c r="AD21"/>
  <c r="AD6"/>
  <c r="Y7"/>
  <c r="Y8"/>
  <c r="Y9"/>
  <c r="Y10"/>
  <c r="Y11"/>
  <c r="Y12"/>
  <c r="Y13"/>
  <c r="Y14"/>
  <c r="Y15"/>
  <c r="Y16"/>
  <c r="Y17"/>
  <c r="Y18"/>
  <c r="Y19"/>
  <c r="Y20"/>
  <c r="Y21"/>
  <c r="Y6"/>
  <c r="T7"/>
  <c r="T8"/>
  <c r="T9"/>
  <c r="T10"/>
  <c r="T11"/>
  <c r="T12"/>
  <c r="T13"/>
  <c r="T14"/>
  <c r="T15"/>
  <c r="T16"/>
  <c r="T17"/>
  <c r="T18"/>
  <c r="T19"/>
  <c r="T20"/>
  <c r="T21"/>
  <c r="T6"/>
  <c r="O7"/>
  <c r="O8"/>
  <c r="O9"/>
  <c r="O10"/>
  <c r="O11"/>
  <c r="O12"/>
  <c r="O13"/>
  <c r="O14"/>
  <c r="O15"/>
  <c r="O16"/>
  <c r="O17"/>
  <c r="O18"/>
  <c r="O19"/>
  <c r="O20"/>
  <c r="O21"/>
  <c r="O6"/>
  <c r="J7"/>
  <c r="J8"/>
  <c r="J9"/>
  <c r="J10"/>
  <c r="J11"/>
  <c r="J12"/>
  <c r="J13"/>
  <c r="J14"/>
  <c r="J15"/>
  <c r="J16"/>
  <c r="J17"/>
  <c r="J18"/>
  <c r="J19"/>
  <c r="J20"/>
  <c r="J21"/>
  <c r="J6"/>
  <c r="F126" i="24" l="1"/>
  <c r="M56" i="120"/>
  <c r="AC56"/>
  <c r="U56"/>
  <c r="AC14"/>
  <c r="U14"/>
  <c r="M14"/>
  <c r="AF58" i="77"/>
  <c r="AF59"/>
  <c r="AF60"/>
  <c r="AF61"/>
  <c r="AF62"/>
  <c r="AF63"/>
  <c r="AF64"/>
  <c r="AF65"/>
  <c r="AF66"/>
  <c r="AF67"/>
  <c r="AF68"/>
  <c r="AF69"/>
  <c r="AF70"/>
  <c r="AF71"/>
  <c r="AF72"/>
  <c r="AF57"/>
  <c r="AX15" i="10"/>
  <c r="M126" i="24" l="1"/>
  <c r="AV127"/>
  <c r="AV128"/>
  <c r="AV126"/>
  <c r="AO127"/>
  <c r="AO128"/>
  <c r="AO126"/>
  <c r="AH127"/>
  <c r="AH128"/>
  <c r="AH126"/>
  <c r="AA127"/>
  <c r="AA128"/>
  <c r="AA126"/>
  <c r="T127"/>
  <c r="T128"/>
  <c r="T126"/>
  <c r="M127"/>
  <c r="M128"/>
  <c r="AQ8" i="60"/>
  <c r="I71" i="7"/>
  <c r="I72"/>
  <c r="H72"/>
  <c r="H71"/>
  <c r="AA67" i="121"/>
  <c r="Y67"/>
  <c r="S67"/>
  <c r="Q67"/>
  <c r="K67"/>
  <c r="I67"/>
  <c r="AA33"/>
  <c r="Y33"/>
  <c r="S33"/>
  <c r="Q33"/>
  <c r="K33"/>
  <c r="I33"/>
  <c r="O8" i="118"/>
  <c r="I35" i="60" l="1"/>
  <c r="K35"/>
  <c r="H63" i="121"/>
  <c r="G63"/>
  <c r="H62"/>
  <c r="G62"/>
  <c r="H29"/>
  <c r="G29"/>
  <c r="H28"/>
  <c r="G28"/>
  <c r="H50"/>
  <c r="G50"/>
  <c r="H49"/>
  <c r="G49"/>
  <c r="H48"/>
  <c r="G48"/>
  <c r="H16"/>
  <c r="G16"/>
  <c r="H15"/>
  <c r="G15"/>
  <c r="H14"/>
  <c r="G14"/>
  <c r="Y65"/>
  <c r="Q65"/>
  <c r="I65"/>
  <c r="AC47"/>
  <c r="U47"/>
  <c r="M47"/>
  <c r="AC46"/>
  <c r="AE47" s="1"/>
  <c r="U46"/>
  <c r="M46"/>
  <c r="O47" s="1"/>
  <c r="AC45"/>
  <c r="U45"/>
  <c r="M45"/>
  <c r="AC44"/>
  <c r="AE45" s="1"/>
  <c r="U44"/>
  <c r="W45" s="1"/>
  <c r="M44"/>
  <c r="O45" s="1"/>
  <c r="AC43"/>
  <c r="U43"/>
  <c r="M43"/>
  <c r="AC42"/>
  <c r="AE43" s="1"/>
  <c r="U42"/>
  <c r="W43" s="1"/>
  <c r="M42"/>
  <c r="O42" s="1"/>
  <c r="AC41"/>
  <c r="U41"/>
  <c r="M41"/>
  <c r="AC40"/>
  <c r="AE41" s="1"/>
  <c r="U40"/>
  <c r="W41" s="1"/>
  <c r="M40"/>
  <c r="O41" s="1"/>
  <c r="AD37"/>
  <c r="I37"/>
  <c r="H37"/>
  <c r="I32"/>
  <c r="Y31"/>
  <c r="Q31"/>
  <c r="I31"/>
  <c r="AC13"/>
  <c r="U13"/>
  <c r="M13"/>
  <c r="AC12"/>
  <c r="AE12" s="1"/>
  <c r="U12"/>
  <c r="M12"/>
  <c r="O12" s="1"/>
  <c r="AC11"/>
  <c r="U11"/>
  <c r="M11"/>
  <c r="AC10"/>
  <c r="AE11" s="1"/>
  <c r="U10"/>
  <c r="M10"/>
  <c r="AC9"/>
  <c r="U9"/>
  <c r="M9"/>
  <c r="AC8"/>
  <c r="AE8" s="1"/>
  <c r="U8"/>
  <c r="M8"/>
  <c r="O8" s="1"/>
  <c r="AC7"/>
  <c r="U7"/>
  <c r="M7"/>
  <c r="AC6"/>
  <c r="AE7" s="1"/>
  <c r="U6"/>
  <c r="M6"/>
  <c r="AD3"/>
  <c r="I3"/>
  <c r="H3"/>
  <c r="S118" i="24"/>
  <c r="O12" i="117" s="1"/>
  <c r="P118" i="24"/>
  <c r="S117"/>
  <c r="O11" i="117" s="1"/>
  <c r="P117" i="24"/>
  <c r="AN118"/>
  <c r="O12" i="118" s="1"/>
  <c r="AK118" i="24"/>
  <c r="AN117"/>
  <c r="AK117"/>
  <c r="M11" i="118" s="1"/>
  <c r="AJ128" i="24"/>
  <c r="AJ127"/>
  <c r="AJ126"/>
  <c r="V126"/>
  <c r="AU133" i="10"/>
  <c r="AR133"/>
  <c r="AN133"/>
  <c r="AK133"/>
  <c r="AG133"/>
  <c r="AD133"/>
  <c r="Z133"/>
  <c r="W133"/>
  <c r="S133"/>
  <c r="P133"/>
  <c r="L133"/>
  <c r="AU132"/>
  <c r="AR132"/>
  <c r="AN132"/>
  <c r="AK132"/>
  <c r="AG132"/>
  <c r="AD132"/>
  <c r="Z132"/>
  <c r="W132"/>
  <c r="S132"/>
  <c r="P132"/>
  <c r="L132"/>
  <c r="I133"/>
  <c r="I132"/>
  <c r="V126"/>
  <c r="AJ126"/>
  <c r="AJ127"/>
  <c r="AK101" i="24"/>
  <c r="P101"/>
  <c r="AJ100"/>
  <c r="AK100" s="1"/>
  <c r="AJ99"/>
  <c r="AK99" s="1"/>
  <c r="AJ100" i="10"/>
  <c r="AJ99"/>
  <c r="AK126" s="1"/>
  <c r="AC100"/>
  <c r="AD127" s="1"/>
  <c r="AY50" i="60"/>
  <c r="M49" i="24"/>
  <c r="M17"/>
  <c r="K66" i="7"/>
  <c r="L66"/>
  <c r="M66"/>
  <c r="N66"/>
  <c r="O66"/>
  <c r="J66"/>
  <c r="K44"/>
  <c r="L44"/>
  <c r="M44"/>
  <c r="N44"/>
  <c r="O44"/>
  <c r="J44"/>
  <c r="K23"/>
  <c r="L23"/>
  <c r="M23"/>
  <c r="N23"/>
  <c r="O23"/>
  <c r="J23"/>
  <c r="C1" i="91"/>
  <c r="C1" i="90"/>
  <c r="A1" i="62"/>
  <c r="W47" i="121" l="1"/>
  <c r="W13"/>
  <c r="W11"/>
  <c r="W9"/>
  <c r="W7"/>
  <c r="AK99" i="10"/>
  <c r="AY48" i="60" s="1"/>
  <c r="Q16" i="121"/>
  <c r="AY8" i="60"/>
  <c r="I35" i="122"/>
  <c r="K32" i="121"/>
  <c r="K35" i="122"/>
  <c r="AK132" i="24"/>
  <c r="S133"/>
  <c r="AK100" i="10"/>
  <c r="AK127"/>
  <c r="AL127" s="1"/>
  <c r="S132" i="24"/>
  <c r="AN133"/>
  <c r="AN132"/>
  <c r="O11" i="118"/>
  <c r="AK133" i="24"/>
  <c r="M12" i="118"/>
  <c r="P132" i="24"/>
  <c r="M11" i="117"/>
  <c r="P133" i="24"/>
  <c r="M12" i="117"/>
  <c r="AL100" i="24"/>
  <c r="AN100" s="1"/>
  <c r="O7" i="118" s="1"/>
  <c r="M7"/>
  <c r="AK128" i="24"/>
  <c r="M8" i="118"/>
  <c r="AK126" i="24"/>
  <c r="M6" i="118"/>
  <c r="P128" i="24"/>
  <c r="K73" i="7" s="1"/>
  <c r="M8" i="117"/>
  <c r="Q50" i="121"/>
  <c r="AE6"/>
  <c r="AK127" i="24"/>
  <c r="AE10" i="121"/>
  <c r="O46"/>
  <c r="W46"/>
  <c r="AE46"/>
  <c r="O6"/>
  <c r="O7" s="1"/>
  <c r="W6"/>
  <c r="O10"/>
  <c r="O11" s="1"/>
  <c r="W10"/>
  <c r="AE42"/>
  <c r="O9"/>
  <c r="AE9"/>
  <c r="O13"/>
  <c r="AE13"/>
  <c r="W8"/>
  <c r="W12"/>
  <c r="O40"/>
  <c r="W40"/>
  <c r="AE40"/>
  <c r="O43"/>
  <c r="O44"/>
  <c r="W44"/>
  <c r="AE44"/>
  <c r="W42"/>
  <c r="AL99" i="24"/>
  <c r="AN99" s="1"/>
  <c r="I65" i="7"/>
  <c r="H65"/>
  <c r="I64"/>
  <c r="H64"/>
  <c r="I63"/>
  <c r="H63"/>
  <c r="I58"/>
  <c r="H58"/>
  <c r="I57"/>
  <c r="H57"/>
  <c r="I56"/>
  <c r="H56"/>
  <c r="I55"/>
  <c r="H55"/>
  <c r="I53"/>
  <c r="H53"/>
  <c r="I51"/>
  <c r="H51"/>
  <c r="I49"/>
  <c r="H49"/>
  <c r="I47"/>
  <c r="H47"/>
  <c r="I43"/>
  <c r="H43"/>
  <c r="I42"/>
  <c r="H42"/>
  <c r="I41"/>
  <c r="H41"/>
  <c r="I40"/>
  <c r="H40"/>
  <c r="I39"/>
  <c r="H39"/>
  <c r="I38"/>
  <c r="H38"/>
  <c r="I37"/>
  <c r="H37"/>
  <c r="I36"/>
  <c r="H36"/>
  <c r="I35"/>
  <c r="H35"/>
  <c r="I34"/>
  <c r="H34"/>
  <c r="I32"/>
  <c r="H32"/>
  <c r="I30"/>
  <c r="H30"/>
  <c r="I28"/>
  <c r="H28"/>
  <c r="I26"/>
  <c r="H26"/>
  <c r="I22"/>
  <c r="H22"/>
  <c r="I21"/>
  <c r="H21"/>
  <c r="I20"/>
  <c r="H20"/>
  <c r="I19"/>
  <c r="H19"/>
  <c r="I18"/>
  <c r="H18"/>
  <c r="I17"/>
  <c r="H17"/>
  <c r="I16"/>
  <c r="H16"/>
  <c r="I15"/>
  <c r="H15"/>
  <c r="I14"/>
  <c r="H14"/>
  <c r="I13"/>
  <c r="H13"/>
  <c r="I11"/>
  <c r="H11"/>
  <c r="I9"/>
  <c r="H9"/>
  <c r="I6"/>
  <c r="H6"/>
  <c r="I3"/>
  <c r="H3"/>
  <c r="J48"/>
  <c r="K48"/>
  <c r="L48"/>
  <c r="M48"/>
  <c r="N48"/>
  <c r="O48"/>
  <c r="J50"/>
  <c r="K50"/>
  <c r="L50"/>
  <c r="M50"/>
  <c r="N50"/>
  <c r="O50"/>
  <c r="J52"/>
  <c r="K52"/>
  <c r="L52"/>
  <c r="M52"/>
  <c r="N52"/>
  <c r="O52"/>
  <c r="J54"/>
  <c r="K54"/>
  <c r="L54"/>
  <c r="M54"/>
  <c r="N54"/>
  <c r="O54"/>
  <c r="J27"/>
  <c r="K27"/>
  <c r="L27"/>
  <c r="M27"/>
  <c r="N27"/>
  <c r="O27"/>
  <c r="J29"/>
  <c r="K29"/>
  <c r="L29"/>
  <c r="M29"/>
  <c r="N29"/>
  <c r="O29"/>
  <c r="J31"/>
  <c r="K31"/>
  <c r="L31"/>
  <c r="M31"/>
  <c r="N31"/>
  <c r="O31"/>
  <c r="J33"/>
  <c r="K33"/>
  <c r="L33"/>
  <c r="M33"/>
  <c r="N33"/>
  <c r="O33"/>
  <c r="K4"/>
  <c r="L4"/>
  <c r="M4"/>
  <c r="N4"/>
  <c r="O4"/>
  <c r="K5"/>
  <c r="L5"/>
  <c r="M5"/>
  <c r="N5"/>
  <c r="O5"/>
  <c r="K7"/>
  <c r="L7"/>
  <c r="M7"/>
  <c r="N7"/>
  <c r="O7"/>
  <c r="K8"/>
  <c r="L8"/>
  <c r="M8"/>
  <c r="N8"/>
  <c r="O8"/>
  <c r="K10"/>
  <c r="L10"/>
  <c r="M10"/>
  <c r="N10"/>
  <c r="O10"/>
  <c r="K12"/>
  <c r="L12"/>
  <c r="M12"/>
  <c r="N12"/>
  <c r="O12"/>
  <c r="J4"/>
  <c r="J5"/>
  <c r="J7"/>
  <c r="J8"/>
  <c r="J10"/>
  <c r="J12"/>
  <c r="E108" i="89"/>
  <c r="E87"/>
  <c r="E66"/>
  <c r="E45"/>
  <c r="E24"/>
  <c r="E3"/>
  <c r="B1" i="62"/>
  <c r="B2" i="88"/>
  <c r="A2"/>
  <c r="C3" i="87"/>
  <c r="B3"/>
  <c r="E3" i="86"/>
  <c r="D3"/>
  <c r="D3" i="85"/>
  <c r="C3"/>
  <c r="G3" i="83"/>
  <c r="F3"/>
  <c r="C3" i="82"/>
  <c r="B3"/>
  <c r="E3" i="79"/>
  <c r="D3"/>
  <c r="D3" i="80"/>
  <c r="C3"/>
  <c r="E3" i="81"/>
  <c r="D3"/>
  <c r="G3" i="78"/>
  <c r="F3"/>
  <c r="B2" i="77"/>
  <c r="AI56" s="1"/>
  <c r="AF56" s="1"/>
  <c r="C1" i="69"/>
  <c r="B1"/>
  <c r="I45" i="120"/>
  <c r="H45"/>
  <c r="I3"/>
  <c r="H3"/>
  <c r="I45" i="60"/>
  <c r="H45"/>
  <c r="I3"/>
  <c r="H3"/>
  <c r="I3" i="58"/>
  <c r="H3"/>
  <c r="I41"/>
  <c r="H41"/>
  <c r="I43" i="46"/>
  <c r="H43"/>
  <c r="I3"/>
  <c r="F133" i="24"/>
  <c r="E133"/>
  <c r="F132"/>
  <c r="E132"/>
  <c r="F128"/>
  <c r="E128"/>
  <c r="F127"/>
  <c r="E127"/>
  <c r="E126"/>
  <c r="D123"/>
  <c r="C123"/>
  <c r="I75" i="10"/>
  <c r="F75"/>
  <c r="I40"/>
  <c r="F40"/>
  <c r="I3"/>
  <c r="F3"/>
  <c r="D123"/>
  <c r="C123"/>
  <c r="Q48" i="121" l="1"/>
  <c r="Q49"/>
  <c r="AY49" i="60"/>
  <c r="AL126" i="24"/>
  <c r="N71" i="7"/>
  <c r="AL128" i="24"/>
  <c r="N73" i="7"/>
  <c r="O6" i="118"/>
  <c r="AN126" i="24"/>
  <c r="AL127"/>
  <c r="N72" i="7"/>
  <c r="C2" i="24"/>
  <c r="A2"/>
  <c r="AV15" i="10"/>
  <c r="AO15"/>
  <c r="AH15"/>
  <c r="AA15"/>
  <c r="T15"/>
  <c r="M15"/>
  <c r="AV13"/>
  <c r="AO13"/>
  <c r="AH13"/>
  <c r="AA13"/>
  <c r="T13"/>
  <c r="M13"/>
  <c r="AV11"/>
  <c r="AO11"/>
  <c r="AH11"/>
  <c r="AA11"/>
  <c r="T11"/>
  <c r="M11"/>
  <c r="AV10"/>
  <c r="AO10"/>
  <c r="AH10"/>
  <c r="AA10"/>
  <c r="T10"/>
  <c r="M10"/>
  <c r="AV8"/>
  <c r="AO8"/>
  <c r="AH8"/>
  <c r="AA8"/>
  <c r="T8"/>
  <c r="M8"/>
  <c r="AV7"/>
  <c r="AO7"/>
  <c r="AH7"/>
  <c r="AA7"/>
  <c r="T7"/>
  <c r="M7"/>
  <c r="AV11" i="24"/>
  <c r="AV10"/>
  <c r="AV9"/>
  <c r="L75"/>
  <c r="I75"/>
  <c r="L40"/>
  <c r="I40"/>
  <c r="L3"/>
  <c r="I3"/>
  <c r="J14" i="75"/>
  <c r="I14"/>
  <c r="A2" i="10"/>
  <c r="AX3" s="1"/>
  <c r="C2"/>
  <c r="AX4" s="1"/>
  <c r="AZ4" s="1"/>
  <c r="BF4" s="1"/>
  <c r="C108" i="89"/>
  <c r="C87"/>
  <c r="C66"/>
  <c r="C45"/>
  <c r="C24"/>
  <c r="C3"/>
  <c r="D3" i="84"/>
  <c r="D24" i="79"/>
  <c r="A2" i="77"/>
  <c r="G3" i="118"/>
  <c r="F3"/>
  <c r="F3" i="117"/>
  <c r="G3"/>
  <c r="H3" i="115"/>
  <c r="G3"/>
  <c r="AC3"/>
  <c r="AB3"/>
  <c r="AC3" i="56"/>
  <c r="AB3"/>
  <c r="H3"/>
  <c r="G3"/>
  <c r="AC3" i="114"/>
  <c r="AB3"/>
  <c r="H3"/>
  <c r="G3"/>
  <c r="AC3" i="54"/>
  <c r="AB3"/>
  <c r="H3"/>
  <c r="G3"/>
  <c r="AB3" i="113"/>
  <c r="AA3"/>
  <c r="G3"/>
  <c r="E3"/>
  <c r="AB3" i="61"/>
  <c r="AA3"/>
  <c r="G3"/>
  <c r="E3"/>
  <c r="H3" i="46"/>
  <c r="Y27" i="73"/>
  <c r="Y24"/>
  <c r="Y21"/>
  <c r="Y18"/>
  <c r="Y15"/>
  <c r="Y12"/>
  <c r="Y9"/>
  <c r="Y6"/>
  <c r="M9" i="24" l="1"/>
  <c r="I23" i="119"/>
  <c r="I24"/>
  <c r="I25"/>
  <c r="W25"/>
  <c r="AG25"/>
  <c r="AG22"/>
  <c r="AI23"/>
  <c r="AI24"/>
  <c r="AI25"/>
  <c r="AH23"/>
  <c r="AH24"/>
  <c r="AH25"/>
  <c r="Y23"/>
  <c r="Y24"/>
  <c r="Y25"/>
  <c r="X23"/>
  <c r="X24"/>
  <c r="X25"/>
  <c r="T23"/>
  <c r="T24"/>
  <c r="T25"/>
  <c r="S23"/>
  <c r="S24"/>
  <c r="S25"/>
  <c r="R25"/>
  <c r="J23"/>
  <c r="J24"/>
  <c r="J25"/>
  <c r="H25"/>
  <c r="H21" i="118"/>
  <c r="G21"/>
  <c r="H20"/>
  <c r="G20"/>
  <c r="H19"/>
  <c r="G19"/>
  <c r="H21" i="117"/>
  <c r="G21"/>
  <c r="H20"/>
  <c r="G20"/>
  <c r="H19"/>
  <c r="G19"/>
  <c r="V7" i="119"/>
  <c r="X7"/>
  <c r="AA7"/>
  <c r="AC7"/>
  <c r="AF7"/>
  <c r="AH7"/>
  <c r="X8"/>
  <c r="AC8"/>
  <c r="AH8"/>
  <c r="V9"/>
  <c r="X9"/>
  <c r="AA9"/>
  <c r="AC9"/>
  <c r="AF9"/>
  <c r="AH9"/>
  <c r="X10"/>
  <c r="AC10"/>
  <c r="AH10"/>
  <c r="V11"/>
  <c r="X11"/>
  <c r="AA11"/>
  <c r="AC11"/>
  <c r="AF11"/>
  <c r="AH11"/>
  <c r="X12"/>
  <c r="AC12"/>
  <c r="AH12"/>
  <c r="V13"/>
  <c r="X13"/>
  <c r="AA13"/>
  <c r="AC13"/>
  <c r="AF13"/>
  <c r="AH13"/>
  <c r="X14"/>
  <c r="AC14"/>
  <c r="AH14"/>
  <c r="X15"/>
  <c r="AC15"/>
  <c r="AH15"/>
  <c r="X16"/>
  <c r="AC16"/>
  <c r="AH16"/>
  <c r="X17"/>
  <c r="AB17"/>
  <c r="AC17"/>
  <c r="AG17"/>
  <c r="AH17"/>
  <c r="X18"/>
  <c r="AC18"/>
  <c r="AH18"/>
  <c r="X19"/>
  <c r="AC19"/>
  <c r="AH19"/>
  <c r="X20"/>
  <c r="AC20"/>
  <c r="AH20"/>
  <c r="X21"/>
  <c r="AC21"/>
  <c r="AH21"/>
  <c r="AH6"/>
  <c r="AC6"/>
  <c r="X6"/>
  <c r="Q7"/>
  <c r="S7"/>
  <c r="S8"/>
  <c r="Q9"/>
  <c r="S9"/>
  <c r="S10"/>
  <c r="Q11"/>
  <c r="S11"/>
  <c r="S12"/>
  <c r="Q13"/>
  <c r="S13"/>
  <c r="S14"/>
  <c r="S15"/>
  <c r="S16"/>
  <c r="R17"/>
  <c r="S17"/>
  <c r="S18"/>
  <c r="S19"/>
  <c r="S20"/>
  <c r="S21"/>
  <c r="S6"/>
  <c r="L7"/>
  <c r="N7"/>
  <c r="N8"/>
  <c r="L9"/>
  <c r="N9"/>
  <c r="N10"/>
  <c r="L11"/>
  <c r="N11"/>
  <c r="N12"/>
  <c r="L13"/>
  <c r="N13"/>
  <c r="N14"/>
  <c r="N15"/>
  <c r="N16"/>
  <c r="M17"/>
  <c r="N17"/>
  <c r="N18"/>
  <c r="N19"/>
  <c r="N20"/>
  <c r="N21"/>
  <c r="N6"/>
  <c r="I7"/>
  <c r="I8"/>
  <c r="I9"/>
  <c r="I10"/>
  <c r="I11"/>
  <c r="I12"/>
  <c r="I13"/>
  <c r="I14"/>
  <c r="I15"/>
  <c r="I16"/>
  <c r="I17"/>
  <c r="I18"/>
  <c r="I19"/>
  <c r="I20"/>
  <c r="I21"/>
  <c r="I6"/>
  <c r="H17"/>
  <c r="G7"/>
  <c r="G9"/>
  <c r="G11"/>
  <c r="G13"/>
  <c r="M6" i="24"/>
  <c r="AV79"/>
  <c r="AV80"/>
  <c r="AV81"/>
  <c r="AV82"/>
  <c r="AV83"/>
  <c r="AV84"/>
  <c r="AV85"/>
  <c r="AV86"/>
  <c r="AV87"/>
  <c r="AV88"/>
  <c r="AV89"/>
  <c r="AV95"/>
  <c r="AV78"/>
  <c r="AO79"/>
  <c r="AO80"/>
  <c r="AO81"/>
  <c r="AO82"/>
  <c r="AO83"/>
  <c r="AO84"/>
  <c r="AO85"/>
  <c r="AO86"/>
  <c r="AO87"/>
  <c r="AO88"/>
  <c r="AO89"/>
  <c r="AO94"/>
  <c r="AO95"/>
  <c r="AO78"/>
  <c r="AH79"/>
  <c r="AH80"/>
  <c r="AH81"/>
  <c r="AH82"/>
  <c r="AH83"/>
  <c r="AH84"/>
  <c r="AH85"/>
  <c r="AH86"/>
  <c r="AH87"/>
  <c r="AH88"/>
  <c r="AH89"/>
  <c r="AH94"/>
  <c r="AH95"/>
  <c r="AH78"/>
  <c r="AA79"/>
  <c r="AA80"/>
  <c r="AA81"/>
  <c r="AA82"/>
  <c r="AA83"/>
  <c r="AA84"/>
  <c r="AA85"/>
  <c r="AA86"/>
  <c r="AA87"/>
  <c r="AA88"/>
  <c r="AA89"/>
  <c r="AA95"/>
  <c r="AA78"/>
  <c r="T79"/>
  <c r="T80"/>
  <c r="T81"/>
  <c r="T82"/>
  <c r="T83"/>
  <c r="T84"/>
  <c r="T85"/>
  <c r="T86"/>
  <c r="T87"/>
  <c r="T88"/>
  <c r="T89"/>
  <c r="T94"/>
  <c r="T95"/>
  <c r="T78"/>
  <c r="M79"/>
  <c r="M80"/>
  <c r="M81"/>
  <c r="M82"/>
  <c r="M83"/>
  <c r="M84"/>
  <c r="M85"/>
  <c r="M86"/>
  <c r="M87"/>
  <c r="M88"/>
  <c r="M89"/>
  <c r="M93"/>
  <c r="M94"/>
  <c r="M95"/>
  <c r="M78"/>
  <c r="AV44"/>
  <c r="AV45"/>
  <c r="AV46"/>
  <c r="AV47"/>
  <c r="AV48"/>
  <c r="AV49"/>
  <c r="AV50"/>
  <c r="AV51"/>
  <c r="AV52"/>
  <c r="AV53"/>
  <c r="AV54"/>
  <c r="AV55"/>
  <c r="AV56"/>
  <c r="AV57"/>
  <c r="AV58"/>
  <c r="AV43"/>
  <c r="AO44"/>
  <c r="AO45"/>
  <c r="AO46"/>
  <c r="AO47"/>
  <c r="AO48"/>
  <c r="AO49"/>
  <c r="AO50"/>
  <c r="AO51"/>
  <c r="AO52"/>
  <c r="AO53"/>
  <c r="AO54"/>
  <c r="AO55"/>
  <c r="AO56"/>
  <c r="AO57"/>
  <c r="AO58"/>
  <c r="AO43"/>
  <c r="AH44"/>
  <c r="AH45"/>
  <c r="AH46"/>
  <c r="AH47"/>
  <c r="AH48"/>
  <c r="AH49"/>
  <c r="AH50"/>
  <c r="AH51"/>
  <c r="AH52"/>
  <c r="AH53"/>
  <c r="AH54"/>
  <c r="AH55"/>
  <c r="AH56"/>
  <c r="AH57"/>
  <c r="AH58"/>
  <c r="AH43"/>
  <c r="AA44"/>
  <c r="AA45"/>
  <c r="AA46"/>
  <c r="AA47"/>
  <c r="AA48"/>
  <c r="AA49"/>
  <c r="AA50"/>
  <c r="AA51"/>
  <c r="AA52"/>
  <c r="AA53"/>
  <c r="AA54"/>
  <c r="AA55"/>
  <c r="AA56"/>
  <c r="AA57"/>
  <c r="AA58"/>
  <c r="AA59"/>
  <c r="AA43"/>
  <c r="T44"/>
  <c r="T45"/>
  <c r="T46"/>
  <c r="T47"/>
  <c r="T48"/>
  <c r="T49"/>
  <c r="T50"/>
  <c r="T51"/>
  <c r="T52"/>
  <c r="T53"/>
  <c r="T54"/>
  <c r="T55"/>
  <c r="T56"/>
  <c r="T57"/>
  <c r="T58"/>
  <c r="T59"/>
  <c r="T43"/>
  <c r="M44"/>
  <c r="M45"/>
  <c r="M46"/>
  <c r="M47"/>
  <c r="M48"/>
  <c r="M50"/>
  <c r="M51"/>
  <c r="M52"/>
  <c r="M53"/>
  <c r="M54"/>
  <c r="M55"/>
  <c r="M56"/>
  <c r="M57"/>
  <c r="M58"/>
  <c r="M43"/>
  <c r="AR121"/>
  <c r="AV7"/>
  <c r="AV8"/>
  <c r="AV12"/>
  <c r="AV13"/>
  <c r="AV14"/>
  <c r="AV15"/>
  <c r="AV16"/>
  <c r="AV17"/>
  <c r="AV18"/>
  <c r="AV19"/>
  <c r="AV20"/>
  <c r="AV21"/>
  <c r="AV22"/>
  <c r="AV23"/>
  <c r="AV24"/>
  <c r="AV6"/>
  <c r="AO7"/>
  <c r="AO8"/>
  <c r="AO9"/>
  <c r="AO10"/>
  <c r="AO11"/>
  <c r="AO12"/>
  <c r="AO13"/>
  <c r="AO14"/>
  <c r="AO15"/>
  <c r="AO16"/>
  <c r="AO17"/>
  <c r="AO18"/>
  <c r="AO19"/>
  <c r="AO20"/>
  <c r="AO21"/>
  <c r="AO22"/>
  <c r="AO23"/>
  <c r="AO24"/>
  <c r="AO6"/>
  <c r="AH7"/>
  <c r="AH8"/>
  <c r="AH9"/>
  <c r="AH10"/>
  <c r="AH11"/>
  <c r="AH12"/>
  <c r="AH13"/>
  <c r="AH14"/>
  <c r="AH15"/>
  <c r="AH16"/>
  <c r="AH17"/>
  <c r="AH18"/>
  <c r="AH19"/>
  <c r="AH20"/>
  <c r="AH21"/>
  <c r="AH22"/>
  <c r="AH23"/>
  <c r="AH24"/>
  <c r="AH6"/>
  <c r="AA7"/>
  <c r="AA8"/>
  <c r="AA9"/>
  <c r="AA10"/>
  <c r="AA11"/>
  <c r="AA12"/>
  <c r="AA13"/>
  <c r="AA14"/>
  <c r="AA15"/>
  <c r="AA16"/>
  <c r="AA17"/>
  <c r="AA18"/>
  <c r="AA19"/>
  <c r="AA20"/>
  <c r="AA21"/>
  <c r="AA22"/>
  <c r="AA23"/>
  <c r="AA24"/>
  <c r="M7"/>
  <c r="AA6"/>
  <c r="T7"/>
  <c r="T8"/>
  <c r="T9"/>
  <c r="T10"/>
  <c r="T11"/>
  <c r="T12"/>
  <c r="T13"/>
  <c r="T14"/>
  <c r="T15"/>
  <c r="T16"/>
  <c r="T17"/>
  <c r="T18"/>
  <c r="T19"/>
  <c r="T20"/>
  <c r="T21"/>
  <c r="T22"/>
  <c r="T24"/>
  <c r="T25"/>
  <c r="T6"/>
  <c r="M8"/>
  <c r="M10"/>
  <c r="M11"/>
  <c r="M12"/>
  <c r="M13"/>
  <c r="M14"/>
  <c r="M15"/>
  <c r="M16"/>
  <c r="M18"/>
  <c r="M19"/>
  <c r="M20"/>
  <c r="M21"/>
  <c r="M22"/>
  <c r="M23"/>
  <c r="M25"/>
  <c r="I98" i="10"/>
  <c r="I17" i="120" s="1"/>
  <c r="D223" i="62" s="1"/>
  <c r="K31" i="60"/>
  <c r="K31" i="122" s="1"/>
  <c r="K27" i="60"/>
  <c r="D180" i="62"/>
  <c r="AM24" i="119" l="1"/>
  <c r="K24" i="121"/>
  <c r="K27" i="122"/>
  <c r="AM25" i="119"/>
  <c r="AM23"/>
  <c r="Q44" i="115"/>
  <c r="AL25" i="119"/>
  <c r="Y76" i="120"/>
  <c r="Q76"/>
  <c r="I76"/>
  <c r="Y34"/>
  <c r="Q34"/>
  <c r="K35"/>
  <c r="K36"/>
  <c r="I34"/>
  <c r="I35"/>
  <c r="I36"/>
  <c r="M48"/>
  <c r="O48" s="1"/>
  <c r="AC49"/>
  <c r="AC50"/>
  <c r="AE51" s="1"/>
  <c r="AC51"/>
  <c r="AC52"/>
  <c r="AE52" s="1"/>
  <c r="AC53"/>
  <c r="AC54"/>
  <c r="AE54" s="1"/>
  <c r="AC55"/>
  <c r="AC57"/>
  <c r="AE57" s="1"/>
  <c r="AC48"/>
  <c r="AE49" s="1"/>
  <c r="U49"/>
  <c r="U50"/>
  <c r="W50" s="1"/>
  <c r="U51"/>
  <c r="U52"/>
  <c r="W53" s="1"/>
  <c r="U53"/>
  <c r="U54"/>
  <c r="U55"/>
  <c r="U57"/>
  <c r="W57" s="1"/>
  <c r="U48"/>
  <c r="W48" s="1"/>
  <c r="M49"/>
  <c r="M50"/>
  <c r="M51"/>
  <c r="M52"/>
  <c r="O53" s="1"/>
  <c r="M53"/>
  <c r="M54"/>
  <c r="O55" s="1"/>
  <c r="M55"/>
  <c r="M57"/>
  <c r="O57" s="1"/>
  <c r="O56"/>
  <c r="O54"/>
  <c r="W56"/>
  <c r="W49"/>
  <c r="AE56"/>
  <c r="AE53"/>
  <c r="AC7"/>
  <c r="AC8"/>
  <c r="AE8" s="1"/>
  <c r="AC9"/>
  <c r="AC10"/>
  <c r="AE10" s="1"/>
  <c r="AC11"/>
  <c r="AC12"/>
  <c r="AE12" s="1"/>
  <c r="AC13"/>
  <c r="AE14"/>
  <c r="AC15"/>
  <c r="AE15" s="1"/>
  <c r="AC6"/>
  <c r="AE6" s="1"/>
  <c r="U7"/>
  <c r="U8"/>
  <c r="U9"/>
  <c r="U10"/>
  <c r="U11"/>
  <c r="U12"/>
  <c r="U13"/>
  <c r="W14"/>
  <c r="U15"/>
  <c r="W15" s="1"/>
  <c r="U6"/>
  <c r="O51" l="1"/>
  <c r="W13"/>
  <c r="W7"/>
  <c r="W54"/>
  <c r="W55" s="1"/>
  <c r="AE50"/>
  <c r="AE55"/>
  <c r="O50"/>
  <c r="O49"/>
  <c r="O52"/>
  <c r="W51"/>
  <c r="W52"/>
  <c r="AE48"/>
  <c r="W6"/>
  <c r="W8"/>
  <c r="W9" s="1"/>
  <c r="W10"/>
  <c r="W11" s="1"/>
  <c r="W12"/>
  <c r="AE7"/>
  <c r="AE9"/>
  <c r="AE11"/>
  <c r="AE13"/>
  <c r="M7"/>
  <c r="M8"/>
  <c r="M9"/>
  <c r="M10"/>
  <c r="M11"/>
  <c r="M12"/>
  <c r="M13"/>
  <c r="O14"/>
  <c r="M15"/>
  <c r="O15" s="1"/>
  <c r="M6"/>
  <c r="O6" s="1"/>
  <c r="O7" s="1"/>
  <c r="AD45"/>
  <c r="AD3"/>
  <c r="AU112" i="24"/>
  <c r="H100" i="88"/>
  <c r="AM7" i="119"/>
  <c r="E169" i="69" s="1"/>
  <c r="AM8" i="119"/>
  <c r="E170" i="69" s="1"/>
  <c r="AM9" i="119"/>
  <c r="E171" i="69" s="1"/>
  <c r="AM10" i="119"/>
  <c r="E172" i="69" s="1"/>
  <c r="AM11" i="119"/>
  <c r="E173" i="69" s="1"/>
  <c r="AM12" i="119"/>
  <c r="E174" i="69" s="1"/>
  <c r="AM13" i="119"/>
  <c r="E175" i="69" s="1"/>
  <c r="AM14" i="119"/>
  <c r="E176" i="69" s="1"/>
  <c r="AM15" i="119"/>
  <c r="E177" i="69" s="1"/>
  <c r="AM16" i="119"/>
  <c r="E178" i="69" s="1"/>
  <c r="AM17" i="119"/>
  <c r="E179" i="69" s="1"/>
  <c r="AM18" i="119"/>
  <c r="E180" i="69" s="1"/>
  <c r="AM19" i="119"/>
  <c r="E181" i="69" s="1"/>
  <c r="AM20" i="119"/>
  <c r="E182" i="69" s="1"/>
  <c r="AM21" i="119"/>
  <c r="E183" i="69" s="1"/>
  <c r="AL22" i="119"/>
  <c r="D184" i="69" s="1"/>
  <c r="AM22" i="119"/>
  <c r="E184" i="69" s="1"/>
  <c r="E185"/>
  <c r="E186"/>
  <c r="D187"/>
  <c r="E187"/>
  <c r="AM6" i="119"/>
  <c r="E168" i="69" s="1"/>
  <c r="B3" i="119"/>
  <c r="L115" i="24"/>
  <c r="I115"/>
  <c r="D64" i="69"/>
  <c r="E64"/>
  <c r="F64"/>
  <c r="G64"/>
  <c r="H64"/>
  <c r="I64"/>
  <c r="O12" i="120" l="1"/>
  <c r="O13"/>
  <c r="O10"/>
  <c r="O11" s="1"/>
  <c r="O8"/>
  <c r="O9" s="1"/>
  <c r="I158" i="69"/>
  <c r="H158"/>
  <c r="I115"/>
  <c r="I117"/>
  <c r="I119"/>
  <c r="I121"/>
  <c r="H115"/>
  <c r="H117"/>
  <c r="H119"/>
  <c r="H121"/>
  <c r="G115"/>
  <c r="G117"/>
  <c r="G119"/>
  <c r="G121"/>
  <c r="I62"/>
  <c r="I66"/>
  <c r="I68"/>
  <c r="H62"/>
  <c r="H66"/>
  <c r="H68"/>
  <c r="G62"/>
  <c r="G66"/>
  <c r="G68"/>
  <c r="I6"/>
  <c r="I7"/>
  <c r="I9"/>
  <c r="I10"/>
  <c r="I12"/>
  <c r="I14"/>
  <c r="H6"/>
  <c r="H7"/>
  <c r="H9"/>
  <c r="H10"/>
  <c r="H12"/>
  <c r="H14"/>
  <c r="G6"/>
  <c r="G7"/>
  <c r="G9"/>
  <c r="G10"/>
  <c r="G12"/>
  <c r="G14"/>
  <c r="I120" i="24"/>
  <c r="I38" i="113"/>
  <c r="G35" i="69" s="1"/>
  <c r="I38" i="61"/>
  <c r="H12" i="118"/>
  <c r="G12"/>
  <c r="H11"/>
  <c r="G11"/>
  <c r="H8"/>
  <c r="G8"/>
  <c r="H7"/>
  <c r="G7"/>
  <c r="H6"/>
  <c r="G6"/>
  <c r="H12" i="117"/>
  <c r="G12"/>
  <c r="H11"/>
  <c r="G11"/>
  <c r="H8"/>
  <c r="G8"/>
  <c r="H7"/>
  <c r="G7"/>
  <c r="H6"/>
  <c r="G6"/>
  <c r="G31" i="56"/>
  <c r="G30"/>
  <c r="H44" i="115"/>
  <c r="G44"/>
  <c r="H43"/>
  <c r="G43"/>
  <c r="O40"/>
  <c r="G40"/>
  <c r="H39"/>
  <c r="G39"/>
  <c r="S36"/>
  <c r="H36"/>
  <c r="H35"/>
  <c r="G35"/>
  <c r="H34"/>
  <c r="G34"/>
  <c r="H33"/>
  <c r="G33"/>
  <c r="H32"/>
  <c r="G32"/>
  <c r="H31"/>
  <c r="G31"/>
  <c r="H30"/>
  <c r="G30"/>
  <c r="H29"/>
  <c r="G29"/>
  <c r="G26"/>
  <c r="G25"/>
  <c r="S24"/>
  <c r="O24"/>
  <c r="K24"/>
  <c r="H24"/>
  <c r="G24"/>
  <c r="H23"/>
  <c r="G23"/>
  <c r="H22"/>
  <c r="G22"/>
  <c r="H17"/>
  <c r="G17"/>
  <c r="H16"/>
  <c r="G16"/>
  <c r="H15"/>
  <c r="G15"/>
  <c r="H14"/>
  <c r="G14"/>
  <c r="H12"/>
  <c r="G12"/>
  <c r="H10"/>
  <c r="G10"/>
  <c r="H8"/>
  <c r="G8"/>
  <c r="H6"/>
  <c r="G6"/>
  <c r="S3"/>
  <c r="Q3" i="118" s="1"/>
  <c r="H37" i="114"/>
  <c r="G37"/>
  <c r="H36"/>
  <c r="G36"/>
  <c r="H33"/>
  <c r="G33"/>
  <c r="H32"/>
  <c r="G32"/>
  <c r="H31"/>
  <c r="G31"/>
  <c r="H30"/>
  <c r="G30"/>
  <c r="H29"/>
  <c r="G29"/>
  <c r="H28"/>
  <c r="G28"/>
  <c r="H27"/>
  <c r="G27"/>
  <c r="H26"/>
  <c r="G26"/>
  <c r="S23"/>
  <c r="O23"/>
  <c r="K23"/>
  <c r="H23"/>
  <c r="G23"/>
  <c r="H22"/>
  <c r="G22"/>
  <c r="H21"/>
  <c r="G21"/>
  <c r="H20"/>
  <c r="G20"/>
  <c r="H19"/>
  <c r="G19"/>
  <c r="H18"/>
  <c r="G18"/>
  <c r="S17"/>
  <c r="I104" i="69" s="1"/>
  <c r="O17" i="114"/>
  <c r="H104" i="69" s="1"/>
  <c r="K17" i="114"/>
  <c r="G104" i="69" s="1"/>
  <c r="H17" i="114"/>
  <c r="G17"/>
  <c r="H16"/>
  <c r="G16"/>
  <c r="H15"/>
  <c r="G15"/>
  <c r="H14"/>
  <c r="G14"/>
  <c r="H12"/>
  <c r="G12"/>
  <c r="H10"/>
  <c r="G10"/>
  <c r="H8"/>
  <c r="G8"/>
  <c r="H6"/>
  <c r="G6"/>
  <c r="S3"/>
  <c r="Q39" i="113"/>
  <c r="I36" i="69" s="1"/>
  <c r="M39" i="113"/>
  <c r="H36" i="69" s="1"/>
  <c r="I39" i="113"/>
  <c r="G36" i="69" s="1"/>
  <c r="H39" i="113"/>
  <c r="G39"/>
  <c r="Q38"/>
  <c r="I35" i="69" s="1"/>
  <c r="M38" i="113"/>
  <c r="H35" i="69" s="1"/>
  <c r="H38" i="113"/>
  <c r="G38"/>
  <c r="Q35"/>
  <c r="M35"/>
  <c r="I35"/>
  <c r="H35"/>
  <c r="G35"/>
  <c r="Q34"/>
  <c r="I31" i="69" s="1"/>
  <c r="M34" i="113"/>
  <c r="H31" i="69" s="1"/>
  <c r="I34" i="113"/>
  <c r="G31" i="69" s="1"/>
  <c r="H34" i="113"/>
  <c r="G34"/>
  <c r="Q33"/>
  <c r="I30" i="69" s="1"/>
  <c r="M33" i="113"/>
  <c r="H30" i="69" s="1"/>
  <c r="I33" i="113"/>
  <c r="G30" i="69" s="1"/>
  <c r="H33" i="113"/>
  <c r="G33"/>
  <c r="Q32"/>
  <c r="I29" i="69" s="1"/>
  <c r="M32" i="113"/>
  <c r="H29" i="69" s="1"/>
  <c r="I32" i="113"/>
  <c r="G29" i="69" s="1"/>
  <c r="H32" i="113"/>
  <c r="G32"/>
  <c r="Q31"/>
  <c r="I28" i="69" s="1"/>
  <c r="M31" i="113"/>
  <c r="H28" i="69" s="1"/>
  <c r="I31" i="113"/>
  <c r="G28" i="69" s="1"/>
  <c r="H31" i="113"/>
  <c r="G31"/>
  <c r="Q30"/>
  <c r="I27" i="69" s="1"/>
  <c r="M30" i="113"/>
  <c r="H27" i="69" s="1"/>
  <c r="I30" i="113"/>
  <c r="G27" i="69" s="1"/>
  <c r="H30" i="113"/>
  <c r="G30"/>
  <c r="Q29"/>
  <c r="I26" i="69" s="1"/>
  <c r="M29" i="113"/>
  <c r="H26" i="69" s="1"/>
  <c r="I29" i="113"/>
  <c r="G26" i="69" s="1"/>
  <c r="H29" i="113"/>
  <c r="G29"/>
  <c r="Q28"/>
  <c r="I25" i="69" s="1"/>
  <c r="M28" i="113"/>
  <c r="H25" i="69" s="1"/>
  <c r="I28" i="113"/>
  <c r="G25" i="69" s="1"/>
  <c r="H28" i="113"/>
  <c r="G28"/>
  <c r="S25"/>
  <c r="O25"/>
  <c r="K25"/>
  <c r="H25"/>
  <c r="G25"/>
  <c r="H24"/>
  <c r="G24"/>
  <c r="H23"/>
  <c r="G23"/>
  <c r="H22"/>
  <c r="G22"/>
  <c r="H21"/>
  <c r="G21"/>
  <c r="H20"/>
  <c r="G20"/>
  <c r="S19"/>
  <c r="I52" i="69" s="1"/>
  <c r="O19" i="113"/>
  <c r="H52" i="69" s="1"/>
  <c r="K19" i="113"/>
  <c r="G52" i="69" s="1"/>
  <c r="H19" i="113"/>
  <c r="G19"/>
  <c r="H18"/>
  <c r="G18"/>
  <c r="H17"/>
  <c r="G17"/>
  <c r="H16"/>
  <c r="G16"/>
  <c r="H14"/>
  <c r="G14"/>
  <c r="H12"/>
  <c r="G12"/>
  <c r="H9"/>
  <c r="G9"/>
  <c r="H6"/>
  <c r="G6"/>
  <c r="S3"/>
  <c r="I107" i="24"/>
  <c r="E51" i="112"/>
  <c r="E50"/>
  <c r="S35" i="60"/>
  <c r="I73" i="46"/>
  <c r="I117" i="24"/>
  <c r="I132" s="1"/>
  <c r="I109"/>
  <c r="I31" i="60" s="1"/>
  <c r="I31" i="122" s="1"/>
  <c r="I110" i="24"/>
  <c r="I32" i="60" s="1"/>
  <c r="I101" i="24"/>
  <c r="I128" s="1"/>
  <c r="J73" i="7" s="1"/>
  <c r="I68" i="24"/>
  <c r="K33" i="58"/>
  <c r="K35" i="46"/>
  <c r="I98" i="24"/>
  <c r="I27" i="60"/>
  <c r="L70" i="24"/>
  <c r="G12" i="112"/>
  <c r="H24" i="56"/>
  <c r="H23"/>
  <c r="H22"/>
  <c r="H17"/>
  <c r="H16"/>
  <c r="H15"/>
  <c r="H14"/>
  <c r="H12"/>
  <c r="H10"/>
  <c r="H8"/>
  <c r="H6"/>
  <c r="H39"/>
  <c r="H36"/>
  <c r="H35"/>
  <c r="H34"/>
  <c r="H33"/>
  <c r="H32"/>
  <c r="H31"/>
  <c r="H30"/>
  <c r="H29"/>
  <c r="H44"/>
  <c r="H43"/>
  <c r="H37" i="54"/>
  <c r="H36"/>
  <c r="H33"/>
  <c r="H32"/>
  <c r="H31"/>
  <c r="H30"/>
  <c r="H29"/>
  <c r="H28"/>
  <c r="H27"/>
  <c r="H26"/>
  <c r="H23"/>
  <c r="H22"/>
  <c r="H21"/>
  <c r="H20"/>
  <c r="H19"/>
  <c r="H18"/>
  <c r="H17"/>
  <c r="H16"/>
  <c r="H15"/>
  <c r="H14"/>
  <c r="H12"/>
  <c r="H10"/>
  <c r="H8"/>
  <c r="H6"/>
  <c r="S35" i="122" l="1"/>
  <c r="I24" i="121"/>
  <c r="I27" i="122"/>
  <c r="D193" i="62"/>
  <c r="I32" i="122"/>
  <c r="I16" i="121"/>
  <c r="S35" i="120"/>
  <c r="S32" i="121"/>
  <c r="I8" i="117"/>
  <c r="G25" i="119" s="1"/>
  <c r="J16" i="7"/>
  <c r="J37"/>
  <c r="L89" i="24"/>
  <c r="J58" i="7"/>
  <c r="I11" i="117"/>
  <c r="G17" i="119"/>
  <c r="I34" i="56"/>
  <c r="I140" i="69"/>
  <c r="H39" i="61"/>
  <c r="H38"/>
  <c r="H35"/>
  <c r="H34"/>
  <c r="H33"/>
  <c r="H32"/>
  <c r="H31"/>
  <c r="H29"/>
  <c r="H30"/>
  <c r="H28"/>
  <c r="H25"/>
  <c r="H24"/>
  <c r="H23"/>
  <c r="H22"/>
  <c r="H21"/>
  <c r="H20"/>
  <c r="H19"/>
  <c r="H18"/>
  <c r="H17"/>
  <c r="H16"/>
  <c r="H14"/>
  <c r="H12"/>
  <c r="H9"/>
  <c r="H6"/>
  <c r="F121" i="10"/>
  <c r="F120"/>
  <c r="F106"/>
  <c r="F107"/>
  <c r="F108"/>
  <c r="F109"/>
  <c r="F110"/>
  <c r="F115"/>
  <c r="F116"/>
  <c r="F117"/>
  <c r="F132" s="1"/>
  <c r="F118"/>
  <c r="F133" s="1"/>
  <c r="F105"/>
  <c r="F80"/>
  <c r="F82"/>
  <c r="F84"/>
  <c r="F86"/>
  <c r="F88"/>
  <c r="F89"/>
  <c r="F95"/>
  <c r="F96"/>
  <c r="F97"/>
  <c r="I68" i="7"/>
  <c r="F99" i="10"/>
  <c r="F126" s="1"/>
  <c r="F100"/>
  <c r="F127" s="1"/>
  <c r="F101"/>
  <c r="I73" i="7" s="1"/>
  <c r="F78" i="10"/>
  <c r="F73"/>
  <c r="H75" i="58" s="1"/>
  <c r="F72" i="10"/>
  <c r="H36" i="58" s="1"/>
  <c r="F64" i="10"/>
  <c r="H65" i="58" s="1"/>
  <c r="F65" i="10"/>
  <c r="H28" i="58" s="1"/>
  <c r="H67"/>
  <c r="F67" i="10"/>
  <c r="H68" i="58" s="1"/>
  <c r="F68" i="10"/>
  <c r="H69" i="58" s="1"/>
  <c r="F69" i="10"/>
  <c r="H32" i="58" s="1"/>
  <c r="H71"/>
  <c r="F63" i="10"/>
  <c r="H64" i="58" s="1"/>
  <c r="F45" i="10"/>
  <c r="H46" i="58" s="1"/>
  <c r="F47" i="10"/>
  <c r="H10" i="58" s="1"/>
  <c r="F49" i="10"/>
  <c r="H50" i="58" s="1"/>
  <c r="F51" i="10"/>
  <c r="H14" i="58" s="1"/>
  <c r="F52" i="10"/>
  <c r="H53" i="58" s="1"/>
  <c r="H16"/>
  <c r="I44" i="7"/>
  <c r="H56" i="58"/>
  <c r="H57"/>
  <c r="H20"/>
  <c r="H59"/>
  <c r="F59" i="10"/>
  <c r="F60"/>
  <c r="F43"/>
  <c r="H6" i="58" s="1"/>
  <c r="F38" i="10"/>
  <c r="H39" i="46" s="1"/>
  <c r="F37" i="10"/>
  <c r="H78" i="46" s="1"/>
  <c r="F29" i="10"/>
  <c r="F30"/>
  <c r="H71" i="46"/>
  <c r="F32" i="10"/>
  <c r="H75" i="46"/>
  <c r="F28" i="10"/>
  <c r="F9"/>
  <c r="H49" i="46" s="1"/>
  <c r="F12" i="10"/>
  <c r="H52" i="46" s="1"/>
  <c r="F14" i="10"/>
  <c r="H54" i="46" s="1"/>
  <c r="F16" i="10"/>
  <c r="H16" i="46" s="1"/>
  <c r="F17" i="10"/>
  <c r="H57" i="46" s="1"/>
  <c r="H58"/>
  <c r="F19" i="10"/>
  <c r="H60" i="46"/>
  <c r="F21" i="10"/>
  <c r="H61" i="46" s="1"/>
  <c r="H22"/>
  <c r="H63"/>
  <c r="F24" i="10"/>
  <c r="F25"/>
  <c r="F6"/>
  <c r="H6" i="46" s="1"/>
  <c r="AA35" i="60"/>
  <c r="Y35"/>
  <c r="Q35"/>
  <c r="AA77"/>
  <c r="Y77"/>
  <c r="S77"/>
  <c r="Q77"/>
  <c r="K77"/>
  <c r="D74" i="112"/>
  <c r="D73"/>
  <c r="E88" i="10"/>
  <c r="G88"/>
  <c r="E89"/>
  <c r="G59" i="60" s="1"/>
  <c r="D12" i="112"/>
  <c r="A1" i="7"/>
  <c r="G40" i="56"/>
  <c r="AU116" i="24"/>
  <c r="S40" i="115" s="1"/>
  <c r="AR116" i="24"/>
  <c r="Q40" i="115" s="1"/>
  <c r="AN116" i="24"/>
  <c r="AK116"/>
  <c r="M40" i="115" s="1"/>
  <c r="AG116" i="24"/>
  <c r="K40" i="115" s="1"/>
  <c r="AD116" i="24"/>
  <c r="I40" i="115" s="1"/>
  <c r="Z116" i="24"/>
  <c r="S40" i="56" s="1"/>
  <c r="W116" i="24"/>
  <c r="Q40" i="56" s="1"/>
  <c r="S116" i="24"/>
  <c r="O40" i="56" s="1"/>
  <c r="P116" i="24"/>
  <c r="M40" i="56" s="1"/>
  <c r="L116" i="24"/>
  <c r="K40" i="56" s="1"/>
  <c r="I116" i="24"/>
  <c r="I40" i="56" s="1"/>
  <c r="P109" i="24"/>
  <c r="E116" i="10"/>
  <c r="E105"/>
  <c r="E106"/>
  <c r="E107"/>
  <c r="E108"/>
  <c r="E109"/>
  <c r="E110"/>
  <c r="E115"/>
  <c r="G37" i="54"/>
  <c r="G36"/>
  <c r="G33"/>
  <c r="G32"/>
  <c r="G31"/>
  <c r="G30"/>
  <c r="G29"/>
  <c r="G28"/>
  <c r="G27"/>
  <c r="G26"/>
  <c r="G23"/>
  <c r="G22"/>
  <c r="G21"/>
  <c r="G20"/>
  <c r="G19"/>
  <c r="G18"/>
  <c r="G17"/>
  <c r="G16"/>
  <c r="G15"/>
  <c r="G14"/>
  <c r="G12"/>
  <c r="G10"/>
  <c r="G8"/>
  <c r="G6"/>
  <c r="G25" i="61"/>
  <c r="G24"/>
  <c r="G23"/>
  <c r="G22"/>
  <c r="G21"/>
  <c r="G20"/>
  <c r="G19"/>
  <c r="G18"/>
  <c r="G17"/>
  <c r="G16"/>
  <c r="G14"/>
  <c r="G12"/>
  <c r="G9"/>
  <c r="G6"/>
  <c r="G35"/>
  <c r="G34"/>
  <c r="G33"/>
  <c r="G32"/>
  <c r="G31"/>
  <c r="G30"/>
  <c r="G29"/>
  <c r="G28"/>
  <c r="G39"/>
  <c r="G38"/>
  <c r="E121" i="10"/>
  <c r="E120"/>
  <c r="E117"/>
  <c r="E132" s="1"/>
  <c r="E118"/>
  <c r="E133" s="1"/>
  <c r="G80"/>
  <c r="O8" i="60" s="1"/>
  <c r="O9" s="1"/>
  <c r="G82" i="10"/>
  <c r="O10" i="60" s="1"/>
  <c r="O11" s="1"/>
  <c r="G84" i="10"/>
  <c r="G86"/>
  <c r="G95"/>
  <c r="G96"/>
  <c r="G97"/>
  <c r="O16" i="120" s="1"/>
  <c r="G98" i="10"/>
  <c r="G99"/>
  <c r="G100"/>
  <c r="G101"/>
  <c r="G78"/>
  <c r="O6" i="60" s="1"/>
  <c r="O7" s="1"/>
  <c r="E80" i="10"/>
  <c r="E82"/>
  <c r="E84"/>
  <c r="E86"/>
  <c r="E95"/>
  <c r="E96"/>
  <c r="E97"/>
  <c r="E98"/>
  <c r="E99"/>
  <c r="E126" s="1"/>
  <c r="E100"/>
  <c r="E127" s="1"/>
  <c r="E101"/>
  <c r="E128" s="1"/>
  <c r="E78"/>
  <c r="E73"/>
  <c r="G75" i="58" s="1"/>
  <c r="E72" i="10"/>
  <c r="G74" i="58" s="1"/>
  <c r="E64" i="10"/>
  <c r="G65" i="58" s="1"/>
  <c r="E65" i="10"/>
  <c r="G66" i="58" s="1"/>
  <c r="G67"/>
  <c r="E67" i="10"/>
  <c r="G68" i="58" s="1"/>
  <c r="E68" i="10"/>
  <c r="G69" i="58" s="1"/>
  <c r="E69" i="10"/>
  <c r="G70" i="58" s="1"/>
  <c r="G71"/>
  <c r="E63" i="10"/>
  <c r="G64" i="58" s="1"/>
  <c r="G45" i="10"/>
  <c r="G47"/>
  <c r="G49"/>
  <c r="G51"/>
  <c r="O16" i="58"/>
  <c r="O18"/>
  <c r="O19"/>
  <c r="O20"/>
  <c r="G59" i="10"/>
  <c r="G43"/>
  <c r="E45"/>
  <c r="G46" i="58" s="1"/>
  <c r="E47" i="10"/>
  <c r="G48" i="58" s="1"/>
  <c r="E49" i="10"/>
  <c r="G50" i="58" s="1"/>
  <c r="E51" i="10"/>
  <c r="G52" i="58" s="1"/>
  <c r="G53"/>
  <c r="G54"/>
  <c r="G55"/>
  <c r="G56"/>
  <c r="G57"/>
  <c r="G58"/>
  <c r="G59"/>
  <c r="E59" i="10"/>
  <c r="E60"/>
  <c r="E43"/>
  <c r="G44" i="58" s="1"/>
  <c r="E38" i="10"/>
  <c r="G79" i="46" s="1"/>
  <c r="E37" i="10"/>
  <c r="G78" i="46" s="1"/>
  <c r="E29" i="10"/>
  <c r="E30"/>
  <c r="G70" i="46" s="1"/>
  <c r="G71"/>
  <c r="E32" i="10"/>
  <c r="G73" i="46"/>
  <c r="G75"/>
  <c r="E28" i="10"/>
  <c r="G9"/>
  <c r="G12"/>
  <c r="G14"/>
  <c r="G16"/>
  <c r="G17"/>
  <c r="G18"/>
  <c r="G19"/>
  <c r="G20"/>
  <c r="G21"/>
  <c r="G24"/>
  <c r="O24" i="46" s="1"/>
  <c r="G6" i="10"/>
  <c r="E9"/>
  <c r="G49" i="46" s="1"/>
  <c r="E12" i="10"/>
  <c r="G52" i="46" s="1"/>
  <c r="E14" i="10"/>
  <c r="G54" i="46" s="1"/>
  <c r="E16" i="10"/>
  <c r="G56" i="46" s="1"/>
  <c r="E17" i="10"/>
  <c r="G57" i="46" s="1"/>
  <c r="G58"/>
  <c r="E19" i="10"/>
  <c r="G59" i="46" s="1"/>
  <c r="G60"/>
  <c r="E21" i="10"/>
  <c r="G61" i="46" s="1"/>
  <c r="G62"/>
  <c r="G63"/>
  <c r="E24" i="10"/>
  <c r="E25"/>
  <c r="E6"/>
  <c r="G46" i="46" s="1"/>
  <c r="G44" i="56"/>
  <c r="G43"/>
  <c r="G39"/>
  <c r="G36"/>
  <c r="G35"/>
  <c r="G34"/>
  <c r="G33"/>
  <c r="G32"/>
  <c r="G29"/>
  <c r="G26"/>
  <c r="G25"/>
  <c r="G24"/>
  <c r="G23"/>
  <c r="G22"/>
  <c r="G17"/>
  <c r="G16"/>
  <c r="G15"/>
  <c r="G14"/>
  <c r="G12"/>
  <c r="G10"/>
  <c r="G8"/>
  <c r="G6"/>
  <c r="AE102" i="10" l="1"/>
  <c r="X102"/>
  <c r="AL102"/>
  <c r="J102"/>
  <c r="Q102"/>
  <c r="AS102"/>
  <c r="Q129"/>
  <c r="S129" s="1"/>
  <c r="AE129"/>
  <c r="AG129" s="1"/>
  <c r="X129"/>
  <c r="Z129" s="1"/>
  <c r="AL129"/>
  <c r="AN129" s="1"/>
  <c r="J129"/>
  <c r="L129" s="1"/>
  <c r="AS129"/>
  <c r="AU129" s="1"/>
  <c r="G12" i="121"/>
  <c r="G46"/>
  <c r="G8"/>
  <c r="G42"/>
  <c r="BE48" i="60"/>
  <c r="AW48"/>
  <c r="O48" i="121"/>
  <c r="W48"/>
  <c r="H12"/>
  <c r="H46"/>
  <c r="H8"/>
  <c r="H42"/>
  <c r="G6"/>
  <c r="G40"/>
  <c r="G10"/>
  <c r="G44"/>
  <c r="BE49" i="60"/>
  <c r="AW49"/>
  <c r="O49" i="121"/>
  <c r="W49"/>
  <c r="H6"/>
  <c r="H40"/>
  <c r="H10"/>
  <c r="H44"/>
  <c r="K77" i="122"/>
  <c r="S77"/>
  <c r="AA77"/>
  <c r="Y35"/>
  <c r="Q77"/>
  <c r="Y77"/>
  <c r="Q35"/>
  <c r="AA35"/>
  <c r="G54" i="60"/>
  <c r="G54" i="122"/>
  <c r="G12"/>
  <c r="G12" i="60"/>
  <c r="G50"/>
  <c r="G50" i="122"/>
  <c r="G8"/>
  <c r="G8" i="60"/>
  <c r="L92" i="10"/>
  <c r="K20" i="120" s="1"/>
  <c r="G40" i="122"/>
  <c r="G82"/>
  <c r="G31"/>
  <c r="G73"/>
  <c r="G29"/>
  <c r="G71"/>
  <c r="G27"/>
  <c r="G69"/>
  <c r="H6"/>
  <c r="H48"/>
  <c r="H17"/>
  <c r="H59"/>
  <c r="H56"/>
  <c r="H14"/>
  <c r="H10"/>
  <c r="H52"/>
  <c r="H69"/>
  <c r="H27"/>
  <c r="H73"/>
  <c r="H31"/>
  <c r="H71"/>
  <c r="H29"/>
  <c r="H82"/>
  <c r="H40"/>
  <c r="G48" i="60"/>
  <c r="G48" i="122"/>
  <c r="G6"/>
  <c r="G6" i="60"/>
  <c r="G14" i="122"/>
  <c r="G56"/>
  <c r="G52" i="60"/>
  <c r="G52" i="122"/>
  <c r="G10"/>
  <c r="G10" i="60"/>
  <c r="G83" i="122"/>
  <c r="G41"/>
  <c r="G74"/>
  <c r="G32"/>
  <c r="G30"/>
  <c r="G72"/>
  <c r="G28"/>
  <c r="G70"/>
  <c r="G17"/>
  <c r="G59"/>
  <c r="G16"/>
  <c r="G58"/>
  <c r="H16"/>
  <c r="H58"/>
  <c r="H54"/>
  <c r="H12"/>
  <c r="H50"/>
  <c r="H8"/>
  <c r="H74"/>
  <c r="H32"/>
  <c r="H72"/>
  <c r="H30"/>
  <c r="H70"/>
  <c r="H28"/>
  <c r="H41"/>
  <c r="H83"/>
  <c r="W65" i="120"/>
  <c r="AE23"/>
  <c r="O23"/>
  <c r="AE65"/>
  <c r="O65"/>
  <c r="W23"/>
  <c r="W65" i="60"/>
  <c r="O23"/>
  <c r="AE64" i="46"/>
  <c r="W64"/>
  <c r="O64"/>
  <c r="AE24"/>
  <c r="W24"/>
  <c r="W58"/>
  <c r="AE18"/>
  <c r="O18"/>
  <c r="AE58"/>
  <c r="O58"/>
  <c r="W18"/>
  <c r="H58" i="60"/>
  <c r="H16"/>
  <c r="G32"/>
  <c r="G74"/>
  <c r="G17"/>
  <c r="G58"/>
  <c r="G16"/>
  <c r="I66" i="7"/>
  <c r="H59" i="60"/>
  <c r="H17"/>
  <c r="H32"/>
  <c r="H74"/>
  <c r="G68" i="46"/>
  <c r="G28"/>
  <c r="G69"/>
  <c r="G29"/>
  <c r="H68"/>
  <c r="H28"/>
  <c r="H74"/>
  <c r="H34"/>
  <c r="H72"/>
  <c r="H32"/>
  <c r="H30"/>
  <c r="H70"/>
  <c r="G74"/>
  <c r="G34"/>
  <c r="G72"/>
  <c r="G32"/>
  <c r="H33"/>
  <c r="H73"/>
  <c r="H69"/>
  <c r="H29"/>
  <c r="J128" i="24"/>
  <c r="I77" i="120"/>
  <c r="I66" i="121"/>
  <c r="K77" i="120"/>
  <c r="K66" i="121"/>
  <c r="Q77" i="120"/>
  <c r="Q66" i="121"/>
  <c r="S77" i="120"/>
  <c r="S66" i="121"/>
  <c r="Y77" i="120"/>
  <c r="Y66" i="121"/>
  <c r="AA77" i="120"/>
  <c r="AA66" i="121"/>
  <c r="Q35" i="120"/>
  <c r="Q32" i="121"/>
  <c r="S36" i="120"/>
  <c r="Y36"/>
  <c r="AA36"/>
  <c r="I78"/>
  <c r="K78"/>
  <c r="Q78"/>
  <c r="S78"/>
  <c r="Y78"/>
  <c r="AA78"/>
  <c r="Q36"/>
  <c r="Y35"/>
  <c r="Y32" i="121"/>
  <c r="AA35" i="120"/>
  <c r="AA32" i="121"/>
  <c r="AL100" i="10"/>
  <c r="AN100" s="1"/>
  <c r="BA49" i="60" s="1"/>
  <c r="G61" i="121"/>
  <c r="G27"/>
  <c r="G59"/>
  <c r="G25"/>
  <c r="H58"/>
  <c r="H24"/>
  <c r="H61"/>
  <c r="H27"/>
  <c r="H59"/>
  <c r="H25"/>
  <c r="G55"/>
  <c r="G21"/>
  <c r="AL99" i="10"/>
  <c r="AN99" s="1"/>
  <c r="BA48" i="60" s="1"/>
  <c r="AL126" i="10"/>
  <c r="G64" i="121"/>
  <c r="G30"/>
  <c r="G60"/>
  <c r="G26"/>
  <c r="G58"/>
  <c r="G24"/>
  <c r="H21"/>
  <c r="H55"/>
  <c r="H64"/>
  <c r="H30"/>
  <c r="H60"/>
  <c r="H26"/>
  <c r="H66"/>
  <c r="H32"/>
  <c r="G65"/>
  <c r="G31"/>
  <c r="G66"/>
  <c r="G32"/>
  <c r="H65"/>
  <c r="H31"/>
  <c r="F128" i="10"/>
  <c r="H19" i="46"/>
  <c r="H79"/>
  <c r="H9"/>
  <c r="H59"/>
  <c r="H27" i="58"/>
  <c r="AE6" i="46"/>
  <c r="O6"/>
  <c r="G48" i="120"/>
  <c r="G6"/>
  <c r="G64" i="60"/>
  <c r="G64" i="120"/>
  <c r="G57" i="60"/>
  <c r="G57" i="120"/>
  <c r="G15"/>
  <c r="G54"/>
  <c r="G12"/>
  <c r="G50"/>
  <c r="G8"/>
  <c r="G83" i="60"/>
  <c r="G83" i="120"/>
  <c r="G41"/>
  <c r="G75" i="60"/>
  <c r="G75" i="120"/>
  <c r="G33"/>
  <c r="G73" i="60"/>
  <c r="G73" i="120"/>
  <c r="G31"/>
  <c r="G71" i="60"/>
  <c r="G71" i="120"/>
  <c r="G29"/>
  <c r="G27" i="60"/>
  <c r="G69" i="120"/>
  <c r="G27"/>
  <c r="H48" i="60"/>
  <c r="H6" i="120"/>
  <c r="H48"/>
  <c r="H64" i="60"/>
  <c r="H64" i="120"/>
  <c r="H57" i="60"/>
  <c r="H15" i="120"/>
  <c r="H57"/>
  <c r="H54" i="60"/>
  <c r="H12" i="120"/>
  <c r="H54"/>
  <c r="H50" i="60"/>
  <c r="H8" i="120"/>
  <c r="H50"/>
  <c r="H77" i="60"/>
  <c r="H35" i="120"/>
  <c r="H77"/>
  <c r="H75" i="60"/>
  <c r="H33" i="120"/>
  <c r="H75"/>
  <c r="H73" i="60"/>
  <c r="H31" i="120"/>
  <c r="H73"/>
  <c r="H71" i="60"/>
  <c r="H29" i="120"/>
  <c r="H71"/>
  <c r="H82" i="60"/>
  <c r="H40" i="120"/>
  <c r="H82"/>
  <c r="AE6" i="58"/>
  <c r="G14" i="60"/>
  <c r="G56" i="120"/>
  <c r="G14"/>
  <c r="G52"/>
  <c r="G10"/>
  <c r="G82" i="60"/>
  <c r="G82" i="120"/>
  <c r="G40"/>
  <c r="G34" i="60"/>
  <c r="G76" i="120"/>
  <c r="G34"/>
  <c r="G72" i="60"/>
  <c r="G72" i="120"/>
  <c r="G30"/>
  <c r="G70" i="60"/>
  <c r="G70" i="120"/>
  <c r="G28"/>
  <c r="G35" i="60"/>
  <c r="G77" i="120"/>
  <c r="G35"/>
  <c r="H14" i="60"/>
  <c r="H14" i="120"/>
  <c r="H56"/>
  <c r="H10" i="60"/>
  <c r="H10" i="120"/>
  <c r="H52"/>
  <c r="H69" i="60"/>
  <c r="H27" i="120"/>
  <c r="H69"/>
  <c r="H76" i="60"/>
  <c r="H34" i="120"/>
  <c r="H76"/>
  <c r="H72" i="60"/>
  <c r="H30" i="120"/>
  <c r="H72"/>
  <c r="H70" i="60"/>
  <c r="H28" i="120"/>
  <c r="H70"/>
  <c r="H83" i="60"/>
  <c r="H41" i="120"/>
  <c r="H83"/>
  <c r="H17" i="46"/>
  <c r="H23"/>
  <c r="H19" i="58"/>
  <c r="H52" i="60"/>
  <c r="H38" i="46"/>
  <c r="H56"/>
  <c r="H74" i="58"/>
  <c r="H46" i="46"/>
  <c r="H62"/>
  <c r="H66" i="58"/>
  <c r="H58"/>
  <c r="H15" i="60"/>
  <c r="H40"/>
  <c r="H12" i="46"/>
  <c r="H18"/>
  <c r="H20"/>
  <c r="H17" i="58"/>
  <c r="H37"/>
  <c r="H55"/>
  <c r="H41" i="60"/>
  <c r="H56"/>
  <c r="H21" i="46"/>
  <c r="H14"/>
  <c r="H21" i="58"/>
  <c r="H18"/>
  <c r="H54"/>
  <c r="H15"/>
  <c r="H52"/>
  <c r="H12"/>
  <c r="H48"/>
  <c r="H8"/>
  <c r="H44"/>
  <c r="H22" i="60"/>
  <c r="H12"/>
  <c r="H8"/>
  <c r="H6"/>
  <c r="H33"/>
  <c r="H31"/>
  <c r="H30"/>
  <c r="H29"/>
  <c r="H28"/>
  <c r="H33" i="58"/>
  <c r="H70"/>
  <c r="H29"/>
  <c r="H26"/>
  <c r="H35" i="46"/>
  <c r="H31"/>
  <c r="H27" i="60"/>
  <c r="H30" i="58"/>
  <c r="H31"/>
  <c r="H34" i="60"/>
  <c r="H35"/>
  <c r="G6" i="46"/>
  <c r="G12"/>
  <c r="G16"/>
  <c r="G18"/>
  <c r="G20"/>
  <c r="G22"/>
  <c r="G30"/>
  <c r="G33"/>
  <c r="G38"/>
  <c r="G6" i="58"/>
  <c r="G10"/>
  <c r="G14"/>
  <c r="G16"/>
  <c r="G18"/>
  <c r="G20"/>
  <c r="G26"/>
  <c r="G28"/>
  <c r="G30"/>
  <c r="G32"/>
  <c r="G36"/>
  <c r="G15" i="60"/>
  <c r="G22"/>
  <c r="G29"/>
  <c r="G31"/>
  <c r="G33"/>
  <c r="G41"/>
  <c r="G77"/>
  <c r="G56"/>
  <c r="G9" i="46"/>
  <c r="G14"/>
  <c r="G17"/>
  <c r="G19"/>
  <c r="G21"/>
  <c r="G23"/>
  <c r="G31"/>
  <c r="G35"/>
  <c r="G39"/>
  <c r="G8" i="58"/>
  <c r="G12"/>
  <c r="G15"/>
  <c r="G17"/>
  <c r="G19"/>
  <c r="G21"/>
  <c r="G27"/>
  <c r="G29"/>
  <c r="G31"/>
  <c r="G33"/>
  <c r="G37"/>
  <c r="G28" i="60"/>
  <c r="G30"/>
  <c r="G40"/>
  <c r="G76"/>
  <c r="G69"/>
  <c r="A81" i="7"/>
  <c r="E79"/>
  <c r="E85" s="1"/>
  <c r="E78"/>
  <c r="E77"/>
  <c r="I144" i="69"/>
  <c r="W121" i="24"/>
  <c r="AK120"/>
  <c r="AD120"/>
  <c r="AD121"/>
  <c r="B2" i="112"/>
  <c r="D68"/>
  <c r="D58"/>
  <c r="D57"/>
  <c r="D51"/>
  <c r="D43"/>
  <c r="D35"/>
  <c r="D31"/>
  <c r="D30"/>
  <c r="D24"/>
  <c r="D23"/>
  <c r="D17"/>
  <c r="D16"/>
  <c r="D11"/>
  <c r="D5"/>
  <c r="D4"/>
  <c r="AA20" i="60" l="1"/>
  <c r="F218" i="62" s="1"/>
  <c r="AA19" i="121"/>
  <c r="AA20" i="122"/>
  <c r="AA62" i="60"/>
  <c r="I218" i="62" s="1"/>
  <c r="AA53" i="121"/>
  <c r="AA62" i="122"/>
  <c r="S20" i="60"/>
  <c r="E218" i="62" s="1"/>
  <c r="S19" i="121"/>
  <c r="S20" i="122"/>
  <c r="S62" i="60"/>
  <c r="H218" i="62" s="1"/>
  <c r="S62" i="122"/>
  <c r="S53" i="121"/>
  <c r="K19"/>
  <c r="K20" i="60"/>
  <c r="D218" i="62" s="1"/>
  <c r="K20" i="122"/>
  <c r="K62" i="60"/>
  <c r="G218" i="62" s="1"/>
  <c r="K53" i="121"/>
  <c r="K62" i="122"/>
  <c r="AN126" i="10"/>
  <c r="S48" i="121"/>
  <c r="AN127" i="10"/>
  <c r="S49" i="121"/>
  <c r="E83" i="7"/>
  <c r="E84"/>
  <c r="I44" i="115"/>
  <c r="G144" i="69" s="1"/>
  <c r="M43" i="115"/>
  <c r="H143" i="69" s="1"/>
  <c r="I43" i="115"/>
  <c r="G143" i="69" s="1"/>
  <c r="Q44" i="56"/>
  <c r="AR97" i="24"/>
  <c r="AK97"/>
  <c r="AD97"/>
  <c r="W97"/>
  <c r="I68" i="112" s="1"/>
  <c r="P97" i="24"/>
  <c r="H68" i="112" s="1"/>
  <c r="O26" i="56"/>
  <c r="K26"/>
  <c r="AR98" i="24"/>
  <c r="Q26" i="115" s="1"/>
  <c r="AK98" i="24"/>
  <c r="M26" i="115" s="1"/>
  <c r="AD98" i="24"/>
  <c r="I26" i="115" s="1"/>
  <c r="W98" i="24"/>
  <c r="P98"/>
  <c r="AR101"/>
  <c r="AD101"/>
  <c r="W101"/>
  <c r="AR89"/>
  <c r="AK89"/>
  <c r="AD89"/>
  <c r="W89"/>
  <c r="I58" i="112" s="1"/>
  <c r="H58"/>
  <c r="G58"/>
  <c r="AR54" i="24"/>
  <c r="AK54"/>
  <c r="AD54"/>
  <c r="W54"/>
  <c r="I31" i="112" s="1"/>
  <c r="P54" i="24"/>
  <c r="H31" i="112" s="1"/>
  <c r="G31"/>
  <c r="AR19" i="24"/>
  <c r="AK19"/>
  <c r="AD19"/>
  <c r="W19"/>
  <c r="I12" i="112" s="1"/>
  <c r="P19" i="24"/>
  <c r="H12" i="112" s="1"/>
  <c r="H73" i="7"/>
  <c r="H68"/>
  <c r="H66"/>
  <c r="H44"/>
  <c r="AR98" i="10"/>
  <c r="Y59" i="120" s="1"/>
  <c r="I223" i="62" s="1"/>
  <c r="AK98" i="10"/>
  <c r="Q59" i="120" s="1"/>
  <c r="H223" i="62" s="1"/>
  <c r="AD98" i="10"/>
  <c r="I59" i="120" s="1"/>
  <c r="G223" i="62" s="1"/>
  <c r="W98" i="10"/>
  <c r="Y17" i="120" s="1"/>
  <c r="F223" i="62" s="1"/>
  <c r="P98" i="10"/>
  <c r="Q17" i="120" s="1"/>
  <c r="E223" i="62" s="1"/>
  <c r="AR89" i="10"/>
  <c r="AK89"/>
  <c r="AD89"/>
  <c r="W89"/>
  <c r="P89"/>
  <c r="Y24" i="120"/>
  <c r="Q24"/>
  <c r="AR19" i="10"/>
  <c r="AK19"/>
  <c r="AD19"/>
  <c r="W19"/>
  <c r="P19"/>
  <c r="AQ97" i="24"/>
  <c r="AJ97"/>
  <c r="AC97"/>
  <c r="V97"/>
  <c r="O97"/>
  <c r="H97"/>
  <c r="AQ97" i="10"/>
  <c r="AR97" s="1"/>
  <c r="Y58" i="120" s="1"/>
  <c r="I222" i="62" s="1"/>
  <c r="AJ97" i="10"/>
  <c r="AK97" s="1"/>
  <c r="Q58" i="120" s="1"/>
  <c r="H222" i="62" s="1"/>
  <c r="AC97" i="10"/>
  <c r="AD97" s="1"/>
  <c r="I58" i="120" s="1"/>
  <c r="G222" i="62" s="1"/>
  <c r="V97" i="10"/>
  <c r="W97" s="1"/>
  <c r="Y16" i="120" s="1"/>
  <c r="F222" i="62" s="1"/>
  <c r="O97" i="10"/>
  <c r="P97" s="1"/>
  <c r="Q16" i="120" s="1"/>
  <c r="E222" i="62" s="1"/>
  <c r="H97" i="10"/>
  <c r="I97" s="1"/>
  <c r="I16" i="120" s="1"/>
  <c r="D222" i="62" s="1"/>
  <c r="G73" i="65"/>
  <c r="G72"/>
  <c r="Y17" i="60" l="1"/>
  <c r="Y17" i="122"/>
  <c r="Q59" i="60"/>
  <c r="H180" i="62" s="1"/>
  <c r="Q59" i="122"/>
  <c r="Q17" i="60"/>
  <c r="Q17" i="122"/>
  <c r="I59" i="60"/>
  <c r="G180" i="62" s="1"/>
  <c r="I59" i="122"/>
  <c r="Y59" i="60"/>
  <c r="I180" i="62" s="1"/>
  <c r="Y59" i="122"/>
  <c r="I55" i="58"/>
  <c r="I24" i="120"/>
  <c r="I97" i="24"/>
  <c r="G68" i="112" s="1"/>
  <c r="Q26" i="56"/>
  <c r="I69" i="112"/>
  <c r="Q8" i="117"/>
  <c r="Q25" i="119" s="1"/>
  <c r="W128" i="24"/>
  <c r="L73" i="7" s="1"/>
  <c r="Q8" i="118"/>
  <c r="AF25" i="119" s="1"/>
  <c r="AR128" i="24"/>
  <c r="I8" i="118"/>
  <c r="V25" i="119" s="1"/>
  <c r="AD128" i="24"/>
  <c r="M26" i="56"/>
  <c r="H69" i="112"/>
  <c r="K16" i="7"/>
  <c r="M16"/>
  <c r="O16"/>
  <c r="K37"/>
  <c r="M37"/>
  <c r="O37"/>
  <c r="K58"/>
  <c r="M58"/>
  <c r="O58"/>
  <c r="M25" i="115"/>
  <c r="L16" i="7"/>
  <c r="N16"/>
  <c r="L37"/>
  <c r="N37"/>
  <c r="L58"/>
  <c r="N58"/>
  <c r="Q97" i="24"/>
  <c r="Q25" i="115"/>
  <c r="M17" i="114"/>
  <c r="H72" i="69" s="1"/>
  <c r="Z89" i="24"/>
  <c r="AN89"/>
  <c r="M17" i="115"/>
  <c r="M19" i="113"/>
  <c r="H18" i="69" s="1"/>
  <c r="I19" i="113"/>
  <c r="G18" i="69" s="1"/>
  <c r="Q19" i="113"/>
  <c r="I18" i="69" s="1"/>
  <c r="I17" i="114"/>
  <c r="G72" i="69" s="1"/>
  <c r="Q17" i="114"/>
  <c r="I72" i="69" s="1"/>
  <c r="S89" i="24"/>
  <c r="AG89"/>
  <c r="K17" i="115" s="1"/>
  <c r="I17"/>
  <c r="AU89" i="24"/>
  <c r="Q17" i="115"/>
  <c r="AE97" i="24"/>
  <c r="I25" i="115"/>
  <c r="AL97" i="10"/>
  <c r="AN97" s="1"/>
  <c r="S58" i="120" s="1"/>
  <c r="H224" i="62" s="1"/>
  <c r="AE97" i="10"/>
  <c r="AG97" s="1"/>
  <c r="K58" i="120" s="1"/>
  <c r="G224" i="62" s="1"/>
  <c r="X97" i="10"/>
  <c r="Z97" s="1"/>
  <c r="AA16" i="120" s="1"/>
  <c r="F224" i="62" s="1"/>
  <c r="Q97" i="10"/>
  <c r="S97" s="1"/>
  <c r="S16" i="120" s="1"/>
  <c r="E224" i="62" s="1"/>
  <c r="AS97" i="10"/>
  <c r="AU97" s="1"/>
  <c r="AA58" i="120" s="1"/>
  <c r="I224" i="62" s="1"/>
  <c r="AG97" i="24"/>
  <c r="K25" i="115" s="1"/>
  <c r="I26" i="56"/>
  <c r="G69" i="112"/>
  <c r="I25" i="56"/>
  <c r="AU97" i="24"/>
  <c r="S25" i="115" s="1"/>
  <c r="AS97" i="24"/>
  <c r="AL97"/>
  <c r="Z97"/>
  <c r="S25" i="56" s="1"/>
  <c r="X97" i="24"/>
  <c r="M25" i="56"/>
  <c r="S97" i="24"/>
  <c r="O25" i="56" s="1"/>
  <c r="Q25"/>
  <c r="E180" i="62" l="1"/>
  <c r="F180"/>
  <c r="W17" i="119"/>
  <c r="AL17" s="1"/>
  <c r="D179" i="69" s="1"/>
  <c r="G158"/>
  <c r="J97" i="24"/>
  <c r="AE128"/>
  <c r="M73" i="7"/>
  <c r="AS128" i="24"/>
  <c r="O73" i="7"/>
  <c r="I125" i="69"/>
  <c r="AF17" i="119"/>
  <c r="G125" i="69"/>
  <c r="V17" i="119"/>
  <c r="H125" i="69"/>
  <c r="AA17" i="119"/>
  <c r="J97" i="10"/>
  <c r="L97" s="1"/>
  <c r="K16" i="120" s="1"/>
  <c r="D224" i="62" s="1"/>
  <c r="AN97" i="24"/>
  <c r="O25" i="115" s="1"/>
  <c r="L97" i="24"/>
  <c r="K25" i="56" s="1"/>
  <c r="W16" i="58"/>
  <c r="M41" i="88"/>
  <c r="N41" s="1"/>
  <c r="AR110" i="24"/>
  <c r="Y74" i="60" s="1"/>
  <c r="I193" i="62" l="1"/>
  <c r="Y74" i="122"/>
  <c r="O41" i="88"/>
  <c r="Q41" s="1"/>
  <c r="Q34" i="115"/>
  <c r="I138" i="69" s="1"/>
  <c r="C65" i="65"/>
  <c r="C66" s="1"/>
  <c r="D65"/>
  <c r="D66" s="1"/>
  <c r="E65"/>
  <c r="E66" s="1"/>
  <c r="B65"/>
  <c r="B66" s="1"/>
  <c r="AR96" i="10" l="1"/>
  <c r="AK96"/>
  <c r="AD96"/>
  <c r="W96"/>
  <c r="P96"/>
  <c r="I96"/>
  <c r="I24" i="122" s="1"/>
  <c r="Y61" i="58"/>
  <c r="Q61"/>
  <c r="I61"/>
  <c r="Y23"/>
  <c r="Q23"/>
  <c r="Y65" i="46"/>
  <c r="AK25" i="10"/>
  <c r="Q65" i="46" s="1"/>
  <c r="AD25" i="10"/>
  <c r="I65" i="46" s="1"/>
  <c r="W25" i="10"/>
  <c r="Y25" i="46" s="1"/>
  <c r="P25" i="10"/>
  <c r="Q25" i="46" s="1"/>
  <c r="AQ50" i="60"/>
  <c r="BG8"/>
  <c r="E5" i="94"/>
  <c r="E6"/>
  <c r="E7"/>
  <c r="E8"/>
  <c r="E4"/>
  <c r="E3"/>
  <c r="Y50" i="121" l="1"/>
  <c r="BG50" i="60"/>
  <c r="Q24"/>
  <c r="Q24" i="122"/>
  <c r="I66" i="60"/>
  <c r="I66" i="122"/>
  <c r="Y66" i="60"/>
  <c r="Y66" i="122"/>
  <c r="Y24" i="60"/>
  <c r="Y24" i="122"/>
  <c r="Q66" i="60"/>
  <c r="Q66" i="122"/>
  <c r="H74" i="112"/>
  <c r="I24" i="60"/>
  <c r="Y16" i="121"/>
  <c r="AS128" i="10"/>
  <c r="I50" i="121"/>
  <c r="J65" i="7"/>
  <c r="G74" i="112" l="1"/>
  <c r="AG115" i="24" l="1"/>
  <c r="K39" i="115" s="1"/>
  <c r="AD115" i="24"/>
  <c r="I39" i="115" s="1"/>
  <c r="AU115" i="24"/>
  <c r="S39" i="115" s="1"/>
  <c r="AR115" i="24"/>
  <c r="Q39" i="115" s="1"/>
  <c r="Z115" i="24"/>
  <c r="S39" i="56" s="1"/>
  <c r="W115" i="24"/>
  <c r="Q39" i="56" s="1"/>
  <c r="K39"/>
  <c r="I39"/>
  <c r="AE23" i="46"/>
  <c r="AE22"/>
  <c r="AE21"/>
  <c r="AE20"/>
  <c r="AE17"/>
  <c r="AE16"/>
  <c r="AE14"/>
  <c r="AE15" s="1"/>
  <c r="AE12"/>
  <c r="AE13" s="1"/>
  <c r="AE9"/>
  <c r="AE10" s="1"/>
  <c r="AE11" s="1"/>
  <c r="AE7"/>
  <c r="AE8" s="1"/>
  <c r="W23"/>
  <c r="W22"/>
  <c r="W21"/>
  <c r="W20"/>
  <c r="W17"/>
  <c r="W16"/>
  <c r="W14"/>
  <c r="W15" s="1"/>
  <c r="W12"/>
  <c r="W13" s="1"/>
  <c r="W9"/>
  <c r="W10" s="1"/>
  <c r="W11" s="1"/>
  <c r="W6"/>
  <c r="W7" s="1"/>
  <c r="W8" s="1"/>
  <c r="AE7" i="58"/>
  <c r="AD41"/>
  <c r="AD3"/>
  <c r="O46" i="46"/>
  <c r="O47" s="1"/>
  <c r="O48" s="1"/>
  <c r="AD45" i="60"/>
  <c r="AD3"/>
  <c r="AD43" i="46"/>
  <c r="AD3"/>
  <c r="AE63"/>
  <c r="AE62"/>
  <c r="AE61"/>
  <c r="AE60"/>
  <c r="AE57"/>
  <c r="AE56"/>
  <c r="AE54"/>
  <c r="AE55" s="1"/>
  <c r="AE52"/>
  <c r="AE53" s="1"/>
  <c r="AE49"/>
  <c r="AE50" s="1"/>
  <c r="AE51" s="1"/>
  <c r="AE46"/>
  <c r="AE47" s="1"/>
  <c r="AE48" s="1"/>
  <c r="W63"/>
  <c r="W62"/>
  <c r="W61"/>
  <c r="W60"/>
  <c r="W57"/>
  <c r="W56"/>
  <c r="W54"/>
  <c r="W55" s="1"/>
  <c r="W52"/>
  <c r="W53" s="1"/>
  <c r="W49"/>
  <c r="W50" s="1"/>
  <c r="W51" s="1"/>
  <c r="W46"/>
  <c r="W47" s="1"/>
  <c r="W48" s="1"/>
  <c r="O63"/>
  <c r="O62"/>
  <c r="O61"/>
  <c r="O60"/>
  <c r="O57"/>
  <c r="O56"/>
  <c r="O54"/>
  <c r="O55" s="1"/>
  <c r="O52"/>
  <c r="O53" s="1"/>
  <c r="O49"/>
  <c r="O50" s="1"/>
  <c r="O51" s="1"/>
  <c r="O23"/>
  <c r="O22"/>
  <c r="O21"/>
  <c r="O20"/>
  <c r="O17"/>
  <c r="O16"/>
  <c r="O14"/>
  <c r="O15" s="1"/>
  <c r="O12"/>
  <c r="O13" s="1"/>
  <c r="O9"/>
  <c r="O10" s="1"/>
  <c r="O11" s="1"/>
  <c r="O7"/>
  <c r="O8" s="1"/>
  <c r="V73" i="24" l="1"/>
  <c r="AK72"/>
  <c r="AD72"/>
  <c r="Q74" i="58"/>
  <c r="I74"/>
  <c r="M59" i="88"/>
  <c r="N59" s="1"/>
  <c r="G59"/>
  <c r="H59" s="1"/>
  <c r="M58"/>
  <c r="N58" s="1"/>
  <c r="G58"/>
  <c r="H58" s="1"/>
  <c r="M57"/>
  <c r="N57" s="1"/>
  <c r="G57"/>
  <c r="H57" s="1"/>
  <c r="J42" i="81"/>
  <c r="J41"/>
  <c r="J40"/>
  <c r="F42"/>
  <c r="F41"/>
  <c r="F40"/>
  <c r="N21"/>
  <c r="N20"/>
  <c r="N19"/>
  <c r="J21"/>
  <c r="J20"/>
  <c r="J19"/>
  <c r="F21"/>
  <c r="F20"/>
  <c r="F19"/>
  <c r="M35" i="80"/>
  <c r="M34"/>
  <c r="M33"/>
  <c r="I35"/>
  <c r="I34"/>
  <c r="I33"/>
  <c r="E35"/>
  <c r="E34"/>
  <c r="E33"/>
  <c r="M18"/>
  <c r="M17"/>
  <c r="M16"/>
  <c r="I18"/>
  <c r="I17"/>
  <c r="I16"/>
  <c r="E18"/>
  <c r="E17"/>
  <c r="E16"/>
  <c r="O57" i="88" l="1"/>
  <c r="Q57" s="1"/>
  <c r="I36" i="114"/>
  <c r="G89" i="69" s="1"/>
  <c r="M36" i="114"/>
  <c r="H89" i="69" s="1"/>
  <c r="Q37" i="54"/>
  <c r="I57" i="88"/>
  <c r="K57" s="1"/>
  <c r="O58"/>
  <c r="Q58" s="1"/>
  <c r="I59"/>
  <c r="K59" s="1"/>
  <c r="I58"/>
  <c r="K58" s="1"/>
  <c r="O59"/>
  <c r="Q59" s="1"/>
  <c r="AK41"/>
  <c r="AL41" s="1"/>
  <c r="AE41"/>
  <c r="AF41" s="1"/>
  <c r="Y41"/>
  <c r="S41"/>
  <c r="T41" s="1"/>
  <c r="AK41" i="77"/>
  <c r="AM41" s="1"/>
  <c r="AO41" s="1"/>
  <c r="AE41"/>
  <c r="AF41" s="1"/>
  <c r="AG41" s="1"/>
  <c r="AI41" s="1"/>
  <c r="Y41"/>
  <c r="Z41" s="1"/>
  <c r="AA41" s="1"/>
  <c r="AC41" s="1"/>
  <c r="S41"/>
  <c r="T41" s="1"/>
  <c r="U41" s="1"/>
  <c r="W41" s="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D5" i="94"/>
  <c r="D6"/>
  <c r="D7"/>
  <c r="D8"/>
  <c r="D4"/>
  <c r="C6"/>
  <c r="C7" s="1"/>
  <c r="C8" s="1"/>
  <c r="C4"/>
  <c r="C5" s="1"/>
  <c r="C3"/>
  <c r="AQ14" i="24"/>
  <c r="AR14" s="1"/>
  <c r="AJ14"/>
  <c r="AC14"/>
  <c r="V14"/>
  <c r="O14"/>
  <c r="AQ12"/>
  <c r="AR12" s="1"/>
  <c r="AJ12"/>
  <c r="AC12"/>
  <c r="V12"/>
  <c r="O12"/>
  <c r="AQ9"/>
  <c r="AR9" s="1"/>
  <c r="AJ9"/>
  <c r="AK9" s="1"/>
  <c r="AC9"/>
  <c r="AD9" s="1"/>
  <c r="V9"/>
  <c r="W9" s="1"/>
  <c r="O9"/>
  <c r="P9" s="1"/>
  <c r="K6" i="7" s="1"/>
  <c r="P42" i="86"/>
  <c r="I75" i="91" s="1"/>
  <c r="P43" i="86"/>
  <c r="I76" i="91" s="1"/>
  <c r="P41" i="86"/>
  <c r="I74" i="91" s="1"/>
  <c r="L42" i="86"/>
  <c r="H75" i="91" s="1"/>
  <c r="L43" i="86"/>
  <c r="H76" i="91" s="1"/>
  <c r="L41" i="86"/>
  <c r="H74" i="91" s="1"/>
  <c r="H42" i="86"/>
  <c r="G75" i="91" s="1"/>
  <c r="H43" i="86"/>
  <c r="G76" i="91" s="1"/>
  <c r="H41" i="86"/>
  <c r="G74" i="91" s="1"/>
  <c r="P20" i="86"/>
  <c r="F75" i="91" s="1"/>
  <c r="P21" i="86"/>
  <c r="F76" i="91" s="1"/>
  <c r="P19" i="86"/>
  <c r="F74" i="91" s="1"/>
  <c r="L20" i="86"/>
  <c r="E75" i="91" s="1"/>
  <c r="L21" i="86"/>
  <c r="E76" i="91" s="1"/>
  <c r="L19" i="86"/>
  <c r="E74" i="91" s="1"/>
  <c r="H20" i="86"/>
  <c r="D75" i="91" s="1"/>
  <c r="H21" i="86"/>
  <c r="D76" i="91" s="1"/>
  <c r="H19" i="86"/>
  <c r="D74" i="91" s="1"/>
  <c r="O34" i="85"/>
  <c r="I47" i="91" s="1"/>
  <c r="O35" i="85"/>
  <c r="I48" i="91" s="1"/>
  <c r="O33" i="85"/>
  <c r="I46" i="91" s="1"/>
  <c r="K34" i="85"/>
  <c r="H47" i="91" s="1"/>
  <c r="K35" i="85"/>
  <c r="H48" i="91" s="1"/>
  <c r="K33" i="85"/>
  <c r="H46" i="91" s="1"/>
  <c r="G34" i="85"/>
  <c r="G47" i="91" s="1"/>
  <c r="G35" i="85"/>
  <c r="G48" i="91" s="1"/>
  <c r="G33" i="85"/>
  <c r="G46" i="91" s="1"/>
  <c r="G17" i="85"/>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Q55"/>
  <c r="AG55" s="1"/>
  <c r="AS55" s="1"/>
  <c r="T55"/>
  <c r="AI55" s="1"/>
  <c r="AU55" s="1"/>
  <c r="W55"/>
  <c r="AK55" s="1"/>
  <c r="AW55" s="1"/>
  <c r="I56"/>
  <c r="L56"/>
  <c r="I57"/>
  <c r="L57"/>
  <c r="I58"/>
  <c r="L58"/>
  <c r="I59"/>
  <c r="L59"/>
  <c r="H60"/>
  <c r="AA60" s="1"/>
  <c r="AM60" s="1"/>
  <c r="I60"/>
  <c r="K60"/>
  <c r="AC60" s="1"/>
  <c r="AO60" s="1"/>
  <c r="L60"/>
  <c r="N60"/>
  <c r="AE60" s="1"/>
  <c r="AQ60" s="1"/>
  <c r="Q60"/>
  <c r="AG60" s="1"/>
  <c r="AS60" s="1"/>
  <c r="T60"/>
  <c r="AI60" s="1"/>
  <c r="AU60" s="1"/>
  <c r="W60"/>
  <c r="AK60" s="1"/>
  <c r="AW60" s="1"/>
  <c r="I61"/>
  <c r="L61"/>
  <c r="H62"/>
  <c r="AA62" s="1"/>
  <c r="AM62" s="1"/>
  <c r="I62"/>
  <c r="K62"/>
  <c r="AC62" s="1"/>
  <c r="AO62" s="1"/>
  <c r="L62"/>
  <c r="N62"/>
  <c r="AE62" s="1"/>
  <c r="AQ62" s="1"/>
  <c r="Q62"/>
  <c r="AG62" s="1"/>
  <c r="AS62" s="1"/>
  <c r="T62"/>
  <c r="AI62" s="1"/>
  <c r="AU62" s="1"/>
  <c r="W62"/>
  <c r="AK62" s="1"/>
  <c r="AW62" s="1"/>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O73"/>
  <c r="P73"/>
  <c r="AF73" s="1"/>
  <c r="AR73" s="1"/>
  <c r="Q73"/>
  <c r="AG73" s="1"/>
  <c r="AS73" s="1"/>
  <c r="S73"/>
  <c r="AH73" s="1"/>
  <c r="AT73" s="1"/>
  <c r="T73"/>
  <c r="AI73" s="1"/>
  <c r="AU73" s="1"/>
  <c r="U73"/>
  <c r="V73"/>
  <c r="AJ73" s="1"/>
  <c r="AV73" s="1"/>
  <c r="W73"/>
  <c r="AK73" s="1"/>
  <c r="AW73" s="1"/>
  <c r="X73"/>
  <c r="I74"/>
  <c r="L74"/>
  <c r="O74"/>
  <c r="P74"/>
  <c r="AF74" s="1"/>
  <c r="AR74" s="1"/>
  <c r="Q74"/>
  <c r="AG74" s="1"/>
  <c r="AS74" s="1"/>
  <c r="S74"/>
  <c r="AH74" s="1"/>
  <c r="AT74" s="1"/>
  <c r="T74"/>
  <c r="AI74" s="1"/>
  <c r="AU74" s="1"/>
  <c r="U74"/>
  <c r="V74"/>
  <c r="AJ74" s="1"/>
  <c r="AV74" s="1"/>
  <c r="W74"/>
  <c r="AK74" s="1"/>
  <c r="AW74" s="1"/>
  <c r="X74"/>
  <c r="I75"/>
  <c r="L75"/>
  <c r="O75"/>
  <c r="P75"/>
  <c r="AF75" s="1"/>
  <c r="AR75" s="1"/>
  <c r="Q75"/>
  <c r="AG75" s="1"/>
  <c r="AS75" s="1"/>
  <c r="S75"/>
  <c r="AH75" s="1"/>
  <c r="AT75" s="1"/>
  <c r="T75"/>
  <c r="AI75" s="1"/>
  <c r="AU75" s="1"/>
  <c r="U75"/>
  <c r="V75"/>
  <c r="AJ75" s="1"/>
  <c r="AV75" s="1"/>
  <c r="W75"/>
  <c r="AK75" s="1"/>
  <c r="AW75" s="1"/>
  <c r="X75"/>
  <c r="I76"/>
  <c r="L76"/>
  <c r="Q76"/>
  <c r="AG76" s="1"/>
  <c r="AS76" s="1"/>
  <c r="S76"/>
  <c r="AH76" s="1"/>
  <c r="AT76" s="1"/>
  <c r="T76"/>
  <c r="AI76" s="1"/>
  <c r="AU76" s="1"/>
  <c r="U76"/>
  <c r="V76"/>
  <c r="AJ76" s="1"/>
  <c r="AV76" s="1"/>
  <c r="W76"/>
  <c r="AK76" s="1"/>
  <c r="AW76" s="1"/>
  <c r="X76"/>
  <c r="I77"/>
  <c r="L77"/>
  <c r="Q77"/>
  <c r="AG77" s="1"/>
  <c r="AS77" s="1"/>
  <c r="S77"/>
  <c r="AH77" s="1"/>
  <c r="AT77" s="1"/>
  <c r="T77"/>
  <c r="AI77" s="1"/>
  <c r="AU77" s="1"/>
  <c r="U77"/>
  <c r="V77"/>
  <c r="AJ77" s="1"/>
  <c r="AV77" s="1"/>
  <c r="W77"/>
  <c r="AK77" s="1"/>
  <c r="AW77" s="1"/>
  <c r="X77"/>
  <c r="I78"/>
  <c r="L78"/>
  <c r="Q78"/>
  <c r="AG78" s="1"/>
  <c r="AS78" s="1"/>
  <c r="S78"/>
  <c r="AH78" s="1"/>
  <c r="AT78" s="1"/>
  <c r="T78"/>
  <c r="AI78" s="1"/>
  <c r="AU78" s="1"/>
  <c r="U78"/>
  <c r="V78"/>
  <c r="AJ78" s="1"/>
  <c r="AV78" s="1"/>
  <c r="W78"/>
  <c r="AK78" s="1"/>
  <c r="AW78" s="1"/>
  <c r="X78"/>
  <c r="I79"/>
  <c r="L79"/>
  <c r="N79"/>
  <c r="AE79" s="1"/>
  <c r="AQ79" s="1"/>
  <c r="Q79"/>
  <c r="AG79" s="1"/>
  <c r="AS79" s="1"/>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Q81"/>
  <c r="AG81" s="1"/>
  <c r="AS81" s="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P85"/>
  <c r="AF85" s="1"/>
  <c r="AR85" s="1"/>
  <c r="Q85"/>
  <c r="AG85" s="1"/>
  <c r="AS85" s="1"/>
  <c r="R85"/>
  <c r="S85"/>
  <c r="AH85" s="1"/>
  <c r="AT85" s="1"/>
  <c r="T85"/>
  <c r="AI85" s="1"/>
  <c r="AU85" s="1"/>
  <c r="U85"/>
  <c r="V85"/>
  <c r="AJ85" s="1"/>
  <c r="AV85" s="1"/>
  <c r="W85"/>
  <c r="AK85" s="1"/>
  <c r="AW85" s="1"/>
  <c r="X85"/>
  <c r="I86"/>
  <c r="L86"/>
  <c r="N86"/>
  <c r="AE86" s="1"/>
  <c r="AQ86" s="1"/>
  <c r="Q86"/>
  <c r="AG86" s="1"/>
  <c r="AS86" s="1"/>
  <c r="R86"/>
  <c r="S86"/>
  <c r="AH86" s="1"/>
  <c r="AT86" s="1"/>
  <c r="T86"/>
  <c r="AI86" s="1"/>
  <c r="AU86" s="1"/>
  <c r="U86"/>
  <c r="V86"/>
  <c r="AJ86" s="1"/>
  <c r="AV86" s="1"/>
  <c r="W86"/>
  <c r="AK86" s="1"/>
  <c r="AW86" s="1"/>
  <c r="X86"/>
  <c r="I87"/>
  <c r="L87"/>
  <c r="N87"/>
  <c r="AE87" s="1"/>
  <c r="AQ87" s="1"/>
  <c r="Q87"/>
  <c r="AG87" s="1"/>
  <c r="AS87" s="1"/>
  <c r="R87"/>
  <c r="S87"/>
  <c r="AH87" s="1"/>
  <c r="AT87" s="1"/>
  <c r="T87"/>
  <c r="AI87" s="1"/>
  <c r="AU87" s="1"/>
  <c r="U87"/>
  <c r="V87"/>
  <c r="AJ87" s="1"/>
  <c r="AV87" s="1"/>
  <c r="W87"/>
  <c r="AK87" s="1"/>
  <c r="AW87" s="1"/>
  <c r="X87"/>
  <c r="I88"/>
  <c r="L88"/>
  <c r="N88"/>
  <c r="AE88" s="1"/>
  <c r="AQ88" s="1"/>
  <c r="Q88"/>
  <c r="AG88" s="1"/>
  <c r="AS88" s="1"/>
  <c r="R88"/>
  <c r="S88"/>
  <c r="AH88" s="1"/>
  <c r="AT88" s="1"/>
  <c r="T88"/>
  <c r="AI88" s="1"/>
  <c r="AU88" s="1"/>
  <c r="U88"/>
  <c r="V88"/>
  <c r="AJ88" s="1"/>
  <c r="AV88" s="1"/>
  <c r="W88"/>
  <c r="AK88" s="1"/>
  <c r="AW88" s="1"/>
  <c r="X88"/>
  <c r="I89"/>
  <c r="L89"/>
  <c r="N89"/>
  <c r="AE89" s="1"/>
  <c r="AQ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P90"/>
  <c r="AF90" s="1"/>
  <c r="AR90" s="1"/>
  <c r="Q90"/>
  <c r="AG90" s="1"/>
  <c r="AS90" s="1"/>
  <c r="R90"/>
  <c r="S90"/>
  <c r="AH90" s="1"/>
  <c r="AT90" s="1"/>
  <c r="T90"/>
  <c r="AI90" s="1"/>
  <c r="AU90" s="1"/>
  <c r="U90"/>
  <c r="V90"/>
  <c r="AJ90" s="1"/>
  <c r="AV90" s="1"/>
  <c r="W90"/>
  <c r="AK90" s="1"/>
  <c r="AW90" s="1"/>
  <c r="X90"/>
  <c r="I91"/>
  <c r="L91"/>
  <c r="N91"/>
  <c r="AE91" s="1"/>
  <c r="AQ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P92"/>
  <c r="AF92" s="1"/>
  <c r="AR92" s="1"/>
  <c r="Q92"/>
  <c r="AG92" s="1"/>
  <c r="AS92" s="1"/>
  <c r="R92"/>
  <c r="S92"/>
  <c r="AH92" s="1"/>
  <c r="AT92" s="1"/>
  <c r="T92"/>
  <c r="AI92" s="1"/>
  <c r="AU92" s="1"/>
  <c r="U92"/>
  <c r="V92"/>
  <c r="AJ92" s="1"/>
  <c r="AV92" s="1"/>
  <c r="W92"/>
  <c r="AK92" s="1"/>
  <c r="AW92" s="1"/>
  <c r="X92"/>
  <c r="I93"/>
  <c r="L93"/>
  <c r="N93"/>
  <c r="AE93" s="1"/>
  <c r="AQ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P94"/>
  <c r="AF94" s="1"/>
  <c r="AR94" s="1"/>
  <c r="Q94"/>
  <c r="AG94" s="1"/>
  <c r="AS94" s="1"/>
  <c r="R94"/>
  <c r="S94"/>
  <c r="AH94" s="1"/>
  <c r="AT94" s="1"/>
  <c r="T94"/>
  <c r="AI94" s="1"/>
  <c r="AU94" s="1"/>
  <c r="U94"/>
  <c r="V94"/>
  <c r="AJ94" s="1"/>
  <c r="AV94" s="1"/>
  <c r="W94"/>
  <c r="AK94" s="1"/>
  <c r="AW94" s="1"/>
  <c r="X94"/>
  <c r="I95"/>
  <c r="L95"/>
  <c r="N95"/>
  <c r="AE95" s="1"/>
  <c r="AQ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F51" i="92"/>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C30"/>
  <c r="F29"/>
  <c r="E29"/>
  <c r="C29"/>
  <c r="F28"/>
  <c r="E28"/>
  <c r="C28"/>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AM41" i="88" l="1"/>
  <c r="AO41" s="1"/>
  <c r="U41"/>
  <c r="W41" s="1"/>
  <c r="X49" i="89" s="1"/>
  <c r="AG41" i="88"/>
  <c r="AI41"/>
  <c r="X91" i="89" s="1"/>
  <c r="M6" i="7"/>
  <c r="O6"/>
  <c r="O11"/>
  <c r="L6"/>
  <c r="N6"/>
  <c r="O9"/>
  <c r="Z9" i="24"/>
  <c r="Z10" s="1"/>
  <c r="Z11" s="1"/>
  <c r="M9" i="113"/>
  <c r="H8" i="69" s="1"/>
  <c r="Q12" i="113"/>
  <c r="I11" i="69" s="1"/>
  <c r="I9" i="113"/>
  <c r="G8" i="69" s="1"/>
  <c r="Q9" i="113"/>
  <c r="I8" i="69" s="1"/>
  <c r="Q14" i="113"/>
  <c r="I13" i="69" s="1"/>
  <c r="AL9" i="24"/>
  <c r="AN9" s="1"/>
  <c r="Q9"/>
  <c r="S9" s="1"/>
  <c r="S10" s="1"/>
  <c r="S11" s="1"/>
  <c r="AE9"/>
  <c r="AG9" s="1"/>
  <c r="N41" i="77"/>
  <c r="O41" s="1"/>
  <c r="Q41" s="1"/>
  <c r="U70" i="89"/>
  <c r="Z41" i="88"/>
  <c r="U91" i="89"/>
  <c r="U28"/>
  <c r="X9" i="24"/>
  <c r="U49" i="89"/>
  <c r="X28"/>
  <c r="U112"/>
  <c r="W12" i="24"/>
  <c r="AK12"/>
  <c r="P14"/>
  <c r="AD14"/>
  <c r="P12"/>
  <c r="AD12"/>
  <c r="W14"/>
  <c r="AK14"/>
  <c r="AA41" i="88" l="1"/>
  <c r="AC41"/>
  <c r="X70" i="89" s="1"/>
  <c r="L11" i="7"/>
  <c r="K9"/>
  <c r="K11"/>
  <c r="L9"/>
  <c r="N11"/>
  <c r="M9"/>
  <c r="M11"/>
  <c r="N9"/>
  <c r="O9" i="113"/>
  <c r="H42" i="69" s="1"/>
  <c r="AN10" i="24"/>
  <c r="AN11" s="1"/>
  <c r="K9" i="113"/>
  <c r="G42" i="69" s="1"/>
  <c r="AG10" i="24"/>
  <c r="AG11" s="1"/>
  <c r="AN14"/>
  <c r="AN15" s="1"/>
  <c r="M14" i="113"/>
  <c r="H13" i="69" s="1"/>
  <c r="AG12" i="24"/>
  <c r="I12" i="113"/>
  <c r="G11" i="69" s="1"/>
  <c r="AG14" i="24"/>
  <c r="I14" i="113"/>
  <c r="G13" i="69" s="1"/>
  <c r="M12" i="113"/>
  <c r="H11" i="69" s="1"/>
  <c r="Z14" i="24"/>
  <c r="Z15" s="1"/>
  <c r="S12"/>
  <c r="S13" s="1"/>
  <c r="S14"/>
  <c r="S15" s="1"/>
  <c r="Z12"/>
  <c r="Z13" s="1"/>
  <c r="Q12"/>
  <c r="X12"/>
  <c r="AL14"/>
  <c r="AE14"/>
  <c r="AE12"/>
  <c r="AL12"/>
  <c r="AN12" s="1"/>
  <c r="AN13" s="1"/>
  <c r="X14"/>
  <c r="O7" i="74" s="1"/>
  <c r="Q14" i="24"/>
  <c r="X112" i="89"/>
  <c r="H9" i="83"/>
  <c r="C104" i="91" s="1"/>
  <c r="T1" i="78"/>
  <c r="R3"/>
  <c r="P3" i="86" s="1"/>
  <c r="G75" i="74"/>
  <c r="Z75" s="1"/>
  <c r="AL75" s="1"/>
  <c r="C47"/>
  <c r="E47"/>
  <c r="F47"/>
  <c r="I47"/>
  <c r="L47"/>
  <c r="C48"/>
  <c r="E48"/>
  <c r="F48"/>
  <c r="I48"/>
  <c r="L48"/>
  <c r="C49"/>
  <c r="E49"/>
  <c r="F49"/>
  <c r="I49"/>
  <c r="L49"/>
  <c r="C50"/>
  <c r="E50"/>
  <c r="F50"/>
  <c r="I50"/>
  <c r="K50"/>
  <c r="AC50" s="1"/>
  <c r="AO50" s="1"/>
  <c r="L50"/>
  <c r="N50"/>
  <c r="AE50" s="1"/>
  <c r="AQ50" s="1"/>
  <c r="Q50"/>
  <c r="AG50" s="1"/>
  <c r="AS50" s="1"/>
  <c r="T50"/>
  <c r="AI50" s="1"/>
  <c r="AU50" s="1"/>
  <c r="W50"/>
  <c r="AK50" s="1"/>
  <c r="AW50" s="1"/>
  <c r="C51"/>
  <c r="E51"/>
  <c r="F51"/>
  <c r="I51"/>
  <c r="L51"/>
  <c r="C52"/>
  <c r="E52"/>
  <c r="F52"/>
  <c r="I52"/>
  <c r="L52"/>
  <c r="C53"/>
  <c r="E53"/>
  <c r="F53"/>
  <c r="H53"/>
  <c r="AA53" s="1"/>
  <c r="AM53" s="1"/>
  <c r="I53"/>
  <c r="K53"/>
  <c r="AC53" s="1"/>
  <c r="AO53" s="1"/>
  <c r="L53"/>
  <c r="N53"/>
  <c r="AE53" s="1"/>
  <c r="AQ53" s="1"/>
  <c r="Q53"/>
  <c r="AG53" s="1"/>
  <c r="AS53" s="1"/>
  <c r="T53"/>
  <c r="AI53" s="1"/>
  <c r="AU53" s="1"/>
  <c r="W53"/>
  <c r="AK53" s="1"/>
  <c r="AW53" s="1"/>
  <c r="C54"/>
  <c r="E54"/>
  <c r="F54"/>
  <c r="I54"/>
  <c r="L54"/>
  <c r="C55"/>
  <c r="E55"/>
  <c r="F55"/>
  <c r="C56"/>
  <c r="E56"/>
  <c r="F56"/>
  <c r="C57"/>
  <c r="E57"/>
  <c r="F57"/>
  <c r="C58"/>
  <c r="E58"/>
  <c r="F58"/>
  <c r="C59"/>
  <c r="E59"/>
  <c r="F59"/>
  <c r="C60"/>
  <c r="E60"/>
  <c r="F60"/>
  <c r="C61"/>
  <c r="E61"/>
  <c r="F61"/>
  <c r="C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L46"/>
  <c r="I46"/>
  <c r="F46"/>
  <c r="E46"/>
  <c r="C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N101"/>
  <c r="H101"/>
  <c r="N100"/>
  <c r="N99"/>
  <c r="H99"/>
  <c r="M98"/>
  <c r="G98"/>
  <c r="H98" s="1"/>
  <c r="M97"/>
  <c r="O94" i="74" s="1"/>
  <c r="C184" i="91"/>
  <c r="G97" i="88"/>
  <c r="M96"/>
  <c r="G96"/>
  <c r="M95"/>
  <c r="O92" i="74" s="1"/>
  <c r="G95" i="88"/>
  <c r="M94"/>
  <c r="G94"/>
  <c r="M93"/>
  <c r="O90" i="74" s="1"/>
  <c r="G93" i="88"/>
  <c r="M92"/>
  <c r="G92"/>
  <c r="M91"/>
  <c r="G91"/>
  <c r="H91" s="1"/>
  <c r="M90"/>
  <c r="G90"/>
  <c r="H90" s="1"/>
  <c r="M89"/>
  <c r="G89"/>
  <c r="H89" s="1"/>
  <c r="N84"/>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O85" i="74" s="1"/>
  <c r="M71" i="88"/>
  <c r="O84" i="74" s="1"/>
  <c r="N66" i="88"/>
  <c r="L16" i="83" s="1"/>
  <c r="H66" i="88"/>
  <c r="S65"/>
  <c r="R81" i="74" s="1"/>
  <c r="N65" i="88"/>
  <c r="M65"/>
  <c r="O81" i="74" s="1"/>
  <c r="H65" i="88"/>
  <c r="G65"/>
  <c r="N64"/>
  <c r="H64"/>
  <c r="S63"/>
  <c r="R79" i="74" s="1"/>
  <c r="N63" i="88"/>
  <c r="M63"/>
  <c r="O79" i="74" s="1"/>
  <c r="H63" i="88"/>
  <c r="G63"/>
  <c r="S62"/>
  <c r="M62"/>
  <c r="G62"/>
  <c r="H62" s="1"/>
  <c r="S61"/>
  <c r="M61"/>
  <c r="G61"/>
  <c r="H61" s="1"/>
  <c r="S60"/>
  <c r="M60"/>
  <c r="G60"/>
  <c r="H60" s="1"/>
  <c r="S59"/>
  <c r="H75" i="74"/>
  <c r="AA75" s="1"/>
  <c r="AM75" s="1"/>
  <c r="S58" i="88"/>
  <c r="S57"/>
  <c r="AO52"/>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L47" s="1"/>
  <c r="AE47"/>
  <c r="AF47" s="1"/>
  <c r="Y47"/>
  <c r="S47"/>
  <c r="M47"/>
  <c r="G47"/>
  <c r="AK46"/>
  <c r="AL46" s="1"/>
  <c r="AE46"/>
  <c r="AF46" s="1"/>
  <c r="Y46"/>
  <c r="S46"/>
  <c r="T46" s="1"/>
  <c r="M46"/>
  <c r="G46"/>
  <c r="V70" i="74"/>
  <c r="AJ70" s="1"/>
  <c r="AV70" s="1"/>
  <c r="V68"/>
  <c r="AJ68" s="1"/>
  <c r="AV68" s="1"/>
  <c r="J12" i="86"/>
  <c r="E67" i="91" s="1"/>
  <c r="AK45" i="88"/>
  <c r="AL45" s="1"/>
  <c r="AE45"/>
  <c r="Y45"/>
  <c r="S45"/>
  <c r="T45" s="1"/>
  <c r="M45"/>
  <c r="G45"/>
  <c r="AK44"/>
  <c r="AE44"/>
  <c r="Y44"/>
  <c r="S44"/>
  <c r="M44"/>
  <c r="G44"/>
  <c r="AK43"/>
  <c r="AL43" s="1"/>
  <c r="AE43"/>
  <c r="Y43"/>
  <c r="Z43" s="1"/>
  <c r="S43"/>
  <c r="T43" s="1"/>
  <c r="M43"/>
  <c r="G43"/>
  <c r="AK42"/>
  <c r="AL42" s="1"/>
  <c r="AE42"/>
  <c r="Y42"/>
  <c r="S42"/>
  <c r="T42" s="1"/>
  <c r="M42"/>
  <c r="G42"/>
  <c r="T63" i="74"/>
  <c r="AI63" s="1"/>
  <c r="AU63" s="1"/>
  <c r="P63"/>
  <c r="AF63" s="1"/>
  <c r="AR63" s="1"/>
  <c r="J63"/>
  <c r="AB63" s="1"/>
  <c r="AN63" s="1"/>
  <c r="G41" i="88"/>
  <c r="H41" s="1"/>
  <c r="AO36"/>
  <c r="R128" i="89" s="1"/>
  <c r="AL36" i="88"/>
  <c r="O128" i="89" s="1"/>
  <c r="AI36" i="88"/>
  <c r="R107" i="89" s="1"/>
  <c r="AF36" i="88"/>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O125" i="89" s="1"/>
  <c r="AI34" i="88"/>
  <c r="AF34"/>
  <c r="AC34"/>
  <c r="Z34"/>
  <c r="E33" i="85" s="1"/>
  <c r="W34" i="88"/>
  <c r="T34"/>
  <c r="Q34"/>
  <c r="N34"/>
  <c r="K34"/>
  <c r="H34"/>
  <c r="AK31"/>
  <c r="AL31" s="1"/>
  <c r="AE31"/>
  <c r="X62" i="74" s="1"/>
  <c r="Y31" i="88"/>
  <c r="S31"/>
  <c r="R62" i="74" s="1"/>
  <c r="M31" i="88"/>
  <c r="O62" i="74" s="1"/>
  <c r="G31" i="88"/>
  <c r="AK30"/>
  <c r="AL30" s="1"/>
  <c r="AE30"/>
  <c r="X61" i="74" s="1"/>
  <c r="Y30" i="88"/>
  <c r="S30"/>
  <c r="R61" i="74" s="1"/>
  <c r="M30" i="88"/>
  <c r="O61" i="74" s="1"/>
  <c r="G30" i="88"/>
  <c r="AK29"/>
  <c r="AL29" s="1"/>
  <c r="AE29"/>
  <c r="X60" i="74" s="1"/>
  <c r="Y29" i="88"/>
  <c r="S29"/>
  <c r="R60" i="74" s="1"/>
  <c r="M29" i="88"/>
  <c r="O60" i="74" s="1"/>
  <c r="G29" i="88"/>
  <c r="H29" s="1"/>
  <c r="AK28"/>
  <c r="AE28"/>
  <c r="X59" i="74" s="1"/>
  <c r="Y28" i="88"/>
  <c r="U59" i="74" s="1"/>
  <c r="S28" i="88"/>
  <c r="R59" i="74" s="1"/>
  <c r="M28" i="88"/>
  <c r="O59" i="74" s="1"/>
  <c r="G28" i="88"/>
  <c r="AK27"/>
  <c r="AL27" s="1"/>
  <c r="AO27" s="1"/>
  <c r="AE27"/>
  <c r="X58" i="74" s="1"/>
  <c r="Y27" i="88"/>
  <c r="S27"/>
  <c r="R58" i="74" s="1"/>
  <c r="M27" i="88"/>
  <c r="O58" i="74" s="1"/>
  <c r="G27" i="88"/>
  <c r="H27" s="1"/>
  <c r="AK26"/>
  <c r="AL26" s="1"/>
  <c r="AE26"/>
  <c r="Y26"/>
  <c r="S26"/>
  <c r="R57" i="74" s="1"/>
  <c r="M26" i="88"/>
  <c r="O57" i="74" s="1"/>
  <c r="G26" i="88"/>
  <c r="H26" s="1"/>
  <c r="AK25"/>
  <c r="AL25" s="1"/>
  <c r="AE25"/>
  <c r="Y25"/>
  <c r="S25"/>
  <c r="R56" i="74" s="1"/>
  <c r="M25" i="88"/>
  <c r="O56" i="74" s="1"/>
  <c r="G25" i="88"/>
  <c r="H25" s="1"/>
  <c r="AO20"/>
  <c r="AL20"/>
  <c r="Q30" i="92" s="1"/>
  <c r="AD30" s="1"/>
  <c r="AP30" s="1"/>
  <c r="AI20" i="88"/>
  <c r="AF20"/>
  <c r="AC20"/>
  <c r="Z20"/>
  <c r="M30" i="92" s="1"/>
  <c r="Z30" s="1"/>
  <c r="AL30" s="1"/>
  <c r="W20" i="88"/>
  <c r="T20"/>
  <c r="Q20"/>
  <c r="N20"/>
  <c r="K20"/>
  <c r="H20"/>
  <c r="AO19"/>
  <c r="AL19"/>
  <c r="AI19"/>
  <c r="AF19"/>
  <c r="AC19"/>
  <c r="Z19"/>
  <c r="W19"/>
  <c r="T19"/>
  <c r="N20" i="84" s="1"/>
  <c r="F18" i="91" s="1"/>
  <c r="Q19" i="88"/>
  <c r="N19"/>
  <c r="K19"/>
  <c r="H19"/>
  <c r="AO18"/>
  <c r="AL18"/>
  <c r="Q28" i="92" s="1"/>
  <c r="AD28" s="1"/>
  <c r="AP28" s="1"/>
  <c r="AI18" i="88"/>
  <c r="AF18"/>
  <c r="AC18"/>
  <c r="Z18"/>
  <c r="W18"/>
  <c r="T18"/>
  <c r="Q18"/>
  <c r="N18"/>
  <c r="I42" i="89" s="1"/>
  <c r="K18" i="88"/>
  <c r="H18"/>
  <c r="I21" i="89" s="1"/>
  <c r="AK15" i="88"/>
  <c r="AL15" s="1"/>
  <c r="AE15"/>
  <c r="Y15"/>
  <c r="S15"/>
  <c r="M15"/>
  <c r="G15"/>
  <c r="H15" s="1"/>
  <c r="AK14"/>
  <c r="AL14" s="1"/>
  <c r="AO14" s="1"/>
  <c r="AE14"/>
  <c r="AF14" s="1"/>
  <c r="AI14" s="1"/>
  <c r="Y14"/>
  <c r="Z14" s="1"/>
  <c r="AC14" s="1"/>
  <c r="S14"/>
  <c r="T14" s="1"/>
  <c r="M14"/>
  <c r="N14" s="1"/>
  <c r="G14"/>
  <c r="H14" s="1"/>
  <c r="K14" s="1"/>
  <c r="AK13"/>
  <c r="AL13" s="1"/>
  <c r="AE13"/>
  <c r="AF13" s="1"/>
  <c r="D53" i="74" s="1"/>
  <c r="Y13" i="88"/>
  <c r="Z13" s="1"/>
  <c r="S13"/>
  <c r="T13" s="1"/>
  <c r="M13"/>
  <c r="N13" s="1"/>
  <c r="G13"/>
  <c r="H13" s="1"/>
  <c r="AK12"/>
  <c r="AE12"/>
  <c r="X52" i="74" s="1"/>
  <c r="Y12" i="88"/>
  <c r="U52" i="74" s="1"/>
  <c r="S12" i="88"/>
  <c r="R52" i="74" s="1"/>
  <c r="M12" i="88"/>
  <c r="O52" i="74" s="1"/>
  <c r="G12" i="88"/>
  <c r="AK11"/>
  <c r="AL11" s="1"/>
  <c r="AO11" s="1"/>
  <c r="AE11"/>
  <c r="AF11" s="1"/>
  <c r="D51" i="74" s="1"/>
  <c r="Y11" i="88"/>
  <c r="Z11" s="1"/>
  <c r="AC11" s="1"/>
  <c r="S11"/>
  <c r="T11" s="1"/>
  <c r="M11"/>
  <c r="N11" s="1"/>
  <c r="G11"/>
  <c r="H11" s="1"/>
  <c r="K11" s="1"/>
  <c r="C11"/>
  <c r="AK10"/>
  <c r="AL10" s="1"/>
  <c r="AE10"/>
  <c r="AF10" s="1"/>
  <c r="Y10"/>
  <c r="Z10" s="1"/>
  <c r="S10"/>
  <c r="T10" s="1"/>
  <c r="M10"/>
  <c r="N10" s="1"/>
  <c r="G10"/>
  <c r="H10" s="1"/>
  <c r="AK9"/>
  <c r="AE9"/>
  <c r="X49" i="74" s="1"/>
  <c r="Y9" i="88"/>
  <c r="U49" i="74" s="1"/>
  <c r="S9" i="88"/>
  <c r="R49" i="74" s="1"/>
  <c r="M9" i="88"/>
  <c r="O49" i="74" s="1"/>
  <c r="G9" i="88"/>
  <c r="AK8"/>
  <c r="AL8" s="1"/>
  <c r="AO8" s="1"/>
  <c r="AE8"/>
  <c r="AF8" s="1"/>
  <c r="D48" i="74" s="1"/>
  <c r="Y8" i="88"/>
  <c r="Z8" s="1"/>
  <c r="S8"/>
  <c r="T8" s="1"/>
  <c r="M8"/>
  <c r="N8" s="1"/>
  <c r="G8"/>
  <c r="H8" s="1"/>
  <c r="C8"/>
  <c r="AK7"/>
  <c r="AL7" s="1"/>
  <c r="AE7"/>
  <c r="AF7" s="1"/>
  <c r="Y7"/>
  <c r="Z7" s="1"/>
  <c r="S7"/>
  <c r="T7" s="1"/>
  <c r="M7"/>
  <c r="N7" s="1"/>
  <c r="G7"/>
  <c r="H7" s="1"/>
  <c r="AK6"/>
  <c r="AL6" s="1"/>
  <c r="AO6" s="1"/>
  <c r="AE6"/>
  <c r="AF6" s="1"/>
  <c r="D46" i="74" s="1"/>
  <c r="Y6" i="88"/>
  <c r="Z6" s="1"/>
  <c r="AC6" s="1"/>
  <c r="S6"/>
  <c r="T6" s="1"/>
  <c r="M6"/>
  <c r="N6" s="1"/>
  <c r="Q6" s="1"/>
  <c r="G6"/>
  <c r="H6" s="1"/>
  <c r="K15" i="87"/>
  <c r="G15"/>
  <c r="K13"/>
  <c r="K11"/>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K33" i="82"/>
  <c r="D172" i="90" s="1"/>
  <c r="I33" i="82"/>
  <c r="G33"/>
  <c r="C172" i="90" s="1"/>
  <c r="E33" i="82"/>
  <c r="K32"/>
  <c r="I32"/>
  <c r="G32"/>
  <c r="E32"/>
  <c r="K31"/>
  <c r="I31"/>
  <c r="G31"/>
  <c r="E31"/>
  <c r="K30"/>
  <c r="I30"/>
  <c r="G30"/>
  <c r="E30"/>
  <c r="K28"/>
  <c r="I28"/>
  <c r="G28"/>
  <c r="E28"/>
  <c r="K27"/>
  <c r="I27"/>
  <c r="G27"/>
  <c r="E27"/>
  <c r="K26"/>
  <c r="I26"/>
  <c r="G26"/>
  <c r="E26"/>
  <c r="K25"/>
  <c r="I25"/>
  <c r="G25"/>
  <c r="E25"/>
  <c r="K24"/>
  <c r="I24"/>
  <c r="G24"/>
  <c r="E24"/>
  <c r="I20"/>
  <c r="E20"/>
  <c r="I19"/>
  <c r="E19"/>
  <c r="I18"/>
  <c r="E18"/>
  <c r="I17"/>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O28" i="80"/>
  <c r="I55" i="90" s="1"/>
  <c r="K28" i="80"/>
  <c r="H55" i="90" s="1"/>
  <c r="G28" i="80"/>
  <c r="G55" i="90" s="1"/>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L33" i="78"/>
  <c r="D123" i="90" s="1"/>
  <c r="C123"/>
  <c r="D121"/>
  <c r="C121"/>
  <c r="H31" i="78"/>
  <c r="I30"/>
  <c r="H30"/>
  <c r="D120" i="90"/>
  <c r="I29" i="78"/>
  <c r="C120" i="90"/>
  <c r="D119"/>
  <c r="I28" i="78"/>
  <c r="C119" i="90"/>
  <c r="D118"/>
  <c r="I27" i="78"/>
  <c r="H27"/>
  <c r="C118" i="90" s="1"/>
  <c r="D117"/>
  <c r="I26" i="78"/>
  <c r="H26"/>
  <c r="C117" i="90" s="1"/>
  <c r="D116"/>
  <c r="H25" i="78"/>
  <c r="C116" i="90" s="1"/>
  <c r="M98" i="77"/>
  <c r="N98" s="1"/>
  <c r="G98"/>
  <c r="H98" s="1"/>
  <c r="Q97"/>
  <c r="M97"/>
  <c r="K97"/>
  <c r="C183" i="90" s="1"/>
  <c r="G97" i="77"/>
  <c r="M96"/>
  <c r="I14" i="82" s="1"/>
  <c r="G96" i="77"/>
  <c r="Q95"/>
  <c r="M95"/>
  <c r="K95"/>
  <c r="C181" i="90" s="1"/>
  <c r="G95" i="77"/>
  <c r="M94"/>
  <c r="G94"/>
  <c r="H94" s="1"/>
  <c r="Q93"/>
  <c r="M93"/>
  <c r="K93"/>
  <c r="C179" i="90" s="1"/>
  <c r="G93" i="77"/>
  <c r="M92"/>
  <c r="I10" i="82" s="1"/>
  <c r="G92" i="77"/>
  <c r="M91"/>
  <c r="G91"/>
  <c r="M90"/>
  <c r="I8" i="82" s="1"/>
  <c r="G90" i="77"/>
  <c r="H90" s="1"/>
  <c r="M89"/>
  <c r="I7" i="82" s="1"/>
  <c r="G89" i="77"/>
  <c r="H89" s="1"/>
  <c r="M72"/>
  <c r="M71"/>
  <c r="N66"/>
  <c r="H66"/>
  <c r="H16" i="78" s="1"/>
  <c r="N65" i="77"/>
  <c r="H65"/>
  <c r="N64"/>
  <c r="H64"/>
  <c r="S63"/>
  <c r="T63" s="1"/>
  <c r="M63"/>
  <c r="N63" s="1"/>
  <c r="G63"/>
  <c r="H63" s="1"/>
  <c r="S62"/>
  <c r="T62" s="1"/>
  <c r="M62"/>
  <c r="N62" s="1"/>
  <c r="G62"/>
  <c r="H62" s="1"/>
  <c r="S61"/>
  <c r="T61" s="1"/>
  <c r="M61"/>
  <c r="N61" s="1"/>
  <c r="G61"/>
  <c r="H61" s="1"/>
  <c r="S60"/>
  <c r="T60" s="1"/>
  <c r="M60"/>
  <c r="N60" s="1"/>
  <c r="G60"/>
  <c r="I60" s="1"/>
  <c r="K60" s="1"/>
  <c r="J10" i="78" s="1"/>
  <c r="C130" i="90" s="1"/>
  <c r="S59" i="77"/>
  <c r="T59" s="1"/>
  <c r="M59"/>
  <c r="N59" s="1"/>
  <c r="G59"/>
  <c r="S58"/>
  <c r="T58" s="1"/>
  <c r="M58"/>
  <c r="N58" s="1"/>
  <c r="G58"/>
  <c r="S57"/>
  <c r="T57" s="1"/>
  <c r="M57"/>
  <c r="G57"/>
  <c r="AK47"/>
  <c r="AE47"/>
  <c r="Y47"/>
  <c r="S47"/>
  <c r="M47"/>
  <c r="G47"/>
  <c r="AK46"/>
  <c r="AE46"/>
  <c r="Y46"/>
  <c r="S46"/>
  <c r="M46"/>
  <c r="G46"/>
  <c r="J35" i="81"/>
  <c r="H69" i="90" s="1"/>
  <c r="N14" i="81"/>
  <c r="F69" i="90" s="1"/>
  <c r="F14" i="81"/>
  <c r="D69" i="90" s="1"/>
  <c r="L33" i="81"/>
  <c r="H85" i="90" s="1"/>
  <c r="P12" i="81"/>
  <c r="F85" i="90" s="1"/>
  <c r="H12" i="81"/>
  <c r="D85" i="90" s="1"/>
  <c r="AK45" i="77"/>
  <c r="AE45"/>
  <c r="AF45" s="1"/>
  <c r="Y45"/>
  <c r="S45"/>
  <c r="T45" s="1"/>
  <c r="M45"/>
  <c r="G45"/>
  <c r="H45" s="1"/>
  <c r="AK44"/>
  <c r="AE44"/>
  <c r="Y44"/>
  <c r="S44"/>
  <c r="M44"/>
  <c r="G44"/>
  <c r="AK43"/>
  <c r="AE43"/>
  <c r="Y43"/>
  <c r="Z43" s="1"/>
  <c r="S43"/>
  <c r="M43"/>
  <c r="N43" s="1"/>
  <c r="G43"/>
  <c r="AK42"/>
  <c r="AE42"/>
  <c r="Y42"/>
  <c r="S42"/>
  <c r="M42"/>
  <c r="G42"/>
  <c r="N28" i="81"/>
  <c r="I62" i="90" s="1"/>
  <c r="L28" i="81"/>
  <c r="H80" i="90" s="1"/>
  <c r="F28" i="81"/>
  <c r="G62" i="90" s="1"/>
  <c r="P7" i="81"/>
  <c r="F80" i="90" s="1"/>
  <c r="J7" i="81"/>
  <c r="E62" i="90" s="1"/>
  <c r="G41" i="77"/>
  <c r="H41" s="1"/>
  <c r="I41" s="1"/>
  <c r="K41" s="1"/>
  <c r="AK31"/>
  <c r="AE31"/>
  <c r="Y31"/>
  <c r="S31"/>
  <c r="M31"/>
  <c r="G31"/>
  <c r="H31" s="1"/>
  <c r="E13" i="80" s="1"/>
  <c r="D43" i="90" s="1"/>
  <c r="AK30" i="77"/>
  <c r="AE30"/>
  <c r="Y30"/>
  <c r="S30"/>
  <c r="M30"/>
  <c r="G30"/>
  <c r="H30" s="1"/>
  <c r="AK29"/>
  <c r="AL29" s="1"/>
  <c r="AE29"/>
  <c r="Y29"/>
  <c r="Z29" s="1"/>
  <c r="S29"/>
  <c r="M29"/>
  <c r="N29" s="1"/>
  <c r="G29"/>
  <c r="H29" s="1"/>
  <c r="E11" i="80" s="1"/>
  <c r="D41" i="90" s="1"/>
  <c r="AK28" i="77"/>
  <c r="AE28"/>
  <c r="Y28"/>
  <c r="S28"/>
  <c r="M28"/>
  <c r="G28"/>
  <c r="AK27"/>
  <c r="AL27" s="1"/>
  <c r="AE27"/>
  <c r="AF27" s="1"/>
  <c r="Y27"/>
  <c r="Z27" s="1"/>
  <c r="S27"/>
  <c r="M27"/>
  <c r="N27" s="1"/>
  <c r="G27"/>
  <c r="H27" s="1"/>
  <c r="AK26"/>
  <c r="AE26"/>
  <c r="Y26"/>
  <c r="S26"/>
  <c r="M26"/>
  <c r="G26"/>
  <c r="H26" s="1"/>
  <c r="AK25"/>
  <c r="AE25"/>
  <c r="Y25"/>
  <c r="S25"/>
  <c r="M25"/>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L10"/>
  <c r="E10"/>
  <c r="L9"/>
  <c r="M9" s="1"/>
  <c r="M11" s="1"/>
  <c r="N11" s="1"/>
  <c r="L20" s="1"/>
  <c r="E9"/>
  <c r="F9" s="1"/>
  <c r="F11" s="1"/>
  <c r="L17" s="1"/>
  <c r="L5"/>
  <c r="E5"/>
  <c r="L4"/>
  <c r="M4" s="1"/>
  <c r="M6" s="1"/>
  <c r="L19" s="1"/>
  <c r="E4"/>
  <c r="F4" s="1"/>
  <c r="F6" s="1"/>
  <c r="L64" i="24"/>
  <c r="H13" i="92" s="1"/>
  <c r="U13" s="1"/>
  <c r="AG13" s="1"/>
  <c r="L65" i="24"/>
  <c r="L66"/>
  <c r="H15" i="92" s="1"/>
  <c r="U15" s="1"/>
  <c r="AG15" s="1"/>
  <c r="L67" i="24"/>
  <c r="H16" i="92" s="1"/>
  <c r="U16" s="1"/>
  <c r="AG16" s="1"/>
  <c r="L68" i="24"/>
  <c r="H17" i="92" s="1"/>
  <c r="U17" s="1"/>
  <c r="AG17" s="1"/>
  <c r="L69" i="24"/>
  <c r="H18" i="92" s="1"/>
  <c r="U18" s="1"/>
  <c r="AG18" s="1"/>
  <c r="H19"/>
  <c r="U19" s="1"/>
  <c r="AG19" s="1"/>
  <c r="L63" i="24"/>
  <c r="P63"/>
  <c r="S63"/>
  <c r="W63"/>
  <c r="K12" i="92" s="1"/>
  <c r="X12" s="1"/>
  <c r="AJ12" s="1"/>
  <c r="Z63" i="24"/>
  <c r="AD63"/>
  <c r="I26" i="114" s="1"/>
  <c r="G79" i="69" s="1"/>
  <c r="AG63" i="24"/>
  <c r="K26" i="114" s="1"/>
  <c r="AK63" i="24"/>
  <c r="M26" i="114" s="1"/>
  <c r="H79" i="69" s="1"/>
  <c r="AN63" i="24"/>
  <c r="O26" i="114" s="1"/>
  <c r="AR63" i="24"/>
  <c r="Q26" i="114" s="1"/>
  <c r="I79" i="69" s="1"/>
  <c r="AU63" i="24"/>
  <c r="S26" i="114" s="1"/>
  <c r="P64" i="24"/>
  <c r="I13" i="92" s="1"/>
  <c r="V13" s="1"/>
  <c r="AH13" s="1"/>
  <c r="S64" i="24"/>
  <c r="W64"/>
  <c r="K13" i="92" s="1"/>
  <c r="X13" s="1"/>
  <c r="AJ13" s="1"/>
  <c r="Z64" i="24"/>
  <c r="AD64"/>
  <c r="AG64"/>
  <c r="K27" i="114" s="1"/>
  <c r="AK64" i="24"/>
  <c r="AN64"/>
  <c r="O27" i="114" s="1"/>
  <c r="AR64" i="24"/>
  <c r="AU64"/>
  <c r="S27" i="114" s="1"/>
  <c r="P65" i="24"/>
  <c r="I14" i="92" s="1"/>
  <c r="V14" s="1"/>
  <c r="AH14" s="1"/>
  <c r="S65" i="24"/>
  <c r="W65"/>
  <c r="K14" i="92" s="1"/>
  <c r="X14" s="1"/>
  <c r="AJ14" s="1"/>
  <c r="Z65" i="24"/>
  <c r="AD65"/>
  <c r="AG65"/>
  <c r="K28" i="114" s="1"/>
  <c r="AK65" i="24"/>
  <c r="AN65"/>
  <c r="AR65"/>
  <c r="AU65"/>
  <c r="S28" i="114" s="1"/>
  <c r="P66" i="24"/>
  <c r="I15" i="92" s="1"/>
  <c r="V15" s="1"/>
  <c r="AH15" s="1"/>
  <c r="S66" i="24"/>
  <c r="J15" i="92" s="1"/>
  <c r="W15" s="1"/>
  <c r="AI15" s="1"/>
  <c r="W66" i="24"/>
  <c r="K15" i="92" s="1"/>
  <c r="X15" s="1"/>
  <c r="AJ15" s="1"/>
  <c r="Z66" i="24"/>
  <c r="S29" i="54" s="1"/>
  <c r="AD66" i="24"/>
  <c r="AG66"/>
  <c r="K29" i="114" s="1"/>
  <c r="AK66" i="24"/>
  <c r="AN66"/>
  <c r="AR66"/>
  <c r="AU66"/>
  <c r="P67"/>
  <c r="I16" i="92" s="1"/>
  <c r="V16" s="1"/>
  <c r="AH16" s="1"/>
  <c r="S67" i="24"/>
  <c r="W67"/>
  <c r="K16" i="92" s="1"/>
  <c r="X16" s="1"/>
  <c r="AJ16" s="1"/>
  <c r="Z67" i="24"/>
  <c r="AD67"/>
  <c r="AG67"/>
  <c r="K30" i="114" s="1"/>
  <c r="AK67" i="24"/>
  <c r="AN67"/>
  <c r="AR67"/>
  <c r="AU67"/>
  <c r="S30" i="114" s="1"/>
  <c r="P68" i="24"/>
  <c r="I17" i="92" s="1"/>
  <c r="V17" s="1"/>
  <c r="AH17" s="1"/>
  <c r="S68" i="24"/>
  <c r="J17" i="92" s="1"/>
  <c r="W17" s="1"/>
  <c r="AI17" s="1"/>
  <c r="W68" i="24"/>
  <c r="K17" i="92" s="1"/>
  <c r="X17" s="1"/>
  <c r="AJ17" s="1"/>
  <c r="Z68" i="24"/>
  <c r="AD68"/>
  <c r="I31" i="114" s="1"/>
  <c r="G84" i="69" s="1"/>
  <c r="AG68" i="24"/>
  <c r="K31" i="114" s="1"/>
  <c r="AK68" i="24"/>
  <c r="AN68"/>
  <c r="O31" i="114" s="1"/>
  <c r="AR68" i="24"/>
  <c r="AU68"/>
  <c r="S31" i="114" s="1"/>
  <c r="P69" i="24"/>
  <c r="I18" i="92" s="1"/>
  <c r="V18" s="1"/>
  <c r="AH18" s="1"/>
  <c r="S69" i="24"/>
  <c r="W69"/>
  <c r="K18" i="92" s="1"/>
  <c r="X18" s="1"/>
  <c r="AJ18" s="1"/>
  <c r="Z69" i="24"/>
  <c r="AD69"/>
  <c r="AG69"/>
  <c r="K32" i="114" s="1"/>
  <c r="AK69" i="24"/>
  <c r="AN69"/>
  <c r="AR69"/>
  <c r="AU69"/>
  <c r="S32" i="114" s="1"/>
  <c r="J19" i="92"/>
  <c r="W19" s="1"/>
  <c r="AI19" s="1"/>
  <c r="Z70" i="24"/>
  <c r="M19" i="92" s="1"/>
  <c r="Z19" s="1"/>
  <c r="AL19" s="1"/>
  <c r="AG70" i="24"/>
  <c r="O19" i="92" s="1"/>
  <c r="AB19" s="1"/>
  <c r="AN19" s="1"/>
  <c r="AN70" i="24"/>
  <c r="Q19" i="92" s="1"/>
  <c r="AD19" s="1"/>
  <c r="AP19" s="1"/>
  <c r="AU70" i="24"/>
  <c r="C4" i="74"/>
  <c r="D4"/>
  <c r="E4"/>
  <c r="F4"/>
  <c r="C5"/>
  <c r="D5"/>
  <c r="E5"/>
  <c r="F5"/>
  <c r="L5"/>
  <c r="O5"/>
  <c r="R5"/>
  <c r="U5"/>
  <c r="C6"/>
  <c r="D6"/>
  <c r="E6"/>
  <c r="F6"/>
  <c r="L6"/>
  <c r="O6"/>
  <c r="R6"/>
  <c r="U6"/>
  <c r="C7"/>
  <c r="D7"/>
  <c r="E7"/>
  <c r="F7"/>
  <c r="L7"/>
  <c r="R7"/>
  <c r="U7"/>
  <c r="C8"/>
  <c r="D8"/>
  <c r="E8"/>
  <c r="F8"/>
  <c r="C9"/>
  <c r="D9"/>
  <c r="E9"/>
  <c r="F9"/>
  <c r="C10"/>
  <c r="D10"/>
  <c r="E10"/>
  <c r="F10"/>
  <c r="C11"/>
  <c r="D11"/>
  <c r="E11"/>
  <c r="F11"/>
  <c r="H11"/>
  <c r="AA11" s="1"/>
  <c r="AM11" s="1"/>
  <c r="I11"/>
  <c r="K11"/>
  <c r="AC11" s="1"/>
  <c r="AO11" s="1"/>
  <c r="L11"/>
  <c r="N11"/>
  <c r="AE11" s="1"/>
  <c r="AQ11" s="1"/>
  <c r="O11"/>
  <c r="Q11"/>
  <c r="AG11" s="1"/>
  <c r="AS11" s="1"/>
  <c r="R11"/>
  <c r="T11"/>
  <c r="AI11" s="1"/>
  <c r="AU11" s="1"/>
  <c r="U11"/>
  <c r="W11"/>
  <c r="AK11" s="1"/>
  <c r="AW11" s="1"/>
  <c r="X11"/>
  <c r="C12"/>
  <c r="D12"/>
  <c r="E12"/>
  <c r="F12"/>
  <c r="C13"/>
  <c r="D13"/>
  <c r="E13"/>
  <c r="F13"/>
  <c r="C14"/>
  <c r="D14"/>
  <c r="E14"/>
  <c r="F14"/>
  <c r="C15"/>
  <c r="D15"/>
  <c r="E15"/>
  <c r="F15"/>
  <c r="C16"/>
  <c r="D16"/>
  <c r="E16"/>
  <c r="F16"/>
  <c r="H16"/>
  <c r="AA16" s="1"/>
  <c r="AM16" s="1"/>
  <c r="I16"/>
  <c r="K16"/>
  <c r="AC16" s="1"/>
  <c r="AO16" s="1"/>
  <c r="L16"/>
  <c r="O16"/>
  <c r="C17"/>
  <c r="D17"/>
  <c r="E17"/>
  <c r="F17"/>
  <c r="H17"/>
  <c r="AA17" s="1"/>
  <c r="AM17" s="1"/>
  <c r="I17"/>
  <c r="K17"/>
  <c r="AC17" s="1"/>
  <c r="AO17" s="1"/>
  <c r="L17"/>
  <c r="O17"/>
  <c r="C18"/>
  <c r="D18"/>
  <c r="E18"/>
  <c r="F18"/>
  <c r="C19"/>
  <c r="D19"/>
  <c r="E19"/>
  <c r="F19"/>
  <c r="C20"/>
  <c r="D20"/>
  <c r="E20"/>
  <c r="F20"/>
  <c r="C21"/>
  <c r="D21"/>
  <c r="E21"/>
  <c r="F21"/>
  <c r="C22"/>
  <c r="D22"/>
  <c r="E22"/>
  <c r="F22"/>
  <c r="C23"/>
  <c r="D23"/>
  <c r="E23"/>
  <c r="F23"/>
  <c r="C24"/>
  <c r="D24"/>
  <c r="E24"/>
  <c r="F24"/>
  <c r="C25"/>
  <c r="D25"/>
  <c r="E25"/>
  <c r="F25"/>
  <c r="H25"/>
  <c r="AA25" s="1"/>
  <c r="AM25" s="1"/>
  <c r="I25"/>
  <c r="K25"/>
  <c r="AC25" s="1"/>
  <c r="AO25" s="1"/>
  <c r="L25"/>
  <c r="N25"/>
  <c r="AE25" s="1"/>
  <c r="AQ25" s="1"/>
  <c r="O25"/>
  <c r="Q25"/>
  <c r="AG25" s="1"/>
  <c r="AS25" s="1"/>
  <c r="R25"/>
  <c r="T25"/>
  <c r="AI25" s="1"/>
  <c r="AU25" s="1"/>
  <c r="U25"/>
  <c r="W25"/>
  <c r="AK25" s="1"/>
  <c r="AW25" s="1"/>
  <c r="X25"/>
  <c r="C26"/>
  <c r="D26"/>
  <c r="E26"/>
  <c r="F26"/>
  <c r="C27"/>
  <c r="D27"/>
  <c r="E27"/>
  <c r="F27"/>
  <c r="C28"/>
  <c r="D28"/>
  <c r="E28"/>
  <c r="F28"/>
  <c r="C29"/>
  <c r="D29"/>
  <c r="E29"/>
  <c r="F29"/>
  <c r="C30"/>
  <c r="D30"/>
  <c r="E30"/>
  <c r="F30"/>
  <c r="H30"/>
  <c r="AA30" s="1"/>
  <c r="AM30" s="1"/>
  <c r="I30"/>
  <c r="K30"/>
  <c r="AC30" s="1"/>
  <c r="AO30" s="1"/>
  <c r="L30"/>
  <c r="O30"/>
  <c r="Q30"/>
  <c r="AG30" s="1"/>
  <c r="AS30" s="1"/>
  <c r="R30"/>
  <c r="T30"/>
  <c r="AI30" s="1"/>
  <c r="AU30" s="1"/>
  <c r="U30"/>
  <c r="C31"/>
  <c r="D31"/>
  <c r="E31"/>
  <c r="F31"/>
  <c r="H31"/>
  <c r="AA31" s="1"/>
  <c r="AM31" s="1"/>
  <c r="I31"/>
  <c r="K31"/>
  <c r="AC31" s="1"/>
  <c r="AO31" s="1"/>
  <c r="L31"/>
  <c r="O31"/>
  <c r="C32"/>
  <c r="D32"/>
  <c r="E32"/>
  <c r="F32"/>
  <c r="C33"/>
  <c r="D33"/>
  <c r="E33"/>
  <c r="F33"/>
  <c r="C34"/>
  <c r="D34"/>
  <c r="E34"/>
  <c r="F34"/>
  <c r="C35"/>
  <c r="D35"/>
  <c r="E35"/>
  <c r="F35"/>
  <c r="C36"/>
  <c r="D36"/>
  <c r="E36"/>
  <c r="F36"/>
  <c r="C37"/>
  <c r="D37"/>
  <c r="E37"/>
  <c r="F37"/>
  <c r="C38"/>
  <c r="D38"/>
  <c r="E38"/>
  <c r="F38"/>
  <c r="C39"/>
  <c r="D39"/>
  <c r="E39"/>
  <c r="F39"/>
  <c r="H39"/>
  <c r="AA39" s="1"/>
  <c r="AM39" s="1"/>
  <c r="I39"/>
  <c r="K39"/>
  <c r="AC39" s="1"/>
  <c r="AO39" s="1"/>
  <c r="L39"/>
  <c r="N39"/>
  <c r="AE39" s="1"/>
  <c r="AQ39" s="1"/>
  <c r="O39"/>
  <c r="Q39"/>
  <c r="AG39" s="1"/>
  <c r="AS39" s="1"/>
  <c r="R39"/>
  <c r="T39"/>
  <c r="AI39" s="1"/>
  <c r="AU39" s="1"/>
  <c r="U39"/>
  <c r="W39"/>
  <c r="AK39" s="1"/>
  <c r="AW39" s="1"/>
  <c r="X39"/>
  <c r="C40"/>
  <c r="D40"/>
  <c r="E40"/>
  <c r="F40"/>
  <c r="C41"/>
  <c r="D41"/>
  <c r="E41"/>
  <c r="F41"/>
  <c r="C42"/>
  <c r="D42"/>
  <c r="E42"/>
  <c r="F42"/>
  <c r="C43"/>
  <c r="D43"/>
  <c r="E43"/>
  <c r="F43"/>
  <c r="C44"/>
  <c r="D44"/>
  <c r="E44"/>
  <c r="F44"/>
  <c r="H44"/>
  <c r="AA44" s="1"/>
  <c r="AM44" s="1"/>
  <c r="I44"/>
  <c r="K44"/>
  <c r="AC44" s="1"/>
  <c r="AO44" s="1"/>
  <c r="L44"/>
  <c r="O44"/>
  <c r="Q44"/>
  <c r="AG44" s="1"/>
  <c r="AS44" s="1"/>
  <c r="U44"/>
  <c r="C45"/>
  <c r="D45"/>
  <c r="E45"/>
  <c r="F45"/>
  <c r="H45"/>
  <c r="AA45" s="1"/>
  <c r="AM45" s="1"/>
  <c r="I45"/>
  <c r="K45"/>
  <c r="AC45" s="1"/>
  <c r="AO45" s="1"/>
  <c r="L45"/>
  <c r="N45"/>
  <c r="AE45" s="1"/>
  <c r="AQ45" s="1"/>
  <c r="O45"/>
  <c r="R45"/>
  <c r="W45"/>
  <c r="AK45" s="1"/>
  <c r="AW45" s="1"/>
  <c r="X45"/>
  <c r="AA70" i="60"/>
  <c r="AA71"/>
  <c r="AA72"/>
  <c r="AA73"/>
  <c r="AA73" i="122" s="1"/>
  <c r="AA75" i="60"/>
  <c r="AA76"/>
  <c r="S70"/>
  <c r="S70" i="122" s="1"/>
  <c r="S71" i="60"/>
  <c r="S71" i="122" s="1"/>
  <c r="S72" i="60"/>
  <c r="S72" i="122" s="1"/>
  <c r="S73" i="60"/>
  <c r="S73" i="122" s="1"/>
  <c r="S75" i="60"/>
  <c r="S76"/>
  <c r="K70"/>
  <c r="K71"/>
  <c r="K72"/>
  <c r="K73"/>
  <c r="K73" i="122" s="1"/>
  <c r="K75" i="60"/>
  <c r="K76"/>
  <c r="AA69"/>
  <c r="S69"/>
  <c r="S69" i="122" s="1"/>
  <c r="K69" i="60"/>
  <c r="AA28"/>
  <c r="AA29"/>
  <c r="AA30"/>
  <c r="AA31"/>
  <c r="AA31" i="122" s="1"/>
  <c r="AA33" i="60"/>
  <c r="AA34"/>
  <c r="S28"/>
  <c r="S28" i="122" s="1"/>
  <c r="S29" i="60"/>
  <c r="S29" i="122" s="1"/>
  <c r="S30" i="60"/>
  <c r="S30" i="122" s="1"/>
  <c r="S31" i="60"/>
  <c r="S31" i="122" s="1"/>
  <c r="S33" i="60"/>
  <c r="S34"/>
  <c r="K28"/>
  <c r="K29"/>
  <c r="K30"/>
  <c r="K31" i="120"/>
  <c r="K33" i="60"/>
  <c r="K34"/>
  <c r="AA27"/>
  <c r="S27"/>
  <c r="S27" i="122" s="1"/>
  <c r="AA65" i="58"/>
  <c r="AA66"/>
  <c r="AA67"/>
  <c r="AA68"/>
  <c r="AA69"/>
  <c r="AA70"/>
  <c r="AA71"/>
  <c r="S65"/>
  <c r="S66"/>
  <c r="S67"/>
  <c r="S68"/>
  <c r="S69"/>
  <c r="S70"/>
  <c r="S71"/>
  <c r="K65"/>
  <c r="K66"/>
  <c r="K67"/>
  <c r="K68"/>
  <c r="K69"/>
  <c r="K70"/>
  <c r="K71"/>
  <c r="AA64"/>
  <c r="K64"/>
  <c r="AA27"/>
  <c r="AA28"/>
  <c r="AA29"/>
  <c r="AA31"/>
  <c r="AA32"/>
  <c r="AA33"/>
  <c r="S27"/>
  <c r="S28"/>
  <c r="S29"/>
  <c r="S31"/>
  <c r="S32"/>
  <c r="S33"/>
  <c r="K27"/>
  <c r="K28"/>
  <c r="K29"/>
  <c r="K31"/>
  <c r="AA26"/>
  <c r="S26"/>
  <c r="K26"/>
  <c r="AA69" i="46"/>
  <c r="AA70"/>
  <c r="AA71"/>
  <c r="AA72"/>
  <c r="AA73"/>
  <c r="AA74"/>
  <c r="AA75"/>
  <c r="S69"/>
  <c r="S70"/>
  <c r="S71"/>
  <c r="S72"/>
  <c r="S73"/>
  <c r="S74"/>
  <c r="S75"/>
  <c r="K69"/>
  <c r="K70"/>
  <c r="K71"/>
  <c r="K72"/>
  <c r="K73"/>
  <c r="K74"/>
  <c r="K75"/>
  <c r="AA68"/>
  <c r="S68"/>
  <c r="K68"/>
  <c r="AA29"/>
  <c r="AA30"/>
  <c r="AA31"/>
  <c r="AA32"/>
  <c r="AA33"/>
  <c r="AA34"/>
  <c r="AA35"/>
  <c r="AA28"/>
  <c r="S29"/>
  <c r="S30"/>
  <c r="S31"/>
  <c r="S32"/>
  <c r="S33"/>
  <c r="S34"/>
  <c r="S35"/>
  <c r="S28"/>
  <c r="K29"/>
  <c r="K30"/>
  <c r="K31"/>
  <c r="K32"/>
  <c r="K33"/>
  <c r="K34"/>
  <c r="K28"/>
  <c r="I106" i="24"/>
  <c r="L106"/>
  <c r="P106"/>
  <c r="I21" i="92" s="1"/>
  <c r="V21" s="1"/>
  <c r="AH21" s="1"/>
  <c r="S106" i="24"/>
  <c r="W106"/>
  <c r="Z106"/>
  <c r="AD106"/>
  <c r="I30" i="115" s="1"/>
  <c r="AG106" i="24"/>
  <c r="K30" i="115" s="1"/>
  <c r="AK106" i="24"/>
  <c r="AN106"/>
  <c r="O30" i="115" s="1"/>
  <c r="AR106" i="24"/>
  <c r="Q30" i="115" s="1"/>
  <c r="AU106" i="24"/>
  <c r="S30" i="115" s="1"/>
  <c r="L107" i="24"/>
  <c r="P107"/>
  <c r="I22" i="92" s="1"/>
  <c r="V22" s="1"/>
  <c r="AH22" s="1"/>
  <c r="S107" i="24"/>
  <c r="W107"/>
  <c r="Z107"/>
  <c r="AD107"/>
  <c r="I31" i="115" s="1"/>
  <c r="AG107" i="24"/>
  <c r="K31" i="115" s="1"/>
  <c r="AK107" i="24"/>
  <c r="AN107"/>
  <c r="O31" i="115" s="1"/>
  <c r="AR107" i="24"/>
  <c r="Q31" i="115" s="1"/>
  <c r="AU107" i="24"/>
  <c r="S31" i="115" s="1"/>
  <c r="L108" i="24"/>
  <c r="P108"/>
  <c r="I23" i="92" s="1"/>
  <c r="V23" s="1"/>
  <c r="AH23" s="1"/>
  <c r="S108" i="24"/>
  <c r="W108"/>
  <c r="Z108"/>
  <c r="AD108"/>
  <c r="I32" i="115" s="1"/>
  <c r="AG108" i="24"/>
  <c r="K32" i="115" s="1"/>
  <c r="AK108" i="24"/>
  <c r="AN108"/>
  <c r="O32" i="115" s="1"/>
  <c r="AR108" i="24"/>
  <c r="Q32" i="115" s="1"/>
  <c r="AU108" i="24"/>
  <c r="S32" i="115" s="1"/>
  <c r="G24" i="92"/>
  <c r="T24" s="1"/>
  <c r="AF24" s="1"/>
  <c r="L109" i="24"/>
  <c r="I24" i="92"/>
  <c r="V24" s="1"/>
  <c r="AH24" s="1"/>
  <c r="S109" i="24"/>
  <c r="W109"/>
  <c r="K24" i="92" s="1"/>
  <c r="X24" s="1"/>
  <c r="AJ24" s="1"/>
  <c r="Z109" i="24"/>
  <c r="AD109"/>
  <c r="AG109"/>
  <c r="K33" i="115" s="1"/>
  <c r="AK109" i="24"/>
  <c r="AN109"/>
  <c r="O33" i="115" s="1"/>
  <c r="AR109" i="24"/>
  <c r="AU109"/>
  <c r="S33" i="115" s="1"/>
  <c r="G25" i="92"/>
  <c r="T25" s="1"/>
  <c r="AF25" s="1"/>
  <c r="L110" i="24"/>
  <c r="P110"/>
  <c r="Q32" i="60" s="1"/>
  <c r="S110" i="24"/>
  <c r="W110"/>
  <c r="Y32" i="60" s="1"/>
  <c r="Z110" i="24"/>
  <c r="AD110"/>
  <c r="I74" i="60" s="1"/>
  <c r="AG110" i="24"/>
  <c r="K34" i="115" s="1"/>
  <c r="AK110" i="24"/>
  <c r="Q74" i="60" s="1"/>
  <c r="AN110" i="24"/>
  <c r="O34" i="115" s="1"/>
  <c r="AU110" i="24"/>
  <c r="S34" i="115" s="1"/>
  <c r="I111" i="24"/>
  <c r="L111"/>
  <c r="P111"/>
  <c r="I26" i="92" s="1"/>
  <c r="V26" s="1"/>
  <c r="AH26" s="1"/>
  <c r="S111" i="24"/>
  <c r="W111"/>
  <c r="Z111"/>
  <c r="AD111"/>
  <c r="AG111"/>
  <c r="K35" i="115" s="1"/>
  <c r="AK111" i="24"/>
  <c r="AN111"/>
  <c r="O35" i="115" s="1"/>
  <c r="AR111" i="24"/>
  <c r="Q35" i="115" s="1"/>
  <c r="AU111" i="24"/>
  <c r="S35" i="115" s="1"/>
  <c r="L112" i="24"/>
  <c r="S112"/>
  <c r="Z112"/>
  <c r="M27" i="92" s="1"/>
  <c r="Z27" s="1"/>
  <c r="AL27" s="1"/>
  <c r="AG112" i="24"/>
  <c r="AN112"/>
  <c r="L117"/>
  <c r="L132" s="1"/>
  <c r="W117"/>
  <c r="W132" s="1"/>
  <c r="Z117"/>
  <c r="Z132" s="1"/>
  <c r="AD117"/>
  <c r="AD132" s="1"/>
  <c r="AG117"/>
  <c r="AG132" s="1"/>
  <c r="AR117"/>
  <c r="AR132" s="1"/>
  <c r="AU117"/>
  <c r="AU132" s="1"/>
  <c r="I118"/>
  <c r="I133" s="1"/>
  <c r="L118"/>
  <c r="L133" s="1"/>
  <c r="W118"/>
  <c r="W133" s="1"/>
  <c r="Z118"/>
  <c r="Z133" s="1"/>
  <c r="AD118"/>
  <c r="AD133" s="1"/>
  <c r="AG118"/>
  <c r="AG133" s="1"/>
  <c r="AR118"/>
  <c r="AR133" s="1"/>
  <c r="AU118"/>
  <c r="AU133" s="1"/>
  <c r="L105"/>
  <c r="P105"/>
  <c r="I20" i="92" s="1"/>
  <c r="V20" s="1"/>
  <c r="AH20" s="1"/>
  <c r="S105" i="24"/>
  <c r="W105"/>
  <c r="Z105"/>
  <c r="AD105"/>
  <c r="I29" i="115" s="1"/>
  <c r="AG105" i="24"/>
  <c r="K29" i="115" s="1"/>
  <c r="AK105" i="24"/>
  <c r="AN105"/>
  <c r="O29" i="115" s="1"/>
  <c r="AR105" i="24"/>
  <c r="Q29" i="115" s="1"/>
  <c r="AU105" i="24"/>
  <c r="S29" i="115" s="1"/>
  <c r="I64" i="24"/>
  <c r="I65"/>
  <c r="G14" i="92" s="1"/>
  <c r="T14" s="1"/>
  <c r="AF14" s="1"/>
  <c r="I66" i="24"/>
  <c r="G15" i="92" s="1"/>
  <c r="T15" s="1"/>
  <c r="AF15" s="1"/>
  <c r="I67" i="24"/>
  <c r="G16" i="92" s="1"/>
  <c r="T16" s="1"/>
  <c r="AF16" s="1"/>
  <c r="G17"/>
  <c r="T17" s="1"/>
  <c r="AF17" s="1"/>
  <c r="I69" i="24"/>
  <c r="I63"/>
  <c r="I26" i="54" s="1"/>
  <c r="L35" i="24"/>
  <c r="S35"/>
  <c r="Z35"/>
  <c r="M11" i="92" s="1"/>
  <c r="Z11" s="1"/>
  <c r="AL11" s="1"/>
  <c r="AG35" i="24"/>
  <c r="AN35"/>
  <c r="AU35"/>
  <c r="S35" i="113" s="1"/>
  <c r="I32" i="69" s="1"/>
  <c r="P29" i="24"/>
  <c r="I5" i="92" s="1"/>
  <c r="V5" s="1"/>
  <c r="AH5" s="1"/>
  <c r="S29" i="24"/>
  <c r="W29"/>
  <c r="K5" i="92" s="1"/>
  <c r="X5" s="1"/>
  <c r="AJ5" s="1"/>
  <c r="Z29" i="24"/>
  <c r="AD29"/>
  <c r="AG29"/>
  <c r="K29" i="113" s="1"/>
  <c r="AK29" i="24"/>
  <c r="O5" i="92" s="1"/>
  <c r="AB5" s="1"/>
  <c r="AN5" s="1"/>
  <c r="AN29" i="24"/>
  <c r="O29" i="113" s="1"/>
  <c r="AR29" i="24"/>
  <c r="Q5" i="92" s="1"/>
  <c r="AD5" s="1"/>
  <c r="AP5" s="1"/>
  <c r="AU29" i="24"/>
  <c r="S29" i="113" s="1"/>
  <c r="P30" i="24"/>
  <c r="I6" i="92" s="1"/>
  <c r="V6" s="1"/>
  <c r="AH6" s="1"/>
  <c r="S30" i="24"/>
  <c r="W30"/>
  <c r="K6" i="92" s="1"/>
  <c r="X6" s="1"/>
  <c r="AJ6" s="1"/>
  <c r="Z30" i="24"/>
  <c r="AD30"/>
  <c r="AG30"/>
  <c r="K30" i="113" s="1"/>
  <c r="AK30" i="24"/>
  <c r="O6" i="92" s="1"/>
  <c r="AB6" s="1"/>
  <c r="AN6" s="1"/>
  <c r="AN30" i="24"/>
  <c r="O30" i="113" s="1"/>
  <c r="AR30" i="24"/>
  <c r="Q6" i="92" s="1"/>
  <c r="AD6" s="1"/>
  <c r="AP6" s="1"/>
  <c r="AU30" i="24"/>
  <c r="S30" i="113" s="1"/>
  <c r="P31" i="24"/>
  <c r="I7" i="92" s="1"/>
  <c r="V7" s="1"/>
  <c r="AH7" s="1"/>
  <c r="S31" i="24"/>
  <c r="W31"/>
  <c r="K7" i="92" s="1"/>
  <c r="X7" s="1"/>
  <c r="AJ7" s="1"/>
  <c r="Z31" i="24"/>
  <c r="AD31"/>
  <c r="AG31"/>
  <c r="K31" i="113" s="1"/>
  <c r="AK31" i="24"/>
  <c r="O7" i="92" s="1"/>
  <c r="AB7" s="1"/>
  <c r="AN7" s="1"/>
  <c r="AN31" i="24"/>
  <c r="O31" i="113" s="1"/>
  <c r="AR31" i="24"/>
  <c r="Q7" i="92" s="1"/>
  <c r="AD7" s="1"/>
  <c r="AP7" s="1"/>
  <c r="AU31" i="24"/>
  <c r="S31" i="113" s="1"/>
  <c r="P32" i="24"/>
  <c r="I8" i="92" s="1"/>
  <c r="V8" s="1"/>
  <c r="AH8" s="1"/>
  <c r="S32" i="24"/>
  <c r="W32"/>
  <c r="K8" i="92" s="1"/>
  <c r="X8" s="1"/>
  <c r="AJ8" s="1"/>
  <c r="Z32" i="24"/>
  <c r="AD32"/>
  <c r="AG32"/>
  <c r="K32" i="113" s="1"/>
  <c r="AK32" i="24"/>
  <c r="O8" i="92" s="1"/>
  <c r="AB8" s="1"/>
  <c r="AN8" s="1"/>
  <c r="AN32" i="24"/>
  <c r="O32" i="113" s="1"/>
  <c r="AR32" i="24"/>
  <c r="Q8" i="92" s="1"/>
  <c r="AD8" s="1"/>
  <c r="AP8" s="1"/>
  <c r="AU32" i="24"/>
  <c r="S32" i="113" s="1"/>
  <c r="P33" i="24"/>
  <c r="I9" i="92" s="1"/>
  <c r="V9" s="1"/>
  <c r="AH9" s="1"/>
  <c r="S33" i="24"/>
  <c r="W33"/>
  <c r="K9" i="92" s="1"/>
  <c r="X9" s="1"/>
  <c r="AJ9" s="1"/>
  <c r="Z33" i="24"/>
  <c r="AD33"/>
  <c r="AG33"/>
  <c r="K33" i="113" s="1"/>
  <c r="AK33" i="24"/>
  <c r="O9" i="92" s="1"/>
  <c r="AB9" s="1"/>
  <c r="AN9" s="1"/>
  <c r="AN33" i="24"/>
  <c r="O33" i="113" s="1"/>
  <c r="AR33" i="24"/>
  <c r="Q9" i="92" s="1"/>
  <c r="AD9" s="1"/>
  <c r="AP9" s="1"/>
  <c r="AU33" i="24"/>
  <c r="S33" i="113" s="1"/>
  <c r="P34" i="24"/>
  <c r="I10" i="92" s="1"/>
  <c r="V10" s="1"/>
  <c r="AH10" s="1"/>
  <c r="S34" i="24"/>
  <c r="W34"/>
  <c r="K10" i="92" s="1"/>
  <c r="X10" s="1"/>
  <c r="AJ10" s="1"/>
  <c r="Z34" i="24"/>
  <c r="AD34"/>
  <c r="AG34"/>
  <c r="K34" i="113" s="1"/>
  <c r="AK34" i="24"/>
  <c r="O10" i="92" s="1"/>
  <c r="AB10" s="1"/>
  <c r="AN10" s="1"/>
  <c r="AN34" i="24"/>
  <c r="O34" i="113" s="1"/>
  <c r="AR34" i="24"/>
  <c r="Q10" i="92" s="1"/>
  <c r="AD10" s="1"/>
  <c r="AP10" s="1"/>
  <c r="AU34" i="24"/>
  <c r="S34" i="113" s="1"/>
  <c r="L28" i="24"/>
  <c r="P28"/>
  <c r="I4" i="92" s="1"/>
  <c r="V4" s="1"/>
  <c r="AH4" s="1"/>
  <c r="W28" i="24"/>
  <c r="K4" i="92" s="1"/>
  <c r="X4" s="1"/>
  <c r="AJ4" s="1"/>
  <c r="Z28" i="24"/>
  <c r="AD28"/>
  <c r="AG28"/>
  <c r="K28" i="113" s="1"/>
  <c r="AK28" i="24"/>
  <c r="AN28"/>
  <c r="O28" i="113" s="1"/>
  <c r="AR28" i="24"/>
  <c r="AU28"/>
  <c r="S28" i="113" s="1"/>
  <c r="L29" i="24"/>
  <c r="L30"/>
  <c r="L31"/>
  <c r="L32"/>
  <c r="L34"/>
  <c r="I29"/>
  <c r="G5" i="92" s="1"/>
  <c r="T5" s="1"/>
  <c r="AF5" s="1"/>
  <c r="I30" i="24"/>
  <c r="G6" i="92" s="1"/>
  <c r="T6" s="1"/>
  <c r="AF6" s="1"/>
  <c r="I31" i="24"/>
  <c r="G7" i="92" s="1"/>
  <c r="T7" s="1"/>
  <c r="AF7" s="1"/>
  <c r="I32" i="24"/>
  <c r="G8" i="92" s="1"/>
  <c r="T8" s="1"/>
  <c r="AF8" s="1"/>
  <c r="G9"/>
  <c r="T9" s="1"/>
  <c r="AF9" s="1"/>
  <c r="I34" i="24"/>
  <c r="G10" i="92" s="1"/>
  <c r="T10" s="1"/>
  <c r="AF10" s="1"/>
  <c r="G4"/>
  <c r="T4" s="1"/>
  <c r="AF4" s="1"/>
  <c r="AQ22" i="24"/>
  <c r="AR22" s="1"/>
  <c r="AJ22"/>
  <c r="AK22" s="1"/>
  <c r="AC22"/>
  <c r="AD22" s="1"/>
  <c r="V22"/>
  <c r="W22" s="1"/>
  <c r="L19" i="7" s="1"/>
  <c r="O22" i="24"/>
  <c r="AQ18"/>
  <c r="AR18" s="1"/>
  <c r="AJ18"/>
  <c r="AK18" s="1"/>
  <c r="AC18"/>
  <c r="AD18" s="1"/>
  <c r="V18"/>
  <c r="W18" s="1"/>
  <c r="O18"/>
  <c r="P18" s="1"/>
  <c r="H15" i="78" l="1"/>
  <c r="C109" i="90" s="1"/>
  <c r="AI65" i="77"/>
  <c r="H14" i="78"/>
  <c r="C108" i="90" s="1"/>
  <c r="AI64" i="77"/>
  <c r="I63"/>
  <c r="K63" s="1"/>
  <c r="J13" i="78" s="1"/>
  <c r="C133" i="90" s="1"/>
  <c r="AI63" i="77"/>
  <c r="I62"/>
  <c r="K62" s="1"/>
  <c r="J12" i="78" s="1"/>
  <c r="C132" i="90" s="1"/>
  <c r="AI62" i="77"/>
  <c r="I61"/>
  <c r="K61" s="1"/>
  <c r="J11" i="78" s="1"/>
  <c r="C131" i="90" s="1"/>
  <c r="AI61" i="77"/>
  <c r="AX11" i="10"/>
  <c r="S34" i="122"/>
  <c r="S75"/>
  <c r="S33"/>
  <c r="S76"/>
  <c r="K31" i="121"/>
  <c r="K34" i="122"/>
  <c r="K26" i="121"/>
  <c r="K29" i="122"/>
  <c r="AA31" i="121"/>
  <c r="AA34" i="122"/>
  <c r="AA26" i="121"/>
  <c r="AA29" i="122"/>
  <c r="K58" i="121"/>
  <c r="K69" i="122"/>
  <c r="AA58" i="121"/>
  <c r="AA69" i="122"/>
  <c r="K64" i="121"/>
  <c r="K75" i="122"/>
  <c r="K61" i="121"/>
  <c r="K72" i="122"/>
  <c r="K59" i="121"/>
  <c r="K70" i="122"/>
  <c r="AA64" i="121"/>
  <c r="AA75" i="122"/>
  <c r="AA61" i="121"/>
  <c r="AA72" i="122"/>
  <c r="AA59" i="121"/>
  <c r="AA70" i="122"/>
  <c r="AA24" i="121"/>
  <c r="AA27" i="122"/>
  <c r="K30" i="121"/>
  <c r="K33" i="122"/>
  <c r="K27" i="121"/>
  <c r="K30" i="122"/>
  <c r="K25" i="121"/>
  <c r="K28" i="122"/>
  <c r="AA30" i="121"/>
  <c r="AA33" i="122"/>
  <c r="AA27" i="121"/>
  <c r="AA30" i="122"/>
  <c r="AA25" i="121"/>
  <c r="AA28" i="122"/>
  <c r="K65" i="121"/>
  <c r="K76" i="122"/>
  <c r="K60" i="121"/>
  <c r="K71" i="122"/>
  <c r="AA65" i="121"/>
  <c r="AA76" i="122"/>
  <c r="AA60" i="121"/>
  <c r="AA71" i="122"/>
  <c r="H193" i="62"/>
  <c r="Q74" i="122"/>
  <c r="G193" i="62"/>
  <c r="I74" i="122"/>
  <c r="F193" i="62"/>
  <c r="Y32" i="122"/>
  <c r="E193" i="62"/>
  <c r="Q32" i="122"/>
  <c r="U58" i="77"/>
  <c r="W58" s="1"/>
  <c r="AE8" i="78" s="1"/>
  <c r="AC8"/>
  <c r="U60" i="77"/>
  <c r="W60" s="1"/>
  <c r="AE10" i="78" s="1"/>
  <c r="AC10"/>
  <c r="U62" i="77"/>
  <c r="W62" s="1"/>
  <c r="AE12" i="78" s="1"/>
  <c r="AC12"/>
  <c r="U57" i="77"/>
  <c r="W57" s="1"/>
  <c r="AE7" i="78" s="1"/>
  <c r="AC7"/>
  <c r="U59" i="77"/>
  <c r="W59" s="1"/>
  <c r="AE9" i="78" s="1"/>
  <c r="AC9"/>
  <c r="U61" i="77"/>
  <c r="W61" s="1"/>
  <c r="AE11" i="78" s="1"/>
  <c r="AC11"/>
  <c r="U63" i="77"/>
  <c r="W63" s="1"/>
  <c r="AE13" i="78" s="1"/>
  <c r="AC13"/>
  <c r="R74" i="74"/>
  <c r="T58" i="88"/>
  <c r="Y8" i="83" s="1"/>
  <c r="R75" i="74"/>
  <c r="T59" i="88"/>
  <c r="Y9" i="83" s="1"/>
  <c r="R77" i="74"/>
  <c r="T61" i="88"/>
  <c r="Y11" i="83" s="1"/>
  <c r="R73" i="74"/>
  <c r="T57" i="88"/>
  <c r="Y7" i="83" s="1"/>
  <c r="R76" i="74"/>
  <c r="T60" i="88"/>
  <c r="R78" i="74"/>
  <c r="T62" i="88"/>
  <c r="Y12" i="83" s="1"/>
  <c r="N15" i="88"/>
  <c r="O55" i="74"/>
  <c r="Z15" i="88"/>
  <c r="U55" i="74"/>
  <c r="Z25" i="88"/>
  <c r="AC25" s="1"/>
  <c r="Q56" i="74" s="1"/>
  <c r="AG56" s="1"/>
  <c r="AS56" s="1"/>
  <c r="U56"/>
  <c r="Z26" i="88"/>
  <c r="AA26" s="1"/>
  <c r="U57" i="74"/>
  <c r="Z27" i="88"/>
  <c r="AC27" s="1"/>
  <c r="U58" i="74"/>
  <c r="Z29" i="88"/>
  <c r="U60" i="74"/>
  <c r="Z30" i="88"/>
  <c r="AC30" s="1"/>
  <c r="Q61" i="74" s="1"/>
  <c r="AG61" s="1"/>
  <c r="AS61" s="1"/>
  <c r="U61"/>
  <c r="Z31" i="88"/>
  <c r="U62" i="74"/>
  <c r="N61" i="88"/>
  <c r="L11" i="83" s="1"/>
  <c r="D106" i="91" s="1"/>
  <c r="O77" i="74"/>
  <c r="N89" i="88"/>
  <c r="J86" i="74" s="1"/>
  <c r="AB86" s="1"/>
  <c r="AN86" s="1"/>
  <c r="O86"/>
  <c r="N90" i="88"/>
  <c r="O87" i="74"/>
  <c r="N91" i="88"/>
  <c r="O88" i="74"/>
  <c r="N92" i="88"/>
  <c r="O89" i="74"/>
  <c r="N94" i="88"/>
  <c r="O91" i="74"/>
  <c r="N96" i="88"/>
  <c r="O93" i="74"/>
  <c r="O46"/>
  <c r="U46"/>
  <c r="X54"/>
  <c r="R54"/>
  <c r="D54"/>
  <c r="X53"/>
  <c r="U53"/>
  <c r="R53"/>
  <c r="O53"/>
  <c r="X51"/>
  <c r="R51"/>
  <c r="X50"/>
  <c r="U50"/>
  <c r="R50"/>
  <c r="O50"/>
  <c r="U48"/>
  <c r="O48"/>
  <c r="U47"/>
  <c r="O47"/>
  <c r="T15" i="88"/>
  <c r="R55" i="74"/>
  <c r="AF15" i="88"/>
  <c r="X55" i="74"/>
  <c r="J41" i="84"/>
  <c r="H17" i="91" s="1"/>
  <c r="D28" i="92"/>
  <c r="O29"/>
  <c r="AB29" s="1"/>
  <c r="AN29" s="1"/>
  <c r="D29"/>
  <c r="J43" i="84"/>
  <c r="H19" i="91" s="1"/>
  <c r="D30" i="92"/>
  <c r="AF25" i="88"/>
  <c r="D56" i="74" s="1"/>
  <c r="X56"/>
  <c r="AF26" i="88"/>
  <c r="D57" i="74" s="1"/>
  <c r="X57"/>
  <c r="N60" i="88"/>
  <c r="O76" i="74"/>
  <c r="N62" i="88"/>
  <c r="O78" i="74"/>
  <c r="N98" i="88"/>
  <c r="O95" i="74"/>
  <c r="R46"/>
  <c r="X46"/>
  <c r="U54"/>
  <c r="O54"/>
  <c r="U51"/>
  <c r="O51"/>
  <c r="D50"/>
  <c r="X48"/>
  <c r="R48"/>
  <c r="X47"/>
  <c r="R47"/>
  <c r="D47"/>
  <c r="AI26" i="88"/>
  <c r="AM26"/>
  <c r="AO26"/>
  <c r="G18" i="92"/>
  <c r="T18" s="1"/>
  <c r="AF18" s="1"/>
  <c r="I32" i="58"/>
  <c r="I8" i="89"/>
  <c r="K6" i="88"/>
  <c r="U46"/>
  <c r="W46"/>
  <c r="AA30"/>
  <c r="AG46"/>
  <c r="AI46"/>
  <c r="AM46"/>
  <c r="AO46" s="1"/>
  <c r="AA25"/>
  <c r="AM30"/>
  <c r="AO30"/>
  <c r="U42"/>
  <c r="W42" s="1"/>
  <c r="AM25"/>
  <c r="O112" i="89"/>
  <c r="AO25" i="88"/>
  <c r="R112" i="89" s="1"/>
  <c r="AM42" i="88"/>
  <c r="AO42" s="1"/>
  <c r="X114" i="89" s="1"/>
  <c r="AC26" i="88"/>
  <c r="Q57" i="74" s="1"/>
  <c r="AG57" s="1"/>
  <c r="AS57" s="1"/>
  <c r="I41" i="88"/>
  <c r="K41"/>
  <c r="L15" i="7"/>
  <c r="I11" i="112"/>
  <c r="W6" i="88"/>
  <c r="AI6"/>
  <c r="Q8"/>
  <c r="AC8"/>
  <c r="H9"/>
  <c r="K8"/>
  <c r="W8"/>
  <c r="AI8"/>
  <c r="Q11"/>
  <c r="Q14"/>
  <c r="W11"/>
  <c r="AI11"/>
  <c r="W14"/>
  <c r="S27" i="120"/>
  <c r="S24" i="121"/>
  <c r="S31" i="120"/>
  <c r="S29"/>
  <c r="S26" i="121"/>
  <c r="AA31" i="120"/>
  <c r="S72"/>
  <c r="S61" i="121"/>
  <c r="S70" i="120"/>
  <c r="S59" i="121"/>
  <c r="S30" i="120"/>
  <c r="S27" i="121"/>
  <c r="S28" i="120"/>
  <c r="S25" i="121"/>
  <c r="S69" i="120"/>
  <c r="S58" i="121"/>
  <c r="K73" i="120"/>
  <c r="S73"/>
  <c r="S71"/>
  <c r="S60" i="121"/>
  <c r="AA73" i="120"/>
  <c r="S34"/>
  <c r="S31" i="121"/>
  <c r="S75" i="120"/>
  <c r="S64" i="121"/>
  <c r="S33" i="120"/>
  <c r="S30" i="121"/>
  <c r="S76" i="120"/>
  <c r="S65" i="121"/>
  <c r="K15" i="7"/>
  <c r="H11" i="112"/>
  <c r="M19" i="7"/>
  <c r="M15"/>
  <c r="O15"/>
  <c r="N19"/>
  <c r="N15"/>
  <c r="O19"/>
  <c r="K10" i="113"/>
  <c r="K11" s="1"/>
  <c r="G44" i="69" s="1"/>
  <c r="O10" i="113"/>
  <c r="H43" i="69" s="1"/>
  <c r="K11" i="118"/>
  <c r="K11" i="117"/>
  <c r="I12" i="118"/>
  <c r="I12" i="117"/>
  <c r="I11" i="118"/>
  <c r="K12"/>
  <c r="K12" i="117"/>
  <c r="Z18" i="24"/>
  <c r="P10" i="74" s="1"/>
  <c r="AF10" s="1"/>
  <c r="AR10" s="1"/>
  <c r="S18" i="24"/>
  <c r="Z22"/>
  <c r="P14" i="74" s="1"/>
  <c r="AF14" s="1"/>
  <c r="AR14" s="1"/>
  <c r="K14" i="113"/>
  <c r="G47" i="69" s="1"/>
  <c r="AG15" i="24"/>
  <c r="K12" i="113"/>
  <c r="G45" i="69" s="1"/>
  <c r="AG13" i="24"/>
  <c r="AA34" i="120"/>
  <c r="AA29"/>
  <c r="K69"/>
  <c r="AA69"/>
  <c r="K75"/>
  <c r="K72"/>
  <c r="K70"/>
  <c r="AA75"/>
  <c r="AA72"/>
  <c r="AA70"/>
  <c r="AA27"/>
  <c r="AA33"/>
  <c r="AA30"/>
  <c r="AA28"/>
  <c r="K76"/>
  <c r="K71"/>
  <c r="AA76"/>
  <c r="AA71"/>
  <c r="M10" i="92"/>
  <c r="Z10" s="1"/>
  <c r="AL10" s="1"/>
  <c r="M9"/>
  <c r="Z9" s="1"/>
  <c r="AL9" s="1"/>
  <c r="M8"/>
  <c r="Z8" s="1"/>
  <c r="AL8" s="1"/>
  <c r="M7"/>
  <c r="Z7" s="1"/>
  <c r="AL7" s="1"/>
  <c r="M6"/>
  <c r="Z6" s="1"/>
  <c r="AL6" s="1"/>
  <c r="M5"/>
  <c r="Z5" s="1"/>
  <c r="AL5" s="1"/>
  <c r="O12" i="113"/>
  <c r="O13" s="1"/>
  <c r="H46" i="69" s="1"/>
  <c r="O14" i="113"/>
  <c r="H47" i="69" s="1"/>
  <c r="K35" i="113"/>
  <c r="G32" i="69" s="1"/>
  <c r="O11" i="92"/>
  <c r="AB11" s="1"/>
  <c r="AN11" s="1"/>
  <c r="O36" i="115"/>
  <c r="H140" i="69" s="1"/>
  <c r="Q27" i="92"/>
  <c r="AD27" s="1"/>
  <c r="AP27" s="1"/>
  <c r="Q4"/>
  <c r="AD4" s="1"/>
  <c r="AP4" s="1"/>
  <c r="O4"/>
  <c r="AB4" s="1"/>
  <c r="AN4" s="1"/>
  <c r="M4"/>
  <c r="Z4" s="1"/>
  <c r="AL4" s="1"/>
  <c r="Q25"/>
  <c r="AD25" s="1"/>
  <c r="AP25" s="1"/>
  <c r="L18"/>
  <c r="Y18" s="1"/>
  <c r="AK18" s="1"/>
  <c r="L16"/>
  <c r="Y16" s="1"/>
  <c r="AK16" s="1"/>
  <c r="L15"/>
  <c r="Y15" s="1"/>
  <c r="AK15" s="1"/>
  <c r="L14"/>
  <c r="Y14" s="1"/>
  <c r="AK14" s="1"/>
  <c r="O35" i="113"/>
  <c r="H32" i="69" s="1"/>
  <c r="Q11" i="92"/>
  <c r="AD11" s="1"/>
  <c r="AP11" s="1"/>
  <c r="K36" i="115"/>
  <c r="G140" i="69" s="1"/>
  <c r="O27" i="92"/>
  <c r="AB27" s="1"/>
  <c r="AN27" s="1"/>
  <c r="AN18" i="24"/>
  <c r="O18" i="113" s="1"/>
  <c r="H51" i="69" s="1"/>
  <c r="M18" i="113"/>
  <c r="H17" i="69" s="1"/>
  <c r="AG22" i="24"/>
  <c r="K22" i="113" s="1"/>
  <c r="G55" i="69" s="1"/>
  <c r="I22" i="113"/>
  <c r="G21" i="69" s="1"/>
  <c r="AU22" i="24"/>
  <c r="S22" i="113" s="1"/>
  <c r="I55" i="69" s="1"/>
  <c r="Q22" i="113"/>
  <c r="I21" i="69" s="1"/>
  <c r="AG18" i="24"/>
  <c r="K18" i="113" s="1"/>
  <c r="G51" i="69" s="1"/>
  <c r="I18" i="113"/>
  <c r="G17" i="69" s="1"/>
  <c r="Q18" i="113"/>
  <c r="I17" i="69" s="1"/>
  <c r="AN22" i="24"/>
  <c r="O22" i="113" s="1"/>
  <c r="H55" i="69" s="1"/>
  <c r="M22" i="113"/>
  <c r="H21" i="69" s="1"/>
  <c r="Q12" i="118"/>
  <c r="Q12" i="117"/>
  <c r="Q11" i="118"/>
  <c r="Q11" i="117"/>
  <c r="K25" i="92"/>
  <c r="X25" s="1"/>
  <c r="AJ25" s="1"/>
  <c r="I25"/>
  <c r="V25" s="1"/>
  <c r="AH25" s="1"/>
  <c r="P19"/>
  <c r="AC19" s="1"/>
  <c r="AO19" s="1"/>
  <c r="O33" i="114"/>
  <c r="H86" i="69" s="1"/>
  <c r="P18" i="92"/>
  <c r="AC18" s="1"/>
  <c r="AO18" s="1"/>
  <c r="O32" i="114"/>
  <c r="P16" i="92"/>
  <c r="AC16" s="1"/>
  <c r="AO16" s="1"/>
  <c r="O30" i="114"/>
  <c r="R15" i="92"/>
  <c r="AE15" s="1"/>
  <c r="AQ15" s="1"/>
  <c r="S29" i="114"/>
  <c r="P15" i="92"/>
  <c r="AC15" s="1"/>
  <c r="AO15" s="1"/>
  <c r="O29" i="114"/>
  <c r="P14" i="92"/>
  <c r="AC14" s="1"/>
  <c r="AO14" s="1"/>
  <c r="O28" i="114"/>
  <c r="G43" i="69"/>
  <c r="S12" i="118"/>
  <c r="S12" i="117"/>
  <c r="S11" i="118"/>
  <c r="S11" i="117"/>
  <c r="R19" i="92"/>
  <c r="AE19" s="1"/>
  <c r="AQ19" s="1"/>
  <c r="S33" i="114"/>
  <c r="I86" i="69" s="1"/>
  <c r="N19" i="92"/>
  <c r="AA19" s="1"/>
  <c r="AM19" s="1"/>
  <c r="K33" i="114"/>
  <c r="G86" i="69" s="1"/>
  <c r="Q18" i="92"/>
  <c r="AD18" s="1"/>
  <c r="AP18" s="1"/>
  <c r="Q32" i="114"/>
  <c r="I85" i="69" s="1"/>
  <c r="O18" i="92"/>
  <c r="AB18" s="1"/>
  <c r="AN18" s="1"/>
  <c r="M32" i="114"/>
  <c r="H85" i="69" s="1"/>
  <c r="M18" i="92"/>
  <c r="Z18" s="1"/>
  <c r="AL18" s="1"/>
  <c r="I32" i="114"/>
  <c r="G85" i="69" s="1"/>
  <c r="Q17" i="92"/>
  <c r="AD17" s="1"/>
  <c r="AP17" s="1"/>
  <c r="Q31" i="114"/>
  <c r="I84" i="69" s="1"/>
  <c r="O17" i="92"/>
  <c r="AB17" s="1"/>
  <c r="AN17" s="1"/>
  <c r="M31" i="114"/>
  <c r="H84" i="69" s="1"/>
  <c r="Q16" i="92"/>
  <c r="AD16" s="1"/>
  <c r="AP16" s="1"/>
  <c r="Q30" i="114"/>
  <c r="I83" i="69" s="1"/>
  <c r="O16" i="92"/>
  <c r="AB16" s="1"/>
  <c r="AN16" s="1"/>
  <c r="M30" i="114"/>
  <c r="H83" i="69" s="1"/>
  <c r="M16" i="92"/>
  <c r="Z16" s="1"/>
  <c r="AL16" s="1"/>
  <c r="I30" i="114"/>
  <c r="G83" i="69" s="1"/>
  <c r="Q15" i="92"/>
  <c r="AD15" s="1"/>
  <c r="AP15" s="1"/>
  <c r="Q29" i="114"/>
  <c r="I82" i="69" s="1"/>
  <c r="O15" i="92"/>
  <c r="AB15" s="1"/>
  <c r="AN15" s="1"/>
  <c r="M29" i="114"/>
  <c r="H82" i="69" s="1"/>
  <c r="M15" i="92"/>
  <c r="Z15" s="1"/>
  <c r="AL15" s="1"/>
  <c r="I29" i="114"/>
  <c r="G82" i="69" s="1"/>
  <c r="Q14" i="92"/>
  <c r="AD14" s="1"/>
  <c r="AP14" s="1"/>
  <c r="Q28" i="114"/>
  <c r="I81" i="69" s="1"/>
  <c r="O14" i="92"/>
  <c r="AB14" s="1"/>
  <c r="AN14" s="1"/>
  <c r="M28" i="114"/>
  <c r="H81" i="69" s="1"/>
  <c r="M14" i="92"/>
  <c r="Z14" s="1"/>
  <c r="AL14" s="1"/>
  <c r="I28" i="114"/>
  <c r="G81" i="69" s="1"/>
  <c r="Q13" i="92"/>
  <c r="AD13" s="1"/>
  <c r="AP13" s="1"/>
  <c r="Q27" i="114"/>
  <c r="I80" i="69" s="1"/>
  <c r="O13" i="92"/>
  <c r="AB13" s="1"/>
  <c r="AN13" s="1"/>
  <c r="M27" i="114"/>
  <c r="H80" i="69" s="1"/>
  <c r="M13" i="92"/>
  <c r="Z13" s="1"/>
  <c r="AL13" s="1"/>
  <c r="I27" i="114"/>
  <c r="G80" i="69" s="1"/>
  <c r="F18" i="75"/>
  <c r="F19" s="1"/>
  <c r="E9" i="87"/>
  <c r="K34" i="120"/>
  <c r="I26" i="88"/>
  <c r="K26"/>
  <c r="H57" i="74" s="1"/>
  <c r="AA57" s="1"/>
  <c r="AM57" s="1"/>
  <c r="I25" i="88"/>
  <c r="O7" i="89"/>
  <c r="K25" i="88"/>
  <c r="K29" i="120"/>
  <c r="K33"/>
  <c r="K30"/>
  <c r="K28"/>
  <c r="K27"/>
  <c r="I139" i="69"/>
  <c r="I136"/>
  <c r="G136"/>
  <c r="I135"/>
  <c r="G135"/>
  <c r="I133"/>
  <c r="G133"/>
  <c r="I134"/>
  <c r="G134"/>
  <c r="O25" i="92"/>
  <c r="AB25" s="1"/>
  <c r="AN25" s="1"/>
  <c r="M34" i="115"/>
  <c r="H138" i="69" s="1"/>
  <c r="M25" i="92"/>
  <c r="Z25" s="1"/>
  <c r="AL25" s="1"/>
  <c r="I34" i="115"/>
  <c r="G138" i="69" s="1"/>
  <c r="Q24" i="92"/>
  <c r="AD24" s="1"/>
  <c r="AP24" s="1"/>
  <c r="Q33" i="115"/>
  <c r="I137" i="69" s="1"/>
  <c r="O24" i="92"/>
  <c r="AB24" s="1"/>
  <c r="AN24" s="1"/>
  <c r="M33" i="115"/>
  <c r="H137" i="69" s="1"/>
  <c r="M24" i="92"/>
  <c r="Z24" s="1"/>
  <c r="AL24" s="1"/>
  <c r="I33" i="115"/>
  <c r="G137" i="69" s="1"/>
  <c r="O23" i="92"/>
  <c r="AB23" s="1"/>
  <c r="AN23" s="1"/>
  <c r="M32" i="115"/>
  <c r="H136" i="69" s="1"/>
  <c r="O22" i="92"/>
  <c r="AB22" s="1"/>
  <c r="AN22" s="1"/>
  <c r="M31" i="115"/>
  <c r="H135" i="69" s="1"/>
  <c r="O26" i="92"/>
  <c r="AB26" s="1"/>
  <c r="AN26" s="1"/>
  <c r="M35" i="115"/>
  <c r="H139" i="69" s="1"/>
  <c r="I35" i="115"/>
  <c r="I75" i="60"/>
  <c r="O20" i="92"/>
  <c r="AB20" s="1"/>
  <c r="AN20" s="1"/>
  <c r="M29" i="115"/>
  <c r="H133" i="69" s="1"/>
  <c r="O21" i="92"/>
  <c r="AB21" s="1"/>
  <c r="AN21" s="1"/>
  <c r="M30" i="115"/>
  <c r="H134" i="69" s="1"/>
  <c r="M17" i="92"/>
  <c r="Z17" s="1"/>
  <c r="AL17" s="1"/>
  <c r="AL18" i="24"/>
  <c r="U10" i="74" s="1"/>
  <c r="AE22" i="24"/>
  <c r="R14" i="74" s="1"/>
  <c r="AS22" i="24"/>
  <c r="X14" i="74" s="1"/>
  <c r="Q18" i="24"/>
  <c r="L10" i="74" s="1"/>
  <c r="AE18" i="24"/>
  <c r="R10" i="74" s="1"/>
  <c r="AS18" i="24"/>
  <c r="X10" i="74" s="1"/>
  <c r="X22" i="24"/>
  <c r="O14" i="74" s="1"/>
  <c r="AL22" i="24"/>
  <c r="U14" i="74" s="1"/>
  <c r="X18" i="24"/>
  <c r="O10" i="74" s="1"/>
  <c r="E7" i="80"/>
  <c r="D37" i="90" s="1"/>
  <c r="I25" i="77"/>
  <c r="K25" s="1"/>
  <c r="G7" i="80" s="1"/>
  <c r="D51" i="90" s="1"/>
  <c r="T25" i="77"/>
  <c r="U25" s="1"/>
  <c r="W25" s="1"/>
  <c r="O7" i="80" s="1"/>
  <c r="F51" i="90" s="1"/>
  <c r="AF25" i="77"/>
  <c r="AG25" s="1"/>
  <c r="AI25" s="1"/>
  <c r="E8" i="80"/>
  <c r="D38" i="90" s="1"/>
  <c r="I26" i="77"/>
  <c r="K26" s="1"/>
  <c r="G8" i="80" s="1"/>
  <c r="D52" i="90" s="1"/>
  <c r="T26" i="77"/>
  <c r="U26" s="1"/>
  <c r="W26" s="1"/>
  <c r="AF26"/>
  <c r="AG26" s="1"/>
  <c r="AI26" s="1"/>
  <c r="K25" i="80" s="1"/>
  <c r="H52" i="90" s="1"/>
  <c r="I27" i="77"/>
  <c r="K27" s="1"/>
  <c r="G9" i="80" s="1"/>
  <c r="D53" i="90" s="1"/>
  <c r="T27" i="77"/>
  <c r="AF28"/>
  <c r="AG28" s="1"/>
  <c r="AI28" s="1"/>
  <c r="AG27"/>
  <c r="AI27" s="1"/>
  <c r="T29"/>
  <c r="M11" i="80" s="1"/>
  <c r="F41" i="90" s="1"/>
  <c r="AF29" i="77"/>
  <c r="I28" i="80" s="1"/>
  <c r="H41" i="90" s="1"/>
  <c r="E12" i="80"/>
  <c r="D42" i="90" s="1"/>
  <c r="I30" i="77"/>
  <c r="K30" s="1"/>
  <c r="G12" i="80" s="1"/>
  <c r="D56" i="90" s="1"/>
  <c r="T30" i="77"/>
  <c r="U30" s="1"/>
  <c r="W30" s="1"/>
  <c r="AF30"/>
  <c r="AG30" s="1"/>
  <c r="AI30" s="1"/>
  <c r="K29" i="80" s="1"/>
  <c r="H56" i="90" s="1"/>
  <c r="T31" i="77"/>
  <c r="M13" i="80" s="1"/>
  <c r="F43" i="90" s="1"/>
  <c r="AF31" i="77"/>
  <c r="I30" i="80" s="1"/>
  <c r="H43" i="90" s="1"/>
  <c r="H42" i="77"/>
  <c r="I42" s="1"/>
  <c r="K42" s="1"/>
  <c r="H8" i="81" s="1"/>
  <c r="D81" i="90" s="1"/>
  <c r="T42" i="77"/>
  <c r="U42" s="1"/>
  <c r="W42" s="1"/>
  <c r="AF42"/>
  <c r="AG42" s="1"/>
  <c r="AI42" s="1"/>
  <c r="L29" i="81" s="1"/>
  <c r="H81" i="90" s="1"/>
  <c r="H43" i="77"/>
  <c r="T43"/>
  <c r="AF43"/>
  <c r="H46"/>
  <c r="I46" s="1"/>
  <c r="K46" s="1"/>
  <c r="H15" i="81" s="1"/>
  <c r="D88" i="90" s="1"/>
  <c r="T46" i="77"/>
  <c r="U46" s="1"/>
  <c r="W46" s="1"/>
  <c r="P15" i="81" s="1"/>
  <c r="F88" i="90" s="1"/>
  <c r="AF46" i="77"/>
  <c r="AG46" s="1"/>
  <c r="AI46" s="1"/>
  <c r="H47"/>
  <c r="F16" i="81" s="1"/>
  <c r="D71" i="90" s="1"/>
  <c r="T47" i="77"/>
  <c r="N16" i="81" s="1"/>
  <c r="F71" i="90" s="1"/>
  <c r="AF47" i="77"/>
  <c r="J37" i="81" s="1"/>
  <c r="H71" i="90" s="1"/>
  <c r="O58" i="77"/>
  <c r="Q58" s="1"/>
  <c r="D128" i="90" s="1"/>
  <c r="D108"/>
  <c r="AX13" i="10"/>
  <c r="N25" i="88"/>
  <c r="N26"/>
  <c r="N27"/>
  <c r="Q27" s="1"/>
  <c r="Z28"/>
  <c r="AL28"/>
  <c r="AM27"/>
  <c r="N29"/>
  <c r="N30"/>
  <c r="N31"/>
  <c r="N42"/>
  <c r="Z42"/>
  <c r="F30" i="86" s="1"/>
  <c r="G63" i="91" s="1"/>
  <c r="N43" i="88"/>
  <c r="Z44"/>
  <c r="AA43"/>
  <c r="AC43" s="1"/>
  <c r="AL44"/>
  <c r="AM43"/>
  <c r="AO43" s="1"/>
  <c r="N45"/>
  <c r="Z45"/>
  <c r="H71" i="74"/>
  <c r="AA71" s="1"/>
  <c r="AM71" s="1"/>
  <c r="H46" i="88"/>
  <c r="H47"/>
  <c r="F16" i="86" s="1"/>
  <c r="D71" i="91" s="1"/>
  <c r="T47" i="88"/>
  <c r="N25" i="77"/>
  <c r="O25" s="1"/>
  <c r="Q25" s="1"/>
  <c r="Z25"/>
  <c r="AA25" s="1"/>
  <c r="AC25" s="1"/>
  <c r="G24" i="80" s="1"/>
  <c r="G51" i="90" s="1"/>
  <c r="AL25" i="77"/>
  <c r="AM25" s="1"/>
  <c r="AO25" s="1"/>
  <c r="O24" i="80" s="1"/>
  <c r="I51" i="90" s="1"/>
  <c r="N26" i="77"/>
  <c r="O26" s="1"/>
  <c r="Q26" s="1"/>
  <c r="Z26"/>
  <c r="AA26" s="1"/>
  <c r="AC26" s="1"/>
  <c r="G25" i="80" s="1"/>
  <c r="G52" i="90" s="1"/>
  <c r="AL26" i="77"/>
  <c r="AM26" s="1"/>
  <c r="AO26" s="1"/>
  <c r="O25" i="80" s="1"/>
  <c r="I52" i="90" s="1"/>
  <c r="N28" i="77"/>
  <c r="O28" s="1"/>
  <c r="Q28" s="1"/>
  <c r="O27"/>
  <c r="Q27" s="1"/>
  <c r="Z28"/>
  <c r="AA28" s="1"/>
  <c r="AC28" s="1"/>
  <c r="AA27"/>
  <c r="AC27" s="1"/>
  <c r="AL28"/>
  <c r="AM28" s="1"/>
  <c r="AO28" s="1"/>
  <c r="AM27"/>
  <c r="AO27" s="1"/>
  <c r="N30"/>
  <c r="O30" s="1"/>
  <c r="Q30" s="1"/>
  <c r="K12" i="80" s="1"/>
  <c r="E56" i="90" s="1"/>
  <c r="Z30" i="77"/>
  <c r="AA30" s="1"/>
  <c r="AC30" s="1"/>
  <c r="G29" i="80" s="1"/>
  <c r="G56" i="90" s="1"/>
  <c r="AL30" i="77"/>
  <c r="AM30" s="1"/>
  <c r="AO30" s="1"/>
  <c r="O29" i="80" s="1"/>
  <c r="I56" i="90" s="1"/>
  <c r="N31" i="77"/>
  <c r="I13" i="80" s="1"/>
  <c r="E43" i="90" s="1"/>
  <c r="Z31" i="77"/>
  <c r="E30" i="80" s="1"/>
  <c r="G43" i="90" s="1"/>
  <c r="AL31" i="77"/>
  <c r="M30" i="80" s="1"/>
  <c r="I43" i="90" s="1"/>
  <c r="N42" i="77"/>
  <c r="O42" s="1"/>
  <c r="Q42" s="1"/>
  <c r="L8" i="81" s="1"/>
  <c r="E81" i="90" s="1"/>
  <c r="Z42" i="77"/>
  <c r="AA42" s="1"/>
  <c r="AC42" s="1"/>
  <c r="H29" i="81" s="1"/>
  <c r="G81" i="90" s="1"/>
  <c r="AM42" i="77"/>
  <c r="AO42" s="1"/>
  <c r="P29" i="81" s="1"/>
  <c r="I81" i="90" s="1"/>
  <c r="O44" i="77"/>
  <c r="Q44" s="1"/>
  <c r="O43"/>
  <c r="Q43" s="1"/>
  <c r="AA44"/>
  <c r="AC44" s="1"/>
  <c r="H31" i="81" s="1"/>
  <c r="G83" i="90" s="1"/>
  <c r="AA43" i="77"/>
  <c r="AC43" s="1"/>
  <c r="H30" i="81" s="1"/>
  <c r="G82" i="90" s="1"/>
  <c r="AM44" i="77"/>
  <c r="AO44" s="1"/>
  <c r="P31" i="81" s="1"/>
  <c r="I83" i="90" s="1"/>
  <c r="AM43" i="77"/>
  <c r="AO43" s="1"/>
  <c r="N45"/>
  <c r="J11" i="81" s="1"/>
  <c r="E66" i="90" s="1"/>
  <c r="Z45" i="77"/>
  <c r="F32" i="81" s="1"/>
  <c r="G66" i="90" s="1"/>
  <c r="N32" i="81"/>
  <c r="I66" i="90" s="1"/>
  <c r="N46" i="77"/>
  <c r="O46" s="1"/>
  <c r="Q46" s="1"/>
  <c r="L15" i="81" s="1"/>
  <c r="E88" i="90" s="1"/>
  <c r="Z46" i="77"/>
  <c r="AA46" s="1"/>
  <c r="AC46" s="1"/>
  <c r="AM46"/>
  <c r="AO46" s="1"/>
  <c r="P36" i="81" s="1"/>
  <c r="I88" i="90" s="1"/>
  <c r="N47" i="77"/>
  <c r="J16" i="81" s="1"/>
  <c r="E71" i="90" s="1"/>
  <c r="Z47" i="77"/>
  <c r="F37" i="81" s="1"/>
  <c r="G71" i="90" s="1"/>
  <c r="N37" i="81"/>
  <c r="I71" i="90" s="1"/>
  <c r="O57" i="77"/>
  <c r="Q57" s="1"/>
  <c r="D127" i="90" s="1"/>
  <c r="O63" i="77"/>
  <c r="Q63" s="1"/>
  <c r="D133" i="90" s="1"/>
  <c r="AX12" i="10"/>
  <c r="D109" i="90"/>
  <c r="AX14" i="10"/>
  <c r="T25" i="88"/>
  <c r="O49" i="89" s="1"/>
  <c r="T26" i="88"/>
  <c r="O50" i="89" s="1"/>
  <c r="I27" i="88"/>
  <c r="K27" s="1"/>
  <c r="H28"/>
  <c r="T27"/>
  <c r="W27" s="1"/>
  <c r="AF27"/>
  <c r="T29"/>
  <c r="AF29"/>
  <c r="H30"/>
  <c r="T30"/>
  <c r="M12" i="85" s="1"/>
  <c r="F42" i="91" s="1"/>
  <c r="AF30" i="88"/>
  <c r="D61" i="74" s="1"/>
  <c r="H31" i="88"/>
  <c r="T31"/>
  <c r="AF31"/>
  <c r="H42"/>
  <c r="AF42"/>
  <c r="H43"/>
  <c r="T44"/>
  <c r="U43"/>
  <c r="W43" s="1"/>
  <c r="AF43"/>
  <c r="H45"/>
  <c r="AF45"/>
  <c r="N46"/>
  <c r="Z46"/>
  <c r="N47"/>
  <c r="P72" i="74"/>
  <c r="AF72" s="1"/>
  <c r="AR72" s="1"/>
  <c r="Z47" i="88"/>
  <c r="U80" i="89" s="1"/>
  <c r="O61" i="77"/>
  <c r="Q61" s="1"/>
  <c r="D131" i="90" s="1"/>
  <c r="AX10" i="10"/>
  <c r="O59" i="77"/>
  <c r="Q59" s="1"/>
  <c r="D129" i="90" s="1"/>
  <c r="O60" i="77"/>
  <c r="Q60" s="1"/>
  <c r="D130" i="90" s="1"/>
  <c r="AX9" i="10"/>
  <c r="K30" i="54"/>
  <c r="L15" i="75"/>
  <c r="H67" i="88" s="1"/>
  <c r="O91" i="89"/>
  <c r="O92"/>
  <c r="G13" i="92"/>
  <c r="T13" s="1"/>
  <c r="AF13" s="1"/>
  <c r="I27" i="58"/>
  <c r="P22" i="24"/>
  <c r="K19" i="7" s="1"/>
  <c r="J38" i="86"/>
  <c r="H71" i="91" s="1"/>
  <c r="H16" i="83"/>
  <c r="I29"/>
  <c r="S71" i="74"/>
  <c r="AH71" s="1"/>
  <c r="AT71" s="1"/>
  <c r="J37" i="84"/>
  <c r="H13" i="91" s="1"/>
  <c r="W10" i="74"/>
  <c r="AK10" s="1"/>
  <c r="AW10" s="1"/>
  <c r="I114" i="89"/>
  <c r="I121"/>
  <c r="V56" i="74"/>
  <c r="AJ56" s="1"/>
  <c r="AV56" s="1"/>
  <c r="V65"/>
  <c r="AJ65" s="1"/>
  <c r="AV65" s="1"/>
  <c r="I18" i="87"/>
  <c r="I20"/>
  <c r="I115" i="89"/>
  <c r="J72" i="74"/>
  <c r="AB72" s="1"/>
  <c r="AN72" s="1"/>
  <c r="V72"/>
  <c r="AJ72" s="1"/>
  <c r="AV72" s="1"/>
  <c r="V58"/>
  <c r="AJ58" s="1"/>
  <c r="AV58" s="1"/>
  <c r="V60"/>
  <c r="AJ60" s="1"/>
  <c r="AV60" s="1"/>
  <c r="V62"/>
  <c r="AJ62" s="1"/>
  <c r="AV62" s="1"/>
  <c r="N33" i="86"/>
  <c r="I66" i="91" s="1"/>
  <c r="V55" i="74"/>
  <c r="AJ55" s="1"/>
  <c r="AV55" s="1"/>
  <c r="R121" i="89"/>
  <c r="N71" i="74"/>
  <c r="AE71" s="1"/>
  <c r="AQ71" s="1"/>
  <c r="Q14"/>
  <c r="AG14" s="1"/>
  <c r="AS14" s="1"/>
  <c r="J65"/>
  <c r="AB65" s="1"/>
  <c r="AN65" s="1"/>
  <c r="N10"/>
  <c r="AE10" s="1"/>
  <c r="AQ10" s="1"/>
  <c r="S67"/>
  <c r="AH67" s="1"/>
  <c r="AT67" s="1"/>
  <c r="N14"/>
  <c r="AE14" s="1"/>
  <c r="AQ14" s="1"/>
  <c r="T14"/>
  <c r="AI14" s="1"/>
  <c r="AU14" s="1"/>
  <c r="P65"/>
  <c r="AF65" s="1"/>
  <c r="AR65" s="1"/>
  <c r="I11" i="88"/>
  <c r="H51" i="74" s="1"/>
  <c r="AA51" s="1"/>
  <c r="AM51" s="1"/>
  <c r="AG11" i="88"/>
  <c r="T51" i="74" s="1"/>
  <c r="AI51" s="1"/>
  <c r="AU51" s="1"/>
  <c r="G53"/>
  <c r="Z53" s="1"/>
  <c r="AL53" s="1"/>
  <c r="I99" i="89"/>
  <c r="I58"/>
  <c r="G55" i="74"/>
  <c r="Z55" s="1"/>
  <c r="AL55" s="1"/>
  <c r="J87"/>
  <c r="AB87" s="1"/>
  <c r="AN87" s="1"/>
  <c r="I71" i="89"/>
  <c r="J98" i="74"/>
  <c r="AB98" s="1"/>
  <c r="AN98" s="1"/>
  <c r="N7" i="84"/>
  <c r="F5" i="91" s="1"/>
  <c r="I9" i="89"/>
  <c r="I93"/>
  <c r="I31"/>
  <c r="J50" i="74"/>
  <c r="AB50" s="1"/>
  <c r="AN50" s="1"/>
  <c r="M51"/>
  <c r="AD51" s="1"/>
  <c r="AP51" s="1"/>
  <c r="I16" i="89"/>
  <c r="I100"/>
  <c r="G56" i="74"/>
  <c r="Z56" s="1"/>
  <c r="AL56" s="1"/>
  <c r="G58"/>
  <c r="Z58" s="1"/>
  <c r="AL58" s="1"/>
  <c r="G60"/>
  <c r="Z60" s="1"/>
  <c r="AL60" s="1"/>
  <c r="H7" i="83"/>
  <c r="C102" i="91" s="1"/>
  <c r="G77" i="74"/>
  <c r="Z77" s="1"/>
  <c r="AL77" s="1"/>
  <c r="L12" i="83"/>
  <c r="D107" i="91" s="1"/>
  <c r="G80" i="74"/>
  <c r="Z80" s="1"/>
  <c r="AL80" s="1"/>
  <c r="H15" i="83"/>
  <c r="C110" i="91" s="1"/>
  <c r="N34" i="84"/>
  <c r="I10" i="91" s="1"/>
  <c r="F7" i="84"/>
  <c r="D5" i="91" s="1"/>
  <c r="I92" i="89"/>
  <c r="I51"/>
  <c r="M56" i="74"/>
  <c r="AD56" s="1"/>
  <c r="AP56" s="1"/>
  <c r="E8" i="85"/>
  <c r="D38" i="91" s="1"/>
  <c r="K25" i="85"/>
  <c r="H52" i="91" s="1"/>
  <c r="J76" i="74"/>
  <c r="AB76" s="1"/>
  <c r="AN76" s="1"/>
  <c r="J80"/>
  <c r="AB80" s="1"/>
  <c r="AN80" s="1"/>
  <c r="J81"/>
  <c r="AB81" s="1"/>
  <c r="AN81" s="1"/>
  <c r="O7" i="88"/>
  <c r="I52" i="89"/>
  <c r="U10" i="88"/>
  <c r="O14"/>
  <c r="K54" i="74" s="1"/>
  <c r="AC54" s="1"/>
  <c r="AO54" s="1"/>
  <c r="H10" i="83"/>
  <c r="C105" i="91" s="1"/>
  <c r="J79" i="74"/>
  <c r="AB79" s="1"/>
  <c r="AN79" s="1"/>
  <c r="I90" i="88"/>
  <c r="J96" i="74"/>
  <c r="AB96" s="1"/>
  <c r="AN96" s="1"/>
  <c r="J46"/>
  <c r="AB46" s="1"/>
  <c r="AN46" s="1"/>
  <c r="P47"/>
  <c r="AF47" s="1"/>
  <c r="AR47" s="1"/>
  <c r="I10" i="88"/>
  <c r="J12" i="84"/>
  <c r="E10" i="91" s="1"/>
  <c r="I79" i="89"/>
  <c r="P60" i="74"/>
  <c r="AF60" s="1"/>
  <c r="AR60" s="1"/>
  <c r="P62"/>
  <c r="AF62" s="1"/>
  <c r="AR62" s="1"/>
  <c r="H8" i="83"/>
  <c r="C103" i="91" s="1"/>
  <c r="H12" i="83"/>
  <c r="C107" i="91" s="1"/>
  <c r="G79" i="74"/>
  <c r="Z79" s="1"/>
  <c r="AL79" s="1"/>
  <c r="I91" i="88"/>
  <c r="J97" i="74"/>
  <c r="AB97" s="1"/>
  <c r="AN97" s="1"/>
  <c r="J99"/>
  <c r="AB99" s="1"/>
  <c r="AN99" s="1"/>
  <c r="E18" i="87"/>
  <c r="L14" i="83"/>
  <c r="D109" i="91" s="1"/>
  <c r="E20" i="87"/>
  <c r="O65" i="88"/>
  <c r="P81" i="74" s="1"/>
  <c r="AF81" s="1"/>
  <c r="AR81" s="1"/>
  <c r="N12" i="86"/>
  <c r="F67" i="91" s="1"/>
  <c r="G68" i="74"/>
  <c r="Z68" s="1"/>
  <c r="AL68" s="1"/>
  <c r="G70"/>
  <c r="Z70" s="1"/>
  <c r="AL70" s="1"/>
  <c r="J36" i="86"/>
  <c r="H69" i="91" s="1"/>
  <c r="P68" i="74"/>
  <c r="AF68" s="1"/>
  <c r="AR68" s="1"/>
  <c r="P70"/>
  <c r="AF70" s="1"/>
  <c r="AR70" s="1"/>
  <c r="J68"/>
  <c r="AB68" s="1"/>
  <c r="AN68" s="1"/>
  <c r="J70"/>
  <c r="AB70" s="1"/>
  <c r="AN70" s="1"/>
  <c r="N64"/>
  <c r="AE64" s="1"/>
  <c r="AQ64" s="1"/>
  <c r="U50" i="89"/>
  <c r="N30" i="86"/>
  <c r="I63" i="91" s="1"/>
  <c r="U113" i="89"/>
  <c r="J8" i="86"/>
  <c r="E63" i="91" s="1"/>
  <c r="U92" i="89"/>
  <c r="G64" i="74"/>
  <c r="Z64" s="1"/>
  <c r="AL64" s="1"/>
  <c r="U8" i="89"/>
  <c r="N14" i="86"/>
  <c r="F69" i="91" s="1"/>
  <c r="H7" i="81"/>
  <c r="D80" i="90" s="1"/>
  <c r="O63" i="88"/>
  <c r="Q63" s="1"/>
  <c r="J74" i="74"/>
  <c r="AB74" s="1"/>
  <c r="AN74" s="1"/>
  <c r="H14" i="83"/>
  <c r="C109" i="91" s="1"/>
  <c r="F34" i="86"/>
  <c r="G67" i="91" s="1"/>
  <c r="J73" i="74"/>
  <c r="AB73" s="1"/>
  <c r="AN73" s="1"/>
  <c r="K75"/>
  <c r="AC75" s="1"/>
  <c r="AO75" s="1"/>
  <c r="L13" i="83"/>
  <c r="D108" i="91" s="1"/>
  <c r="N7" i="86"/>
  <c r="F62" i="91" s="1"/>
  <c r="G74" i="74"/>
  <c r="Z74" s="1"/>
  <c r="AL74" s="1"/>
  <c r="H57" i="77"/>
  <c r="G73" i="74"/>
  <c r="Z73" s="1"/>
  <c r="AL73" s="1"/>
  <c r="K26" i="92"/>
  <c r="X26" s="1"/>
  <c r="AJ26" s="1"/>
  <c r="K23"/>
  <c r="X23" s="1"/>
  <c r="AJ23" s="1"/>
  <c r="K22"/>
  <c r="X22" s="1"/>
  <c r="AJ22" s="1"/>
  <c r="K21"/>
  <c r="X21" s="1"/>
  <c r="AJ21" s="1"/>
  <c r="H93" i="77"/>
  <c r="C150" i="90" s="1"/>
  <c r="E15" i="82"/>
  <c r="Q20" i="92"/>
  <c r="AD20" s="1"/>
  <c r="AP20" s="1"/>
  <c r="Q26"/>
  <c r="AD26" s="1"/>
  <c r="AP26" s="1"/>
  <c r="Q23"/>
  <c r="AD23" s="1"/>
  <c r="AP23" s="1"/>
  <c r="Q22"/>
  <c r="AD22" s="1"/>
  <c r="AP22" s="1"/>
  <c r="Q21"/>
  <c r="AD21" s="1"/>
  <c r="AP21" s="1"/>
  <c r="K20"/>
  <c r="X20" s="1"/>
  <c r="AJ20" s="1"/>
  <c r="AF9" i="77"/>
  <c r="J31" i="79" s="1"/>
  <c r="H8" i="90" s="1"/>
  <c r="L16" i="75"/>
  <c r="AL9" i="77"/>
  <c r="N31" i="79" s="1"/>
  <c r="I8" i="90" s="1"/>
  <c r="J29" i="84"/>
  <c r="H5" i="91" s="1"/>
  <c r="H92" i="77"/>
  <c r="I92" s="1"/>
  <c r="K92" s="1"/>
  <c r="E35" i="85"/>
  <c r="N38" i="86"/>
  <c r="I71" i="91" s="1"/>
  <c r="O3" i="87"/>
  <c r="K25"/>
  <c r="O11" i="88"/>
  <c r="L34" i="89" s="1"/>
  <c r="AG13" i="88"/>
  <c r="F26" i="75"/>
  <c r="L18" s="1"/>
  <c r="N95" i="77"/>
  <c r="D152" i="90" s="1"/>
  <c r="AG6" i="88"/>
  <c r="AG14"/>
  <c r="T54" i="74" s="1"/>
  <c r="AI54" s="1"/>
  <c r="AU54" s="1"/>
  <c r="K68"/>
  <c r="AC68" s="1"/>
  <c r="AO68" s="1"/>
  <c r="Q68"/>
  <c r="AG68" s="1"/>
  <c r="AS68" s="1"/>
  <c r="D160" i="91"/>
  <c r="AM10" i="77"/>
  <c r="H12" i="86"/>
  <c r="D85" i="91" s="1"/>
  <c r="T68" i="74"/>
  <c r="AI68" s="1"/>
  <c r="AU68" s="1"/>
  <c r="S53"/>
  <c r="AH53" s="1"/>
  <c r="AT53" s="1"/>
  <c r="H95" i="77"/>
  <c r="E13" i="82" s="1"/>
  <c r="D102" i="90"/>
  <c r="J11" i="79"/>
  <c r="E9" i="90" s="1"/>
  <c r="N15" i="84"/>
  <c r="F13" i="91" s="1"/>
  <c r="M35" i="85"/>
  <c r="N34" i="86"/>
  <c r="I67" i="91" s="1"/>
  <c r="Q58" i="74"/>
  <c r="AG58" s="1"/>
  <c r="AS58" s="1"/>
  <c r="J7" i="83"/>
  <c r="C128" i="91" s="1"/>
  <c r="N95" i="88"/>
  <c r="T12" i="77"/>
  <c r="U12" s="1"/>
  <c r="W12" s="1"/>
  <c r="P13" i="79" s="1"/>
  <c r="F29" i="90" s="1"/>
  <c r="F34" i="81"/>
  <c r="G68" i="90" s="1"/>
  <c r="J29" i="86"/>
  <c r="H62" i="91" s="1"/>
  <c r="Z9" i="77"/>
  <c r="AA9" s="1"/>
  <c r="AC9" s="1"/>
  <c r="H31" i="79" s="1"/>
  <c r="G26" i="90" s="1"/>
  <c r="H96" i="77"/>
  <c r="E14" i="82" s="1"/>
  <c r="H13" i="83"/>
  <c r="C108" i="91" s="1"/>
  <c r="F34" i="84"/>
  <c r="G10" i="91" s="1"/>
  <c r="I26" i="85"/>
  <c r="H39" i="91" s="1"/>
  <c r="E8" i="87"/>
  <c r="I14"/>
  <c r="U6" i="88"/>
  <c r="AA11"/>
  <c r="L76" i="89" s="1"/>
  <c r="U13" i="88"/>
  <c r="U14"/>
  <c r="N54" i="74" s="1"/>
  <c r="AE54" s="1"/>
  <c r="AQ54" s="1"/>
  <c r="I63" i="88"/>
  <c r="P3" i="81"/>
  <c r="P3" i="84"/>
  <c r="O3" i="85"/>
  <c r="O3" i="82"/>
  <c r="P3" i="79"/>
  <c r="O3" i="80"/>
  <c r="N3" i="83"/>
  <c r="A4" i="74"/>
  <c r="A5" s="1"/>
  <c r="O8" i="77"/>
  <c r="Q8" s="1"/>
  <c r="L9" i="79" s="1"/>
  <c r="E25" i="90" s="1"/>
  <c r="N9" i="77"/>
  <c r="O9" s="1"/>
  <c r="Q9" s="1"/>
  <c r="L10" i="79" s="1"/>
  <c r="E26" i="90" s="1"/>
  <c r="O62" i="77"/>
  <c r="Q62" s="1"/>
  <c r="D132" i="90" s="1"/>
  <c r="D106"/>
  <c r="G95" i="74"/>
  <c r="Z95" s="1"/>
  <c r="AL95" s="1"/>
  <c r="E16" i="87"/>
  <c r="N65" i="74"/>
  <c r="AE65" s="1"/>
  <c r="AQ65" s="1"/>
  <c r="M65"/>
  <c r="AD65" s="1"/>
  <c r="AP65" s="1"/>
  <c r="U52" i="89"/>
  <c r="N9" i="86"/>
  <c r="F64" i="91" s="1"/>
  <c r="M67" i="74"/>
  <c r="AD67" s="1"/>
  <c r="AP67" s="1"/>
  <c r="N11" i="86"/>
  <c r="F66" i="91" s="1"/>
  <c r="I80" i="89"/>
  <c r="L63"/>
  <c r="L28" i="92"/>
  <c r="Y28" s="1"/>
  <c r="AK28" s="1"/>
  <c r="L105" i="89"/>
  <c r="P28" i="92"/>
  <c r="AC28" s="1"/>
  <c r="AO28" s="1"/>
  <c r="L64" i="89"/>
  <c r="L29" i="92"/>
  <c r="Y29" s="1"/>
  <c r="AK29" s="1"/>
  <c r="L106" i="89"/>
  <c r="P29" i="92"/>
  <c r="AC29" s="1"/>
  <c r="AO29" s="1"/>
  <c r="L65" i="89"/>
  <c r="L30" i="92"/>
  <c r="Y30" s="1"/>
  <c r="AK30" s="1"/>
  <c r="L107" i="89"/>
  <c r="P30" i="92"/>
  <c r="AC30" s="1"/>
  <c r="AO30" s="1"/>
  <c r="O113" i="89"/>
  <c r="V57" i="74"/>
  <c r="AJ57" s="1"/>
  <c r="AV57" s="1"/>
  <c r="R62" i="89"/>
  <c r="L31" i="92"/>
  <c r="Y31" s="1"/>
  <c r="AK31" s="1"/>
  <c r="R104" i="89"/>
  <c r="P31" i="92"/>
  <c r="AC31" s="1"/>
  <c r="AO31" s="1"/>
  <c r="R63" i="89"/>
  <c r="L32" i="92"/>
  <c r="Y32" s="1"/>
  <c r="AK32" s="1"/>
  <c r="R105" i="89"/>
  <c r="P32" i="9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O121" i="89"/>
  <c r="V61" i="74"/>
  <c r="AJ61" s="1"/>
  <c r="AV61" s="1"/>
  <c r="O105" i="89"/>
  <c r="O32" i="92"/>
  <c r="AB32" s="1"/>
  <c r="AN32" s="1"/>
  <c r="N63" i="74"/>
  <c r="AE63" s="1"/>
  <c r="AQ63" s="1"/>
  <c r="J67"/>
  <c r="AB67" s="1"/>
  <c r="AN67" s="1"/>
  <c r="L33" i="92"/>
  <c r="Y33" s="1"/>
  <c r="AK33" s="1"/>
  <c r="P34"/>
  <c r="AC34" s="1"/>
  <c r="AO34" s="1"/>
  <c r="I28" i="83"/>
  <c r="H39" i="92"/>
  <c r="U39" s="1"/>
  <c r="AG39" s="1"/>
  <c r="K24" i="87"/>
  <c r="J42" i="92"/>
  <c r="W42" s="1"/>
  <c r="AI42" s="1"/>
  <c r="G26"/>
  <c r="T26" s="1"/>
  <c r="AF26" s="1"/>
  <c r="G23"/>
  <c r="T23" s="1"/>
  <c r="AF23" s="1"/>
  <c r="G22"/>
  <c r="T22" s="1"/>
  <c r="AF22" s="1"/>
  <c r="G21"/>
  <c r="T21" s="1"/>
  <c r="AF21" s="1"/>
  <c r="I38" i="89"/>
  <c r="L42"/>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I25" i="85"/>
  <c r="H38" i="91" s="1"/>
  <c r="R41" i="89"/>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S65"/>
  <c r="AH65" s="1"/>
  <c r="AT65" s="1"/>
  <c r="P67"/>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29" i="87"/>
  <c r="I47" i="92"/>
  <c r="V47" s="1"/>
  <c r="AH47" s="1"/>
  <c r="D169" i="91"/>
  <c r="I48" i="92"/>
  <c r="V48" s="1"/>
  <c r="AH48" s="1"/>
  <c r="D170" i="91"/>
  <c r="I49" i="92"/>
  <c r="V49" s="1"/>
  <c r="AH49" s="1"/>
  <c r="D171" i="91"/>
  <c r="I50" i="92"/>
  <c r="V50" s="1"/>
  <c r="AH50" s="1"/>
  <c r="K33" i="87"/>
  <c r="D173" i="91" s="1"/>
  <c r="J51" i="92"/>
  <c r="W51" s="1"/>
  <c r="AI51" s="1"/>
  <c r="H11" i="83"/>
  <c r="C106" i="91" s="1"/>
  <c r="J7" i="86"/>
  <c r="E62" i="91" s="1"/>
  <c r="J16" i="86"/>
  <c r="E71" i="91" s="1"/>
  <c r="D158"/>
  <c r="N35" i="81"/>
  <c r="I69" i="90" s="1"/>
  <c r="L15" i="83"/>
  <c r="D110" i="91" s="1"/>
  <c r="I27" i="83"/>
  <c r="F8" i="84"/>
  <c r="D6" i="91" s="1"/>
  <c r="I9" i="85"/>
  <c r="E39" i="91" s="1"/>
  <c r="M18" i="85"/>
  <c r="M25"/>
  <c r="I38" i="91" s="1"/>
  <c r="M29" i="85"/>
  <c r="I42" i="91" s="1"/>
  <c r="E7" i="87"/>
  <c r="E17"/>
  <c r="K32"/>
  <c r="D154" i="91"/>
  <c r="S46" i="74"/>
  <c r="AH46" s="1"/>
  <c r="AT46" s="1"/>
  <c r="M26" i="92"/>
  <c r="Z26" s="1"/>
  <c r="AL26" s="1"/>
  <c r="M23"/>
  <c r="Z23" s="1"/>
  <c r="AL23" s="1"/>
  <c r="M22"/>
  <c r="Z22" s="1"/>
  <c r="AL22" s="1"/>
  <c r="M21"/>
  <c r="Z21" s="1"/>
  <c r="AL21" s="1"/>
  <c r="W61" i="74"/>
  <c r="AK61" s="1"/>
  <c r="AW61" s="1"/>
  <c r="J71"/>
  <c r="AB71" s="1"/>
  <c r="AN71" s="1"/>
  <c r="P71"/>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59" i="89"/>
  <c r="M55" i="74"/>
  <c r="AD55" s="1"/>
  <c r="AP55"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G76" i="74"/>
  <c r="Z76" s="1"/>
  <c r="AL76" s="1"/>
  <c r="O61" i="88"/>
  <c r="P77" i="74" s="1"/>
  <c r="AF77" s="1"/>
  <c r="AR77" s="1"/>
  <c r="O62" i="88"/>
  <c r="P78" i="74" s="1"/>
  <c r="AF78" s="1"/>
  <c r="AR78" s="1"/>
  <c r="J78"/>
  <c r="AB78" s="1"/>
  <c r="AN78" s="1"/>
  <c r="I25" i="83"/>
  <c r="H36" i="92"/>
  <c r="U36" s="1"/>
  <c r="AG36" s="1"/>
  <c r="I26" i="83"/>
  <c r="H37" i="92"/>
  <c r="U37" s="1"/>
  <c r="AG37" s="1"/>
  <c r="M31" i="83"/>
  <c r="D122" i="91" s="1"/>
  <c r="J41" i="92"/>
  <c r="W41" s="1"/>
  <c r="AI41" s="1"/>
  <c r="C148" i="91"/>
  <c r="G87" i="74"/>
  <c r="Z87" s="1"/>
  <c r="AL87" s="1"/>
  <c r="D156" i="91"/>
  <c r="J95" i="74"/>
  <c r="AB95" s="1"/>
  <c r="AN95" s="1"/>
  <c r="K27" i="87"/>
  <c r="J45" i="92"/>
  <c r="W45" s="1"/>
  <c r="AI45" s="1"/>
  <c r="K28" i="87"/>
  <c r="J46" i="92"/>
  <c r="W46" s="1"/>
  <c r="AI46" s="1"/>
  <c r="K29" i="87"/>
  <c r="J47" i="92"/>
  <c r="W47" s="1"/>
  <c r="AI47" s="1"/>
  <c r="K30" i="87"/>
  <c r="J48" i="92"/>
  <c r="W48" s="1"/>
  <c r="AI48" s="1"/>
  <c r="K31" i="87"/>
  <c r="J49" i="92"/>
  <c r="W49" s="1"/>
  <c r="AI49" s="1"/>
  <c r="I101" i="89"/>
  <c r="S55" i="74"/>
  <c r="AH55" s="1"/>
  <c r="AT55" s="1"/>
  <c r="I28" i="92"/>
  <c r="V28" s="1"/>
  <c r="AH28" s="1"/>
  <c r="F41" i="84"/>
  <c r="G17" i="91" s="1"/>
  <c r="M28" i="92"/>
  <c r="Z28" s="1"/>
  <c r="AL28" s="1"/>
  <c r="I43" i="89"/>
  <c r="I29" i="92"/>
  <c r="V29" s="1"/>
  <c r="AH29" s="1"/>
  <c r="I85" i="89"/>
  <c r="M29" i="92"/>
  <c r="Z29" s="1"/>
  <c r="AL29" s="1"/>
  <c r="I127" i="89"/>
  <c r="Q29" i="92"/>
  <c r="AD29" s="1"/>
  <c r="AP29" s="1"/>
  <c r="I44" i="89"/>
  <c r="I30" i="92"/>
  <c r="V30" s="1"/>
  <c r="AH30" s="1"/>
  <c r="O41" i="89"/>
  <c r="I31" i="92"/>
  <c r="V31" s="1"/>
  <c r="AH31" s="1"/>
  <c r="O83" i="89"/>
  <c r="M31" i="92"/>
  <c r="Z31" s="1"/>
  <c r="AL31" s="1"/>
  <c r="Q31"/>
  <c r="AD31" s="1"/>
  <c r="AP31" s="1"/>
  <c r="O42" i="89"/>
  <c r="I32" i="92"/>
  <c r="V32" s="1"/>
  <c r="AH32" s="1"/>
  <c r="O84" i="89"/>
  <c r="M32" i="92"/>
  <c r="Z32" s="1"/>
  <c r="AL32" s="1"/>
  <c r="O126" i="89"/>
  <c r="Q32" i="92"/>
  <c r="AD32" s="1"/>
  <c r="AP32" s="1"/>
  <c r="U117" i="89"/>
  <c r="V67" i="74"/>
  <c r="AJ67" s="1"/>
  <c r="AV67" s="1"/>
  <c r="M72"/>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N93" i="77"/>
  <c r="D150" i="90" s="1"/>
  <c r="F29" i="84"/>
  <c r="G5" i="91" s="1"/>
  <c r="O29" i="85"/>
  <c r="I56" i="91" s="1"/>
  <c r="F31" i="86"/>
  <c r="G64" i="91" s="1"/>
  <c r="AA10" i="77"/>
  <c r="J13" i="81"/>
  <c r="E68" i="90" s="1"/>
  <c r="N34" i="81"/>
  <c r="I68" i="90" s="1"/>
  <c r="I12" i="82"/>
  <c r="D104" i="90"/>
  <c r="L9" i="83"/>
  <c r="D104" i="91" s="1"/>
  <c r="N30" i="84"/>
  <c r="I6" i="91" s="1"/>
  <c r="I7" i="85"/>
  <c r="E37" i="91" s="1"/>
  <c r="I28" i="85"/>
  <c r="H41" i="91" s="1"/>
  <c r="F29" i="86"/>
  <c r="G62" i="91" s="1"/>
  <c r="N37" i="86"/>
  <c r="I70" i="91" s="1"/>
  <c r="E19" i="87"/>
  <c r="K26"/>
  <c r="U8" i="88"/>
  <c r="N48" i="74" s="1"/>
  <c r="AE48" s="1"/>
  <c r="AQ48" s="1"/>
  <c r="AM11" i="88"/>
  <c r="I14"/>
  <c r="L16" i="89" s="1"/>
  <c r="K63" i="74"/>
  <c r="AC63" s="1"/>
  <c r="AO63" s="1"/>
  <c r="H29" i="86"/>
  <c r="G80" i="91" s="1"/>
  <c r="K71" i="74"/>
  <c r="AC71" s="1"/>
  <c r="AO71" s="1"/>
  <c r="Q71"/>
  <c r="AG71" s="1"/>
  <c r="AS71" s="1"/>
  <c r="W71"/>
  <c r="AK71" s="1"/>
  <c r="AW71" s="1"/>
  <c r="I61" i="88"/>
  <c r="I89"/>
  <c r="U38" i="89"/>
  <c r="O115"/>
  <c r="U122"/>
  <c r="J54" i="74"/>
  <c r="AB54" s="1"/>
  <c r="AN54" s="1"/>
  <c r="M50"/>
  <c r="AD50" s="1"/>
  <c r="AP50" s="1"/>
  <c r="G47"/>
  <c r="Z47" s="1"/>
  <c r="AL47" s="1"/>
  <c r="G20" i="92"/>
  <c r="T20" s="1"/>
  <c r="AF20" s="1"/>
  <c r="K32" i="61"/>
  <c r="H8" i="92"/>
  <c r="U8" s="1"/>
  <c r="AG8" s="1"/>
  <c r="R4"/>
  <c r="AE4" s="1"/>
  <c r="AQ4" s="1"/>
  <c r="N4"/>
  <c r="AA4" s="1"/>
  <c r="AM4" s="1"/>
  <c r="O28" i="61"/>
  <c r="J4" i="92"/>
  <c r="W4" s="1"/>
  <c r="AI4" s="1"/>
  <c r="P11"/>
  <c r="AC11" s="1"/>
  <c r="AO11" s="1"/>
  <c r="K35" i="61"/>
  <c r="H11" i="92"/>
  <c r="U11" s="1"/>
  <c r="AG11" s="1"/>
  <c r="R26"/>
  <c r="AE26" s="1"/>
  <c r="AQ26" s="1"/>
  <c r="N26"/>
  <c r="AA26" s="1"/>
  <c r="AM26" s="1"/>
  <c r="O35" i="56"/>
  <c r="J26" i="92"/>
  <c r="W26" s="1"/>
  <c r="AI26" s="1"/>
  <c r="R25"/>
  <c r="AE25" s="1"/>
  <c r="AQ25" s="1"/>
  <c r="N25"/>
  <c r="AA25" s="1"/>
  <c r="AM25" s="1"/>
  <c r="O34" i="56"/>
  <c r="J25" i="92"/>
  <c r="W25" s="1"/>
  <c r="AI25" s="1"/>
  <c r="R24"/>
  <c r="AE24" s="1"/>
  <c r="AQ24" s="1"/>
  <c r="N24"/>
  <c r="AA24" s="1"/>
  <c r="AM24" s="1"/>
  <c r="O33" i="56"/>
  <c r="J24" i="92"/>
  <c r="W24" s="1"/>
  <c r="AI24" s="1"/>
  <c r="R23"/>
  <c r="AE23" s="1"/>
  <c r="AQ23" s="1"/>
  <c r="N23"/>
  <c r="AA23" s="1"/>
  <c r="AM23" s="1"/>
  <c r="O32" i="56"/>
  <c r="J23" i="92"/>
  <c r="W23" s="1"/>
  <c r="AI23" s="1"/>
  <c r="R22"/>
  <c r="AE22" s="1"/>
  <c r="AQ22" s="1"/>
  <c r="N22"/>
  <c r="AA22" s="1"/>
  <c r="AM22" s="1"/>
  <c r="O31" i="56"/>
  <c r="J22" i="92"/>
  <c r="W22" s="1"/>
  <c r="AI22" s="1"/>
  <c r="R21"/>
  <c r="AE21" s="1"/>
  <c r="AQ21" s="1"/>
  <c r="N21"/>
  <c r="AA21" s="1"/>
  <c r="AM21" s="1"/>
  <c r="O30" i="56"/>
  <c r="J21" i="92"/>
  <c r="W21" s="1"/>
  <c r="AI21" s="1"/>
  <c r="K29" i="61"/>
  <c r="H5" i="92"/>
  <c r="U5" s="1"/>
  <c r="AG5" s="1"/>
  <c r="R10"/>
  <c r="AE10" s="1"/>
  <c r="AQ10" s="1"/>
  <c r="N10"/>
  <c r="AA10" s="1"/>
  <c r="AM10" s="1"/>
  <c r="O34" i="61"/>
  <c r="J10" i="92"/>
  <c r="W10" s="1"/>
  <c r="AI10" s="1"/>
  <c r="P9"/>
  <c r="AC9" s="1"/>
  <c r="AO9" s="1"/>
  <c r="S33" i="61"/>
  <c r="L9" i="92"/>
  <c r="Y9" s="1"/>
  <c r="AK9" s="1"/>
  <c r="R8"/>
  <c r="AE8" s="1"/>
  <c r="AQ8" s="1"/>
  <c r="N8"/>
  <c r="AA8" s="1"/>
  <c r="AM8" s="1"/>
  <c r="O32" i="61"/>
  <c r="J8" i="92"/>
  <c r="W8" s="1"/>
  <c r="AI8" s="1"/>
  <c r="P7"/>
  <c r="AC7" s="1"/>
  <c r="AO7" s="1"/>
  <c r="S31" i="61"/>
  <c r="L7" i="92"/>
  <c r="Y7" s="1"/>
  <c r="AK7" s="1"/>
  <c r="R6"/>
  <c r="AE6" s="1"/>
  <c r="AQ6" s="1"/>
  <c r="N6"/>
  <c r="AA6" s="1"/>
  <c r="AM6" s="1"/>
  <c r="O30" i="61"/>
  <c r="J6" i="92"/>
  <c r="W6" s="1"/>
  <c r="AI6" s="1"/>
  <c r="P5"/>
  <c r="AC5" s="1"/>
  <c r="AO5" s="1"/>
  <c r="S29" i="61"/>
  <c r="L5" i="92"/>
  <c r="Y5" s="1"/>
  <c r="AK5" s="1"/>
  <c r="R11"/>
  <c r="AE11" s="1"/>
  <c r="AQ11" s="1"/>
  <c r="O35" i="61"/>
  <c r="J11" i="92"/>
  <c r="W11" s="1"/>
  <c r="AI11" s="1"/>
  <c r="R20"/>
  <c r="AE20" s="1"/>
  <c r="AQ20" s="1"/>
  <c r="N20"/>
  <c r="AA20" s="1"/>
  <c r="AM20" s="1"/>
  <c r="O29" i="56"/>
  <c r="J20" i="92"/>
  <c r="W20" s="1"/>
  <c r="AI20" s="1"/>
  <c r="R18"/>
  <c r="AE18" s="1"/>
  <c r="AQ18" s="1"/>
  <c r="N18"/>
  <c r="AA18" s="1"/>
  <c r="AM18" s="1"/>
  <c r="O32" i="54"/>
  <c r="J18" i="92"/>
  <c r="W18" s="1"/>
  <c r="AI18" s="1"/>
  <c r="P17"/>
  <c r="AC17" s="1"/>
  <c r="AO17" s="1"/>
  <c r="S31" i="54"/>
  <c r="L17" i="92"/>
  <c r="Y17" s="1"/>
  <c r="AK17" s="1"/>
  <c r="R16"/>
  <c r="AE16" s="1"/>
  <c r="AQ16" s="1"/>
  <c r="N16"/>
  <c r="AA16" s="1"/>
  <c r="AM16" s="1"/>
  <c r="O30" i="54"/>
  <c r="J16" i="92"/>
  <c r="W16" s="1"/>
  <c r="AI16" s="1"/>
  <c r="R14"/>
  <c r="AE14" s="1"/>
  <c r="AQ14" s="1"/>
  <c r="N14"/>
  <c r="AA14" s="1"/>
  <c r="AM14" s="1"/>
  <c r="O28" i="54"/>
  <c r="J14" i="92"/>
  <c r="W14" s="1"/>
  <c r="AI14" s="1"/>
  <c r="P13"/>
  <c r="AC13" s="1"/>
  <c r="AO13" s="1"/>
  <c r="S27" i="54"/>
  <c r="L13" i="92"/>
  <c r="Y13" s="1"/>
  <c r="AK13" s="1"/>
  <c r="K28" i="54"/>
  <c r="H14" i="92"/>
  <c r="U14" s="1"/>
  <c r="AG14" s="1"/>
  <c r="K34" i="61"/>
  <c r="H10" i="92"/>
  <c r="U10" s="1"/>
  <c r="AG10" s="1"/>
  <c r="K30" i="61"/>
  <c r="H6" i="92"/>
  <c r="U6" s="1"/>
  <c r="AG6" s="1"/>
  <c r="P4"/>
  <c r="AC4" s="1"/>
  <c r="AO4" s="1"/>
  <c r="S28" i="61"/>
  <c r="L4" i="92"/>
  <c r="Y4" s="1"/>
  <c r="AK4" s="1"/>
  <c r="K28" i="61"/>
  <c r="H4" i="92"/>
  <c r="U4" s="1"/>
  <c r="AG4" s="1"/>
  <c r="S35" i="61"/>
  <c r="L11" i="92"/>
  <c r="Y11" s="1"/>
  <c r="AK11" s="1"/>
  <c r="P26"/>
  <c r="AC26" s="1"/>
  <c r="AO26" s="1"/>
  <c r="S35" i="56"/>
  <c r="L26" i="92"/>
  <c r="Y26" s="1"/>
  <c r="AK26" s="1"/>
  <c r="K35" i="56"/>
  <c r="H26" i="92"/>
  <c r="U26" s="1"/>
  <c r="AG26" s="1"/>
  <c r="P25"/>
  <c r="AC25" s="1"/>
  <c r="AO25" s="1"/>
  <c r="S34" i="56"/>
  <c r="L25" i="92"/>
  <c r="Y25" s="1"/>
  <c r="AK25" s="1"/>
  <c r="K34" i="56"/>
  <c r="H25" i="92"/>
  <c r="U25" s="1"/>
  <c r="AG25" s="1"/>
  <c r="P24"/>
  <c r="AC24" s="1"/>
  <c r="AO24" s="1"/>
  <c r="S33" i="56"/>
  <c r="L24" i="92"/>
  <c r="Y24" s="1"/>
  <c r="AK24" s="1"/>
  <c r="K33" i="56"/>
  <c r="H24" i="92"/>
  <c r="U24" s="1"/>
  <c r="AG24" s="1"/>
  <c r="P23"/>
  <c r="AC23" s="1"/>
  <c r="AO23" s="1"/>
  <c r="S32" i="56"/>
  <c r="L23" i="92"/>
  <c r="Y23" s="1"/>
  <c r="AK23" s="1"/>
  <c r="K32" i="56"/>
  <c r="H23" i="92"/>
  <c r="U23" s="1"/>
  <c r="AG23" s="1"/>
  <c r="P22"/>
  <c r="AC22" s="1"/>
  <c r="AO22" s="1"/>
  <c r="S31" i="56"/>
  <c r="L22" i="92"/>
  <c r="Y22" s="1"/>
  <c r="AK22" s="1"/>
  <c r="K31" i="56"/>
  <c r="H22" i="92"/>
  <c r="U22" s="1"/>
  <c r="AG22" s="1"/>
  <c r="P21"/>
  <c r="AC21" s="1"/>
  <c r="AO21" s="1"/>
  <c r="S30" i="56"/>
  <c r="L21" i="92"/>
  <c r="Y21" s="1"/>
  <c r="AK21" s="1"/>
  <c r="K30" i="56"/>
  <c r="H21" i="92"/>
  <c r="U21" s="1"/>
  <c r="AG21" s="1"/>
  <c r="K31" i="61"/>
  <c r="H7" i="92"/>
  <c r="U7" s="1"/>
  <c r="AG7" s="1"/>
  <c r="P10"/>
  <c r="AC10" s="1"/>
  <c r="AO10" s="1"/>
  <c r="S34" i="61"/>
  <c r="L10" i="92"/>
  <c r="Y10" s="1"/>
  <c r="AK10" s="1"/>
  <c r="R9"/>
  <c r="AE9" s="1"/>
  <c r="AQ9" s="1"/>
  <c r="N9"/>
  <c r="AA9" s="1"/>
  <c r="AM9" s="1"/>
  <c r="O33" i="61"/>
  <c r="J9" i="92"/>
  <c r="W9" s="1"/>
  <c r="AI9" s="1"/>
  <c r="P8"/>
  <c r="AC8" s="1"/>
  <c r="AO8" s="1"/>
  <c r="S32" i="61"/>
  <c r="L8" i="92"/>
  <c r="Y8" s="1"/>
  <c r="AK8" s="1"/>
  <c r="R7"/>
  <c r="AE7" s="1"/>
  <c r="AQ7" s="1"/>
  <c r="N7"/>
  <c r="AA7" s="1"/>
  <c r="AM7" s="1"/>
  <c r="O31" i="61"/>
  <c r="J7" i="92"/>
  <c r="W7" s="1"/>
  <c r="AI7" s="1"/>
  <c r="P6"/>
  <c r="AC6" s="1"/>
  <c r="AO6" s="1"/>
  <c r="S30" i="61"/>
  <c r="L6" i="92"/>
  <c r="Y6" s="1"/>
  <c r="AK6" s="1"/>
  <c r="R5"/>
  <c r="AE5" s="1"/>
  <c r="AQ5" s="1"/>
  <c r="N5"/>
  <c r="AA5" s="1"/>
  <c r="AM5" s="1"/>
  <c r="O29" i="61"/>
  <c r="J5" i="92"/>
  <c r="W5" s="1"/>
  <c r="AI5" s="1"/>
  <c r="N11"/>
  <c r="AA11" s="1"/>
  <c r="AM11" s="1"/>
  <c r="P20"/>
  <c r="AC20" s="1"/>
  <c r="AO20" s="1"/>
  <c r="S29" i="56"/>
  <c r="L20" i="92"/>
  <c r="Y20" s="1"/>
  <c r="AK20" s="1"/>
  <c r="K29" i="56"/>
  <c r="H20" i="92"/>
  <c r="U20" s="1"/>
  <c r="AG20" s="1"/>
  <c r="S33" i="54"/>
  <c r="L19" i="92"/>
  <c r="Y19" s="1"/>
  <c r="AK19" s="1"/>
  <c r="R17"/>
  <c r="AE17" s="1"/>
  <c r="AQ17" s="1"/>
  <c r="N17"/>
  <c r="AA17" s="1"/>
  <c r="AM17" s="1"/>
  <c r="N15"/>
  <c r="AA15" s="1"/>
  <c r="AM15" s="1"/>
  <c r="R13"/>
  <c r="AE13" s="1"/>
  <c r="AQ13" s="1"/>
  <c r="N13"/>
  <c r="AA13" s="1"/>
  <c r="AM13" s="1"/>
  <c r="O27" i="54"/>
  <c r="J13" i="92"/>
  <c r="W13" s="1"/>
  <c r="AI13" s="1"/>
  <c r="U30" i="89"/>
  <c r="J64" i="74"/>
  <c r="AB64" s="1"/>
  <c r="AN64" s="1"/>
  <c r="U72" i="89"/>
  <c r="P64" i="74"/>
  <c r="AF64" s="1"/>
  <c r="AR64" s="1"/>
  <c r="U114" i="89"/>
  <c r="V64" i="74"/>
  <c r="AJ64" s="1"/>
  <c r="AV64" s="1"/>
  <c r="U51" i="89"/>
  <c r="M64" i="74"/>
  <c r="AD64" s="1"/>
  <c r="AP64" s="1"/>
  <c r="S64"/>
  <c r="AH64" s="1"/>
  <c r="AT64" s="1"/>
  <c r="N8" i="86"/>
  <c r="F63" i="91" s="1"/>
  <c r="J30" i="86"/>
  <c r="H63" i="91" s="1"/>
  <c r="S36" i="56"/>
  <c r="L27" i="92"/>
  <c r="Y27" s="1"/>
  <c r="AK27" s="1"/>
  <c r="P27"/>
  <c r="AC27" s="1"/>
  <c r="AO27" s="1"/>
  <c r="K36" i="56"/>
  <c r="H27" i="92"/>
  <c r="U27" s="1"/>
  <c r="AG27" s="1"/>
  <c r="R27"/>
  <c r="AE27" s="1"/>
  <c r="AQ27" s="1"/>
  <c r="O36" i="56"/>
  <c r="J27" i="92"/>
  <c r="W27" s="1"/>
  <c r="AI27" s="1"/>
  <c r="N27"/>
  <c r="AA27" s="1"/>
  <c r="AM27" s="1"/>
  <c r="U9" i="89"/>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G72" i="74"/>
  <c r="Z72" s="1"/>
  <c r="AL72" s="1"/>
  <c r="G71"/>
  <c r="Z71" s="1"/>
  <c r="AL71" s="1"/>
  <c r="G67"/>
  <c r="Z67" s="1"/>
  <c r="AL67" s="1"/>
  <c r="G65"/>
  <c r="Z65" s="1"/>
  <c r="AL65" s="1"/>
  <c r="F9" i="86"/>
  <c r="D64" i="91" s="1"/>
  <c r="G63" i="74"/>
  <c r="Z63" s="1"/>
  <c r="AL63" s="1"/>
  <c r="G61"/>
  <c r="Z61" s="1"/>
  <c r="AL61" s="1"/>
  <c r="O8" i="89"/>
  <c r="G57" i="74"/>
  <c r="Z57" s="1"/>
  <c r="AL57" s="1"/>
  <c r="I13" i="88"/>
  <c r="M53" i="74" s="1"/>
  <c r="AD53" s="1"/>
  <c r="AP53" s="1"/>
  <c r="G51"/>
  <c r="Z51" s="1"/>
  <c r="AL51" s="1"/>
  <c r="I13" i="89"/>
  <c r="K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G28"/>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I31" i="87"/>
  <c r="I24"/>
  <c r="I26"/>
  <c r="I32"/>
  <c r="I25"/>
  <c r="E27"/>
  <c r="E31"/>
  <c r="I28"/>
  <c r="I30"/>
  <c r="D168" i="91"/>
  <c r="I27" i="87"/>
  <c r="E24"/>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F9"/>
  <c r="D49" i="74" s="1"/>
  <c r="I96" i="89"/>
  <c r="S50" i="74"/>
  <c r="AH50" s="1"/>
  <c r="AT50" s="1"/>
  <c r="F36" i="84"/>
  <c r="G12" i="91" s="1"/>
  <c r="I73" i="89"/>
  <c r="F31" i="84"/>
  <c r="G7" i="91" s="1"/>
  <c r="Z9" i="88"/>
  <c r="AC9" s="1"/>
  <c r="AA8"/>
  <c r="Q48" i="74" s="1"/>
  <c r="AG48" s="1"/>
  <c r="AS48" s="1"/>
  <c r="J53"/>
  <c r="AB53" s="1"/>
  <c r="AN53" s="1"/>
  <c r="J14" i="84"/>
  <c r="E12" i="91" s="1"/>
  <c r="I10" i="89"/>
  <c r="F9" i="84"/>
  <c r="D7" i="91" s="1"/>
  <c r="G48" i="74"/>
  <c r="Z48" s="1"/>
  <c r="AL48" s="1"/>
  <c r="I8" i="88"/>
  <c r="H48" i="74" s="1"/>
  <c r="AA48" s="1"/>
  <c r="AM48" s="1"/>
  <c r="AM13" i="88"/>
  <c r="N36" i="84"/>
  <c r="I12" i="91" s="1"/>
  <c r="S47" i="74"/>
  <c r="AH47" s="1"/>
  <c r="AT47" s="1"/>
  <c r="J14" i="79"/>
  <c r="E12" i="90" s="1"/>
  <c r="F11" i="84"/>
  <c r="D9" i="91" s="1"/>
  <c r="J48" i="74"/>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W7" s="1"/>
  <c r="AL9"/>
  <c r="AO9" s="1"/>
  <c r="U11"/>
  <c r="N51" i="74" s="1"/>
  <c r="AE51" s="1"/>
  <c r="AQ51" s="1"/>
  <c r="AA14" i="88"/>
  <c r="L79" i="89" s="1"/>
  <c r="AM14" i="88"/>
  <c r="S54" i="74"/>
  <c r="AH54" s="1"/>
  <c r="AT54" s="1"/>
  <c r="G54"/>
  <c r="Z54" s="1"/>
  <c r="AL54" s="1"/>
  <c r="G50"/>
  <c r="Z50" s="1"/>
  <c r="AL50" s="1"/>
  <c r="G46"/>
  <c r="Z46" s="1"/>
  <c r="AL46" s="1"/>
  <c r="H12" i="77"/>
  <c r="F13" i="79" s="1"/>
  <c r="D11" i="90" s="1"/>
  <c r="J9" i="84"/>
  <c r="E7" i="91" s="1"/>
  <c r="J16" i="84"/>
  <c r="E14" i="91" s="1"/>
  <c r="J30" i="84"/>
  <c r="H6" i="91" s="1"/>
  <c r="J38" i="84"/>
  <c r="H14" i="91" s="1"/>
  <c r="I6" i="88"/>
  <c r="AG7"/>
  <c r="O8"/>
  <c r="AM8"/>
  <c r="I12" i="89"/>
  <c r="I54"/>
  <c r="M46" i="74"/>
  <c r="AD46" s="1"/>
  <c r="AP46" s="1"/>
  <c r="P54"/>
  <c r="AF54" s="1"/>
  <c r="AR54" s="1"/>
  <c r="J51"/>
  <c r="AB51" s="1"/>
  <c r="AN51" s="1"/>
  <c r="J47"/>
  <c r="AB47" s="1"/>
  <c r="AN47" s="1"/>
  <c r="I34" i="85"/>
  <c r="I33"/>
  <c r="E34"/>
  <c r="N20" i="86"/>
  <c r="F41"/>
  <c r="N41"/>
  <c r="J42"/>
  <c r="F43"/>
  <c r="N43"/>
  <c r="F42" i="84"/>
  <c r="G18" i="91" s="1"/>
  <c r="N19" i="84"/>
  <c r="F17" i="91" s="1"/>
  <c r="N21" i="84"/>
  <c r="F19" i="91" s="1"/>
  <c r="H72" i="88"/>
  <c r="H72" i="77"/>
  <c r="AI72" s="1"/>
  <c r="H22" i="83"/>
  <c r="H67" i="77"/>
  <c r="AI67" s="1"/>
  <c r="H17" i="83"/>
  <c r="H20"/>
  <c r="L20" s="1"/>
  <c r="H70" i="88"/>
  <c r="H70" i="77"/>
  <c r="H68" i="88"/>
  <c r="H18" i="83"/>
  <c r="AI68" i="77"/>
  <c r="H69" i="88"/>
  <c r="H69" i="77"/>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E26" i="80"/>
  <c r="G39" i="90" s="1"/>
  <c r="M26" i="80"/>
  <c r="I39" i="90" s="1"/>
  <c r="C147"/>
  <c r="I90" i="77"/>
  <c r="K90" s="1"/>
  <c r="E8" i="82"/>
  <c r="D182" i="91"/>
  <c r="D181" i="90"/>
  <c r="K13" i="82"/>
  <c r="C154" i="90"/>
  <c r="D155"/>
  <c r="O98" i="77"/>
  <c r="Q98" s="1"/>
  <c r="I113" i="89"/>
  <c r="AM6" i="88"/>
  <c r="N29" i="84"/>
  <c r="I5" i="91" s="1"/>
  <c r="I75" i="89"/>
  <c r="AA10" i="88"/>
  <c r="V50" i="74" s="1"/>
  <c r="AJ50" s="1"/>
  <c r="AV50" s="1"/>
  <c r="F33" i="84"/>
  <c r="G9" i="91" s="1"/>
  <c r="I11" i="85"/>
  <c r="E41" i="91" s="1"/>
  <c r="E28" i="85"/>
  <c r="G41" i="91" s="1"/>
  <c r="O117" i="89"/>
  <c r="M28" i="85"/>
  <c r="I41" i="91" s="1"/>
  <c r="E30" i="85"/>
  <c r="G43" i="91" s="1"/>
  <c r="L29" i="86"/>
  <c r="H80" i="91" s="1"/>
  <c r="U31" i="89"/>
  <c r="K65" i="74"/>
  <c r="AC65" s="1"/>
  <c r="AO65" s="1"/>
  <c r="J9" i="86"/>
  <c r="E64" i="91" s="1"/>
  <c r="F36" i="86"/>
  <c r="G69" i="91" s="1"/>
  <c r="N36" i="86"/>
  <c r="I69" i="91" s="1"/>
  <c r="L7" i="83"/>
  <c r="D102" i="91" s="1"/>
  <c r="L8" i="83"/>
  <c r="D103" i="91" s="1"/>
  <c r="O89" i="88"/>
  <c r="O92"/>
  <c r="N30" i="79"/>
  <c r="I7" i="90" s="1"/>
  <c r="AM8" i="77"/>
  <c r="AO8" s="1"/>
  <c r="P30" i="79" s="1"/>
  <c r="I25" i="90" s="1"/>
  <c r="F35" i="79"/>
  <c r="G12" i="90" s="1"/>
  <c r="AA13" i="77"/>
  <c r="AM13"/>
  <c r="N35" i="79"/>
  <c r="I12" i="90" s="1"/>
  <c r="F30" i="81"/>
  <c r="G64" i="90" s="1"/>
  <c r="D147"/>
  <c r="O90" i="77"/>
  <c r="Q90" s="1"/>
  <c r="D149" i="90"/>
  <c r="O92" i="77"/>
  <c r="Q92" s="1"/>
  <c r="C151" i="90"/>
  <c r="E12" i="82"/>
  <c r="I94" i="77"/>
  <c r="K94" s="1"/>
  <c r="K15" i="82"/>
  <c r="D184" i="91"/>
  <c r="D183" i="90"/>
  <c r="L29" i="84"/>
  <c r="H23" i="91" s="1"/>
  <c r="I72" i="89"/>
  <c r="AA7" i="88"/>
  <c r="V47" i="74" s="1"/>
  <c r="AJ47" s="1"/>
  <c r="AV47" s="1"/>
  <c r="F30" i="84"/>
  <c r="G6" i="91" s="1"/>
  <c r="I117" i="89"/>
  <c r="AM10" i="88"/>
  <c r="N33" i="84"/>
  <c r="I9" i="91" s="1"/>
  <c r="I122" i="89"/>
  <c r="N38" i="84"/>
  <c r="I14" i="91" s="1"/>
  <c r="O60" i="88"/>
  <c r="L10" i="83"/>
  <c r="D105" i="91" s="1"/>
  <c r="D148"/>
  <c r="T9" i="77"/>
  <c r="N97"/>
  <c r="D101" i="90"/>
  <c r="D103"/>
  <c r="D105"/>
  <c r="D107"/>
  <c r="F7" i="79"/>
  <c r="D5" i="90" s="1"/>
  <c r="J8" i="79"/>
  <c r="E6" i="90" s="1"/>
  <c r="N9" i="79"/>
  <c r="F7" i="90" s="1"/>
  <c r="F11" i="79"/>
  <c r="D9" i="90" s="1"/>
  <c r="N11" i="79"/>
  <c r="F9" i="90" s="1"/>
  <c r="N12" i="79"/>
  <c r="F10" i="90" s="1"/>
  <c r="F14" i="79"/>
  <c r="D12" i="90" s="1"/>
  <c r="N14" i="79"/>
  <c r="F12" i="90" s="1"/>
  <c r="N15" i="79"/>
  <c r="F13" i="90" s="1"/>
  <c r="M25" i="80"/>
  <c r="I38" i="90" s="1"/>
  <c r="E29" i="80"/>
  <c r="G42" i="90" s="1"/>
  <c r="F11" i="81"/>
  <c r="D66" i="90" s="1"/>
  <c r="F15" i="81"/>
  <c r="D70" i="90" s="1"/>
  <c r="J28" i="81"/>
  <c r="H62" i="90" s="1"/>
  <c r="I16" i="82"/>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4" i="80"/>
  <c r="H51" i="90" s="1"/>
  <c r="O8" i="80"/>
  <c r="F52" i="90" s="1"/>
  <c r="K26" i="80"/>
  <c r="H53" i="90" s="1"/>
  <c r="O12" i="80"/>
  <c r="F56" i="90" s="1"/>
  <c r="L7" i="81"/>
  <c r="E80" i="90" s="1"/>
  <c r="H28" i="81"/>
  <c r="G80" i="90" s="1"/>
  <c r="P28" i="81"/>
  <c r="I80" i="90" s="1"/>
  <c r="L36" i="81"/>
  <c r="H88" i="90" s="1"/>
  <c r="H11" i="78"/>
  <c r="C105" i="90" s="1"/>
  <c r="H13" i="78"/>
  <c r="C107" i="90" s="1"/>
  <c r="J9" i="79"/>
  <c r="E7" i="90" s="1"/>
  <c r="J12" i="79"/>
  <c r="E10" i="90" s="1"/>
  <c r="N7" i="81"/>
  <c r="F62" i="90" s="1"/>
  <c r="N11" i="81"/>
  <c r="F66" i="90" s="1"/>
  <c r="J30" i="81"/>
  <c r="H64" i="90" s="1"/>
  <c r="J32" i="81"/>
  <c r="H66" i="90" s="1"/>
  <c r="N33" i="81"/>
  <c r="I67" i="90" s="1"/>
  <c r="J14" i="86"/>
  <c r="E69" i="91" s="1"/>
  <c r="I10" i="87"/>
  <c r="H71" i="88"/>
  <c r="H71" i="77"/>
  <c r="AI71" s="1"/>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H28" i="77"/>
  <c r="I28" s="1"/>
  <c r="M9" i="80"/>
  <c r="F39" i="90" s="1"/>
  <c r="F12" i="81"/>
  <c r="D67" i="90" s="1"/>
  <c r="N12" i="81"/>
  <c r="F67" i="90" s="1"/>
  <c r="J33" i="81"/>
  <c r="H67" i="90" s="1"/>
  <c r="C146"/>
  <c r="I89" i="77"/>
  <c r="K89" s="1"/>
  <c r="E7" i="82"/>
  <c r="I91" i="77"/>
  <c r="K91" s="1"/>
  <c r="E9" i="82"/>
  <c r="C148" i="90"/>
  <c r="F30" i="79"/>
  <c r="G7" i="90" s="1"/>
  <c r="AA8" i="77"/>
  <c r="AC8" s="1"/>
  <c r="H30" i="79" s="1"/>
  <c r="G25" i="90" s="1"/>
  <c r="I11" i="80"/>
  <c r="E41" i="90" s="1"/>
  <c r="E28" i="80"/>
  <c r="G41" i="90" s="1"/>
  <c r="M28" i="80"/>
  <c r="I41" i="90" s="1"/>
  <c r="J9" i="81"/>
  <c r="E64" i="90" s="1"/>
  <c r="L9" i="81"/>
  <c r="E82" i="90" s="1"/>
  <c r="N30" i="81"/>
  <c r="I64" i="90" s="1"/>
  <c r="P30" i="81"/>
  <c r="I82" i="90" s="1"/>
  <c r="D146"/>
  <c r="O89" i="77"/>
  <c r="Q89" s="1"/>
  <c r="D148" i="90"/>
  <c r="O91" i="77"/>
  <c r="Q91" s="1"/>
  <c r="D180" i="91"/>
  <c r="D179" i="90"/>
  <c r="K11" i="82"/>
  <c r="D153" i="90"/>
  <c r="O96" i="77"/>
  <c r="Q96" s="1"/>
  <c r="C155" i="90"/>
  <c r="E16" i="82"/>
  <c r="I98" i="77"/>
  <c r="K98" s="1"/>
  <c r="I29" i="89"/>
  <c r="O6" i="88"/>
  <c r="K46" i="74" s="1"/>
  <c r="AC46" s="1"/>
  <c r="AO46" s="1"/>
  <c r="J7" i="84"/>
  <c r="E5" i="91" s="1"/>
  <c r="I33" i="89"/>
  <c r="O10" i="88"/>
  <c r="J11" i="84"/>
  <c r="E9" i="91" s="1"/>
  <c r="U115" i="89"/>
  <c r="N31" i="86"/>
  <c r="I64" i="91" s="1"/>
  <c r="L12" i="86"/>
  <c r="E85" i="91" s="1"/>
  <c r="F9" i="79"/>
  <c r="D7" i="90" s="1"/>
  <c r="F12" i="79"/>
  <c r="D10" i="90" s="1"/>
  <c r="F15" i="79"/>
  <c r="D13" i="90" s="1"/>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8" i="80"/>
  <c r="E52" i="90" s="1"/>
  <c r="K9" i="80"/>
  <c r="E53" i="90" s="1"/>
  <c r="G26" i="80"/>
  <c r="G53" i="90" s="1"/>
  <c r="O26" i="80"/>
  <c r="I53" i="90" s="1"/>
  <c r="P8" i="81"/>
  <c r="F81" i="90" s="1"/>
  <c r="L12" i="81"/>
  <c r="E85" i="90" s="1"/>
  <c r="H33" i="81"/>
  <c r="G85" i="90" s="1"/>
  <c r="P33" i="81"/>
  <c r="I85" i="90" s="1"/>
  <c r="L13" i="81"/>
  <c r="E86" i="90" s="1"/>
  <c r="H36" i="81"/>
  <c r="G88" i="90" s="1"/>
  <c r="H8" i="78"/>
  <c r="C102" i="90" s="1"/>
  <c r="H10" i="78"/>
  <c r="C104" i="90" s="1"/>
  <c r="H12" i="78"/>
  <c r="C106" i="90" s="1"/>
  <c r="I26" i="80"/>
  <c r="H39" i="90" s="1"/>
  <c r="F9" i="81"/>
  <c r="D64" i="90" s="1"/>
  <c r="J12" i="81"/>
  <c r="E67" i="90" s="1"/>
  <c r="J14" i="81"/>
  <c r="E69" i="90" s="1"/>
  <c r="F35" i="81"/>
  <c r="G69" i="90" s="1"/>
  <c r="I9" i="82"/>
  <c r="P7" i="86"/>
  <c r="F80"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K12" s="1"/>
  <c r="F12" i="84"/>
  <c r="D10" i="91" s="1"/>
  <c r="I55" i="89"/>
  <c r="T12" i="88"/>
  <c r="N12" i="84"/>
  <c r="F10" i="91" s="1"/>
  <c r="I97" i="89"/>
  <c r="AF12" i="88"/>
  <c r="D52" i="74" s="1"/>
  <c r="I15" i="89"/>
  <c r="F14" i="84"/>
  <c r="D12" i="91" s="1"/>
  <c r="I57" i="89"/>
  <c r="N14" i="84"/>
  <c r="F12" i="91" s="1"/>
  <c r="I17" i="89"/>
  <c r="F16" i="84"/>
  <c r="D14" i="91" s="1"/>
  <c r="I84" i="89"/>
  <c r="I126"/>
  <c r="N41" i="84"/>
  <c r="I17" i="91" s="1"/>
  <c r="I86" i="89"/>
  <c r="F43" i="84"/>
  <c r="G19" i="91" s="1"/>
  <c r="I128" i="89"/>
  <c r="N43" i="84"/>
  <c r="I19" i="91" s="1"/>
  <c r="O70" i="89"/>
  <c r="M24" i="85"/>
  <c r="I37" i="91" s="1"/>
  <c r="O71" i="89"/>
  <c r="O31"/>
  <c r="O73"/>
  <c r="M26" i="85"/>
  <c r="I39" i="91" s="1"/>
  <c r="O63" i="89"/>
  <c r="M17" i="85"/>
  <c r="V69" i="74"/>
  <c r="AJ69" s="1"/>
  <c r="AV69" s="1"/>
  <c r="C180" i="91"/>
  <c r="G11" i="87"/>
  <c r="H94" i="88"/>
  <c r="H95"/>
  <c r="G11" i="82"/>
  <c r="G13"/>
  <c r="G15"/>
  <c r="N8" i="84"/>
  <c r="F6" i="91" s="1"/>
  <c r="N37" i="84"/>
  <c r="I13" i="91" s="1"/>
  <c r="I24" i="85"/>
  <c r="H37" i="91" s="1"/>
  <c r="N15" i="86"/>
  <c r="F70" i="91" s="1"/>
  <c r="N29" i="86"/>
  <c r="I62" i="91" s="1"/>
  <c r="J34" i="86"/>
  <c r="H67" i="91" s="1"/>
  <c r="I16" i="87"/>
  <c r="AA6" i="88"/>
  <c r="Q46" i="74" s="1"/>
  <c r="AG46" s="1"/>
  <c r="AS46" s="1"/>
  <c r="AM7" i="88"/>
  <c r="AO7" s="1"/>
  <c r="N9"/>
  <c r="T9"/>
  <c r="O98"/>
  <c r="O37" i="89"/>
  <c r="I50"/>
  <c r="I93" i="91"/>
  <c r="I30" i="89"/>
  <c r="J8" i="84"/>
  <c r="E6" i="91" s="1"/>
  <c r="I36" i="89"/>
  <c r="O13" i="88"/>
  <c r="I78" i="89"/>
  <c r="AA13" i="88"/>
  <c r="O122" i="89"/>
  <c r="M30" i="85"/>
  <c r="I43" i="91" s="1"/>
  <c r="U73" i="89"/>
  <c r="Q65" i="74"/>
  <c r="AG65" s="1"/>
  <c r="AS65" s="1"/>
  <c r="U100" i="89"/>
  <c r="T71" i="74"/>
  <c r="AI71" s="1"/>
  <c r="AU71" s="1"/>
  <c r="E91" i="90"/>
  <c r="D31" i="89"/>
  <c r="I91" i="90"/>
  <c r="I91" i="91"/>
  <c r="G92" i="90"/>
  <c r="D76" i="89"/>
  <c r="E93" i="90"/>
  <c r="E93" i="91"/>
  <c r="G94" i="90"/>
  <c r="G94" i="91"/>
  <c r="I34" i="89"/>
  <c r="N12" i="88"/>
  <c r="I76" i="89"/>
  <c r="Z12" i="88"/>
  <c r="AC12" s="1"/>
  <c r="I118" i="89"/>
  <c r="AL12" i="88"/>
  <c r="AO12" s="1"/>
  <c r="I37" i="89"/>
  <c r="J15" i="84"/>
  <c r="E13" i="91" s="1"/>
  <c r="I106" i="89"/>
  <c r="J42" i="84"/>
  <c r="H18" i="91" s="1"/>
  <c r="E7" i="85"/>
  <c r="D37" i="91" s="1"/>
  <c r="M7" i="85"/>
  <c r="F37" i="91" s="1"/>
  <c r="O10" i="89"/>
  <c r="E9" i="85"/>
  <c r="D39" i="91" s="1"/>
  <c r="O12" i="89"/>
  <c r="E11" i="85"/>
  <c r="D41" i="91" s="1"/>
  <c r="O100" i="89"/>
  <c r="T65" i="74"/>
  <c r="AI65" s="1"/>
  <c r="AU65" s="1"/>
  <c r="U12" i="89"/>
  <c r="U54"/>
  <c r="C156" i="91"/>
  <c r="I98" i="88"/>
  <c r="D157" i="91"/>
  <c r="I17" i="87"/>
  <c r="D159" i="91"/>
  <c r="I19" i="87"/>
  <c r="P12" i="86"/>
  <c r="F85" i="91" s="1"/>
  <c r="J37" i="86"/>
  <c r="H70" i="91" s="1"/>
  <c r="N93" i="88"/>
  <c r="I120" i="89"/>
  <c r="E91" i="91"/>
  <c r="H93" i="88"/>
  <c r="H92"/>
  <c r="O33" i="54"/>
  <c r="S30"/>
  <c r="O26"/>
  <c r="O31"/>
  <c r="K32"/>
  <c r="S28"/>
  <c r="K27"/>
  <c r="J10" i="74"/>
  <c r="AB10" s="1"/>
  <c r="AN10" s="1"/>
  <c r="O29" i="54"/>
  <c r="S14" i="74"/>
  <c r="AH14" s="1"/>
  <c r="AT14" s="1"/>
  <c r="S10"/>
  <c r="AH10" s="1"/>
  <c r="AT10" s="1"/>
  <c r="S32" i="54"/>
  <c r="K31"/>
  <c r="M14" i="74"/>
  <c r="AD14" s="1"/>
  <c r="AP14" s="1"/>
  <c r="M10"/>
  <c r="AD10" s="1"/>
  <c r="AP10" s="1"/>
  <c r="K29" i="54"/>
  <c r="K33"/>
  <c r="S26"/>
  <c r="K26"/>
  <c r="K22" i="7"/>
  <c r="H17" i="112"/>
  <c r="U96" i="89" l="1"/>
  <c r="AI43" i="88"/>
  <c r="X94" i="89" s="1"/>
  <c r="AU18" i="24"/>
  <c r="S18" i="113" s="1"/>
  <c r="I51" i="69" s="1"/>
  <c r="Q98" i="88"/>
  <c r="K16" i="87" s="1"/>
  <c r="Q94" i="88"/>
  <c r="K91" i="74" s="1"/>
  <c r="AC91" s="1"/>
  <c r="AO91" s="1"/>
  <c r="D152" i="91"/>
  <c r="J91" i="74"/>
  <c r="AB91" s="1"/>
  <c r="AN91" s="1"/>
  <c r="Q92" i="88"/>
  <c r="K89" i="74" s="1"/>
  <c r="AC89" s="1"/>
  <c r="AO89" s="1"/>
  <c r="D149" i="91"/>
  <c r="I9" i="87"/>
  <c r="Q90" i="88"/>
  <c r="K87" i="74" s="1"/>
  <c r="AC87" s="1"/>
  <c r="AO87" s="1"/>
  <c r="Q89" i="88"/>
  <c r="K86" i="74" s="1"/>
  <c r="AC86" s="1"/>
  <c r="AO86" s="1"/>
  <c r="I59" i="77"/>
  <c r="K59" s="1"/>
  <c r="J9" i="78" s="1"/>
  <c r="C129" i="90" s="1"/>
  <c r="AI59" i="77"/>
  <c r="AX8" i="10" s="1"/>
  <c r="I58" i="77"/>
  <c r="K58" s="1"/>
  <c r="J8" i="78" s="1"/>
  <c r="C128" i="90" s="1"/>
  <c r="AI58" i="77"/>
  <c r="AX7" i="10" s="1"/>
  <c r="I57" i="77"/>
  <c r="K57" s="1"/>
  <c r="J7" i="78" s="1"/>
  <c r="C127" i="90" s="1"/>
  <c r="AI57" i="77"/>
  <c r="AX6" i="10" s="1"/>
  <c r="AX20"/>
  <c r="AY20"/>
  <c r="AX17"/>
  <c r="AY17"/>
  <c r="AX19"/>
  <c r="AY19"/>
  <c r="AX16"/>
  <c r="AY16"/>
  <c r="AX21"/>
  <c r="AY21"/>
  <c r="AX18"/>
  <c r="AY18"/>
  <c r="O54" i="89"/>
  <c r="O94" i="88"/>
  <c r="U33" i="89"/>
  <c r="O59"/>
  <c r="E26" i="85"/>
  <c r="G39" i="91" s="1"/>
  <c r="I8" i="85"/>
  <c r="E38" i="91" s="1"/>
  <c r="E24" i="85"/>
  <c r="G37" i="91" s="1"/>
  <c r="M24" i="80"/>
  <c r="I37" i="90" s="1"/>
  <c r="AM9" i="77"/>
  <c r="AO9" s="1"/>
  <c r="P31" i="79" s="1"/>
  <c r="I26" i="90" s="1"/>
  <c r="O91" i="88"/>
  <c r="Q91" s="1"/>
  <c r="E25" i="80"/>
  <c r="G38" i="90" s="1"/>
  <c r="J8" i="81"/>
  <c r="E63" i="90" s="1"/>
  <c r="I8" i="87"/>
  <c r="O90" i="88"/>
  <c r="D150" i="91"/>
  <c r="I7" i="87"/>
  <c r="D147" i="91"/>
  <c r="O80" i="89"/>
  <c r="O75"/>
  <c r="O33"/>
  <c r="K48" i="74"/>
  <c r="AC48" s="1"/>
  <c r="AO48" s="1"/>
  <c r="O79" i="89"/>
  <c r="O96" i="88"/>
  <c r="Q96" s="1"/>
  <c r="I13" i="85"/>
  <c r="E43" i="91" s="1"/>
  <c r="F38" i="84"/>
  <c r="G14" i="91" s="1"/>
  <c r="J77" i="74"/>
  <c r="AB77" s="1"/>
  <c r="AN77" s="1"/>
  <c r="I12" i="87"/>
  <c r="O38" i="89"/>
  <c r="J55" i="74"/>
  <c r="AB55" s="1"/>
  <c r="AN55" s="1"/>
  <c r="P55"/>
  <c r="AF55" s="1"/>
  <c r="AR55" s="1"/>
  <c r="E29" i="85"/>
  <c r="G42" i="91" s="1"/>
  <c r="E25" i="85"/>
  <c r="G38" i="91" s="1"/>
  <c r="J57" i="74"/>
  <c r="AB57" s="1"/>
  <c r="AN57" s="1"/>
  <c r="J88"/>
  <c r="AB88" s="1"/>
  <c r="AN88" s="1"/>
  <c r="J93"/>
  <c r="AB93" s="1"/>
  <c r="AN93" s="1"/>
  <c r="J89"/>
  <c r="AB89" s="1"/>
  <c r="AN89" s="1"/>
  <c r="M62"/>
  <c r="AD62" s="1"/>
  <c r="AP62" s="1"/>
  <c r="AA27" i="88"/>
  <c r="I75" i="122"/>
  <c r="U60" i="88"/>
  <c r="W60" s="1"/>
  <c r="Y10" i="83"/>
  <c r="Q62" i="88"/>
  <c r="N12" i="83" s="1"/>
  <c r="D133" i="91" s="1"/>
  <c r="U62" i="88"/>
  <c r="W62" s="1"/>
  <c r="U57"/>
  <c r="W57" s="1"/>
  <c r="M73" i="74"/>
  <c r="AD73" s="1"/>
  <c r="AP73" s="1"/>
  <c r="U61" i="88"/>
  <c r="W61" s="1"/>
  <c r="U59"/>
  <c r="W59" s="1"/>
  <c r="M75" i="74"/>
  <c r="AD75" s="1"/>
  <c r="AP75" s="1"/>
  <c r="U58" i="88"/>
  <c r="W58" s="1"/>
  <c r="M74" i="74"/>
  <c r="AD74" s="1"/>
  <c r="AP74" s="1"/>
  <c r="Q61" i="88"/>
  <c r="AI25"/>
  <c r="K24" i="85" s="1"/>
  <c r="H51" i="91" s="1"/>
  <c r="M95" i="74"/>
  <c r="AD95" s="1"/>
  <c r="AP95" s="1"/>
  <c r="P86"/>
  <c r="AF86" s="1"/>
  <c r="AR86" s="1"/>
  <c r="M86"/>
  <c r="AD86" s="1"/>
  <c r="AP86" s="1"/>
  <c r="K63" i="88"/>
  <c r="M79" i="74"/>
  <c r="AD79" s="1"/>
  <c r="AP79" s="1"/>
  <c r="K79"/>
  <c r="AC79" s="1"/>
  <c r="AO79" s="1"/>
  <c r="P79"/>
  <c r="AF79" s="1"/>
  <c r="AR79" s="1"/>
  <c r="M88"/>
  <c r="AD88" s="1"/>
  <c r="AP88" s="1"/>
  <c r="M87"/>
  <c r="AD87" s="1"/>
  <c r="AP87" s="1"/>
  <c r="V53"/>
  <c r="AJ53" s="1"/>
  <c r="AV53" s="1"/>
  <c r="V54"/>
  <c r="AJ54" s="1"/>
  <c r="AV54" s="1"/>
  <c r="P50"/>
  <c r="AF50" s="1"/>
  <c r="AR50" s="1"/>
  <c r="V51"/>
  <c r="AJ51" s="1"/>
  <c r="AV51" s="1"/>
  <c r="X50" i="89"/>
  <c r="AG25" i="88"/>
  <c r="AG26"/>
  <c r="P89" i="74"/>
  <c r="AF89" s="1"/>
  <c r="AR89" s="1"/>
  <c r="P91"/>
  <c r="AF91" s="1"/>
  <c r="AR91" s="1"/>
  <c r="P95"/>
  <c r="AF95" s="1"/>
  <c r="AR95" s="1"/>
  <c r="P88"/>
  <c r="AF88" s="1"/>
  <c r="AR88" s="1"/>
  <c r="P87"/>
  <c r="AF87" s="1"/>
  <c r="AR87" s="1"/>
  <c r="Q60" i="88"/>
  <c r="P76" i="74"/>
  <c r="AF76" s="1"/>
  <c r="AR76" s="1"/>
  <c r="P93"/>
  <c r="AF93" s="1"/>
  <c r="AR93" s="1"/>
  <c r="K61" i="88"/>
  <c r="M77" i="74"/>
  <c r="AD77" s="1"/>
  <c r="AP77" s="1"/>
  <c r="K60" i="88"/>
  <c r="M76" i="74"/>
  <c r="AD76" s="1"/>
  <c r="AP76" s="1"/>
  <c r="K62" i="88"/>
  <c r="M78" i="74"/>
  <c r="AD78" s="1"/>
  <c r="AP78" s="1"/>
  <c r="D62"/>
  <c r="D60"/>
  <c r="AI27" i="88"/>
  <c r="D58" i="74"/>
  <c r="D55"/>
  <c r="P53"/>
  <c r="AF53" s="1"/>
  <c r="AR53" s="1"/>
  <c r="M48"/>
  <c r="AD48" s="1"/>
  <c r="AP48" s="1"/>
  <c r="M47"/>
  <c r="AD47" s="1"/>
  <c r="AP47" s="1"/>
  <c r="V48"/>
  <c r="AJ48" s="1"/>
  <c r="AV48" s="1"/>
  <c r="P48"/>
  <c r="AF48" s="1"/>
  <c r="AR48" s="1"/>
  <c r="M54"/>
  <c r="AD54" s="1"/>
  <c r="AP54" s="1"/>
  <c r="P46"/>
  <c r="AF46" s="1"/>
  <c r="AR46" s="1"/>
  <c r="S51"/>
  <c r="AH51" s="1"/>
  <c r="AT51" s="1"/>
  <c r="P51"/>
  <c r="AF51" s="1"/>
  <c r="AR51" s="1"/>
  <c r="V46"/>
  <c r="AJ46" s="1"/>
  <c r="AV46" s="1"/>
  <c r="J62"/>
  <c r="AB62" s="1"/>
  <c r="AN62" s="1"/>
  <c r="M57"/>
  <c r="AD57" s="1"/>
  <c r="AP57" s="1"/>
  <c r="O28" i="89"/>
  <c r="M8" i="85"/>
  <c r="F38" i="91" s="1"/>
  <c r="U29" i="89"/>
  <c r="U71"/>
  <c r="J58" i="74"/>
  <c r="AB58" s="1"/>
  <c r="AN58" s="1"/>
  <c r="J60"/>
  <c r="AB60" s="1"/>
  <c r="AN60" s="1"/>
  <c r="M29" i="80"/>
  <c r="I42" i="90" s="1"/>
  <c r="I8" i="80"/>
  <c r="E38" i="90" s="1"/>
  <c r="J11" i="86"/>
  <c r="E66" i="91" s="1"/>
  <c r="F33" i="86"/>
  <c r="G66" i="91" s="1"/>
  <c r="O29" i="89"/>
  <c r="N16" i="86"/>
  <c r="F71" i="91" s="1"/>
  <c r="E24" i="80"/>
  <c r="G37" i="90" s="1"/>
  <c r="G62" i="74"/>
  <c r="Z62" s="1"/>
  <c r="AL62" s="1"/>
  <c r="U16" i="89"/>
  <c r="U17"/>
  <c r="U59"/>
  <c r="S62" i="74"/>
  <c r="AH62" s="1"/>
  <c r="AT62" s="1"/>
  <c r="U75" i="89"/>
  <c r="S60" i="74"/>
  <c r="AH60" s="1"/>
  <c r="AT60" s="1"/>
  <c r="J56"/>
  <c r="AB56" s="1"/>
  <c r="AN56" s="1"/>
  <c r="N46"/>
  <c r="AE46" s="1"/>
  <c r="AQ46" s="1"/>
  <c r="T46"/>
  <c r="AI46" s="1"/>
  <c r="AU46" s="1"/>
  <c r="J10" i="81"/>
  <c r="E65" i="90" s="1"/>
  <c r="F15" i="86"/>
  <c r="D70" i="91" s="1"/>
  <c r="J36" i="81"/>
  <c r="H70" i="90" s="1"/>
  <c r="N15" i="81"/>
  <c r="F70" i="90" s="1"/>
  <c r="O15" i="113"/>
  <c r="H48" i="69" s="1"/>
  <c r="U44" i="88"/>
  <c r="W44"/>
  <c r="P10" i="86" s="1"/>
  <c r="F83" i="91" s="1"/>
  <c r="U26" i="88"/>
  <c r="W26"/>
  <c r="O8" i="85" s="1"/>
  <c r="F52" i="91" s="1"/>
  <c r="N36" i="81"/>
  <c r="I70" i="90" s="1"/>
  <c r="AM44" i="88"/>
  <c r="AO44" s="1"/>
  <c r="AM28"/>
  <c r="AO28"/>
  <c r="AG42"/>
  <c r="AI42"/>
  <c r="L30" i="86" s="1"/>
  <c r="H81" i="91" s="1"/>
  <c r="U25" i="88"/>
  <c r="W25"/>
  <c r="R49" i="89" s="1"/>
  <c r="F36" i="81"/>
  <c r="G70" i="90" s="1"/>
  <c r="N29" i="81"/>
  <c r="I63" i="90" s="1"/>
  <c r="I12" i="80"/>
  <c r="E42" i="90" s="1"/>
  <c r="AA44" i="88"/>
  <c r="AC44" s="1"/>
  <c r="AA28"/>
  <c r="AC28"/>
  <c r="J15" i="81"/>
  <c r="E70" i="90" s="1"/>
  <c r="F29" i="81"/>
  <c r="G63" i="90" s="1"/>
  <c r="I7" i="80"/>
  <c r="E37" i="90" s="1"/>
  <c r="AA42" i="88"/>
  <c r="O26"/>
  <c r="Q26"/>
  <c r="AG30"/>
  <c r="AI30"/>
  <c r="R100" i="89" s="1"/>
  <c r="U30" i="88"/>
  <c r="W30"/>
  <c r="O42"/>
  <c r="O25"/>
  <c r="Q25"/>
  <c r="AA46"/>
  <c r="O46"/>
  <c r="Q46"/>
  <c r="O30"/>
  <c r="Q30"/>
  <c r="K61" i="74" s="1"/>
  <c r="AC61" s="1"/>
  <c r="AO61" s="1"/>
  <c r="I46" i="88"/>
  <c r="I42"/>
  <c r="L22" i="7"/>
  <c r="I17" i="112"/>
  <c r="K13" i="113"/>
  <c r="G46" i="69" s="1"/>
  <c r="O11" i="113"/>
  <c r="H44" i="69" s="1"/>
  <c r="AI12" i="88"/>
  <c r="Q12"/>
  <c r="W9"/>
  <c r="W12"/>
  <c r="AI7"/>
  <c r="T47" i="74" s="1"/>
  <c r="AI47" s="1"/>
  <c r="AU47" s="1"/>
  <c r="AI9" i="88"/>
  <c r="Q9"/>
  <c r="AC7"/>
  <c r="Q47" i="74" s="1"/>
  <c r="AG47" s="1"/>
  <c r="AS47" s="1"/>
  <c r="Q7" i="88"/>
  <c r="K47" i="74" s="1"/>
  <c r="AC47" s="1"/>
  <c r="AO47" s="1"/>
  <c r="I75" i="120"/>
  <c r="I64" i="121"/>
  <c r="K15" i="113"/>
  <c r="G48" i="69" s="1"/>
  <c r="M25" i="113"/>
  <c r="N22" i="7"/>
  <c r="Q24" i="115"/>
  <c r="O65" i="7"/>
  <c r="I25" i="113"/>
  <c r="M22" i="7"/>
  <c r="O22"/>
  <c r="G17" i="112"/>
  <c r="J22" i="7"/>
  <c r="V10" i="74"/>
  <c r="AJ10" s="1"/>
  <c r="AV10" s="1"/>
  <c r="V14"/>
  <c r="AJ14" s="1"/>
  <c r="AV14" s="1"/>
  <c r="S22" i="24"/>
  <c r="J29" i="81"/>
  <c r="H63" i="90" s="1"/>
  <c r="N8" i="81"/>
  <c r="F63" i="90" s="1"/>
  <c r="F8" i="81"/>
  <c r="D63" i="90" s="1"/>
  <c r="I29" i="80"/>
  <c r="H42" i="90" s="1"/>
  <c r="M12" i="80"/>
  <c r="F42" i="90" s="1"/>
  <c r="I25" i="80"/>
  <c r="H38" i="90" s="1"/>
  <c r="M8" i="80"/>
  <c r="F38" i="90" s="1"/>
  <c r="I24" i="80"/>
  <c r="H37" i="90" s="1"/>
  <c r="M7" i="80"/>
  <c r="F37" i="90" s="1"/>
  <c r="H45" i="69"/>
  <c r="K10" i="74"/>
  <c r="AC10" s="1"/>
  <c r="AO10" s="1"/>
  <c r="Q10"/>
  <c r="AG10" s="1"/>
  <c r="AS10" s="1"/>
  <c r="W14"/>
  <c r="AK14" s="1"/>
  <c r="AW14" s="1"/>
  <c r="T10"/>
  <c r="AI10" s="1"/>
  <c r="AU10" s="1"/>
  <c r="K98" i="88"/>
  <c r="H95" i="74" s="1"/>
  <c r="AA95" s="1"/>
  <c r="AM95" s="1"/>
  <c r="K90" i="88"/>
  <c r="H87" i="74" s="1"/>
  <c r="AA87" s="1"/>
  <c r="AM87" s="1"/>
  <c r="K91" i="88"/>
  <c r="H88" i="74" s="1"/>
  <c r="AA88" s="1"/>
  <c r="AM88" s="1"/>
  <c r="K89" i="88"/>
  <c r="H86" i="74" s="1"/>
  <c r="AA86" s="1"/>
  <c r="AM86" s="1"/>
  <c r="H79"/>
  <c r="AA79" s="1"/>
  <c r="AM79" s="1"/>
  <c r="G139" i="69"/>
  <c r="Q22" i="24"/>
  <c r="K14" i="74" s="1"/>
  <c r="AC14" s="1"/>
  <c r="AO14" s="1"/>
  <c r="L14"/>
  <c r="AF44" i="88"/>
  <c r="AG43"/>
  <c r="H44"/>
  <c r="I43"/>
  <c r="I30"/>
  <c r="AF28"/>
  <c r="AG27"/>
  <c r="R94" i="89" s="1"/>
  <c r="T28" i="88"/>
  <c r="W28" s="1"/>
  <c r="U27"/>
  <c r="O9" i="85" s="1"/>
  <c r="F53" i="91" s="1"/>
  <c r="I28" i="88"/>
  <c r="K28" s="1"/>
  <c r="H59" i="74" s="1"/>
  <c r="AA59" s="1"/>
  <c r="AM59" s="1"/>
  <c r="N44" i="88"/>
  <c r="O43"/>
  <c r="N28"/>
  <c r="Q28" s="1"/>
  <c r="O27"/>
  <c r="AG44" i="77"/>
  <c r="AI44" s="1"/>
  <c r="L31" i="81" s="1"/>
  <c r="H83" i="90" s="1"/>
  <c r="AG43" i="77"/>
  <c r="AI43" s="1"/>
  <c r="L30" i="81" s="1"/>
  <c r="H82" i="90" s="1"/>
  <c r="U43" i="77"/>
  <c r="W43" s="1"/>
  <c r="P9" i="81" s="1"/>
  <c r="F82" i="90" s="1"/>
  <c r="I44" i="77"/>
  <c r="K44" s="1"/>
  <c r="I43"/>
  <c r="K43" s="1"/>
  <c r="H9" i="81" s="1"/>
  <c r="D82" i="90" s="1"/>
  <c r="T28" i="77"/>
  <c r="U28" s="1"/>
  <c r="W28" s="1"/>
  <c r="U27"/>
  <c r="W27" s="1"/>
  <c r="O9" i="80" s="1"/>
  <c r="F53" i="90" s="1"/>
  <c r="O17" i="89"/>
  <c r="J33" i="86"/>
  <c r="H66" i="91" s="1"/>
  <c r="J31" i="86"/>
  <c r="H64" i="91" s="1"/>
  <c r="I29" i="85"/>
  <c r="H42" i="91" s="1"/>
  <c r="M11" i="85"/>
  <c r="F41" i="91" s="1"/>
  <c r="O94" i="89"/>
  <c r="M9" i="85"/>
  <c r="F39" i="91" s="1"/>
  <c r="O52" i="89"/>
  <c r="M13" i="85"/>
  <c r="F43" i="91" s="1"/>
  <c r="L92" i="89"/>
  <c r="E12" i="85"/>
  <c r="D42" i="91" s="1"/>
  <c r="O16" i="89"/>
  <c r="E13" i="85"/>
  <c r="D43" i="91" s="1"/>
  <c r="U10" i="89"/>
  <c r="F11" i="86"/>
  <c r="D66" i="91" s="1"/>
  <c r="F8" i="86"/>
  <c r="D63" i="91" s="1"/>
  <c r="U93" i="89"/>
  <c r="J15" i="86"/>
  <c r="E70" i="91" s="1"/>
  <c r="I27" i="80"/>
  <c r="H40" i="90" s="1"/>
  <c r="O101" i="89"/>
  <c r="O58"/>
  <c r="U79"/>
  <c r="U37"/>
  <c r="F32" i="86"/>
  <c r="G65" i="91" s="1"/>
  <c r="U94" i="89"/>
  <c r="O96"/>
  <c r="F38" i="86"/>
  <c r="G71" i="91" s="1"/>
  <c r="M60" i="74"/>
  <c r="AD60" s="1"/>
  <c r="AP60" s="1"/>
  <c r="M58"/>
  <c r="AD58" s="1"/>
  <c r="AP58" s="1"/>
  <c r="I30" i="85"/>
  <c r="H43" i="91" s="1"/>
  <c r="S61" i="74"/>
  <c r="AH61" s="1"/>
  <c r="AT61" s="1"/>
  <c r="F37" i="86"/>
  <c r="G70" i="91" s="1"/>
  <c r="J14" i="74"/>
  <c r="AB14" s="1"/>
  <c r="AN14" s="1"/>
  <c r="K12" i="85"/>
  <c r="E56" i="91" s="1"/>
  <c r="L37" i="89"/>
  <c r="L30"/>
  <c r="Q51" i="74"/>
  <c r="AG51" s="1"/>
  <c r="AS51" s="1"/>
  <c r="G82"/>
  <c r="Z82" s="1"/>
  <c r="AL82" s="1"/>
  <c r="H34" i="84"/>
  <c r="G28" i="91" s="1"/>
  <c r="R37" i="89"/>
  <c r="C178" i="91"/>
  <c r="R92" i="89"/>
  <c r="N58" i="74"/>
  <c r="AE58" s="1"/>
  <c r="AQ58" s="1"/>
  <c r="L8" i="84"/>
  <c r="E24" i="91" s="1"/>
  <c r="T57" i="74"/>
  <c r="AI57" s="1"/>
  <c r="AU57" s="1"/>
  <c r="X58" i="89"/>
  <c r="K29" i="85"/>
  <c r="H56" i="91" s="1"/>
  <c r="J13" i="83"/>
  <c r="C134" i="91" s="1"/>
  <c r="P15" i="86"/>
  <c r="F88" i="91" s="1"/>
  <c r="E11" i="82"/>
  <c r="G26" i="85"/>
  <c r="G53" i="91" s="1"/>
  <c r="T61" i="74"/>
  <c r="AI61" s="1"/>
  <c r="AU61" s="1"/>
  <c r="K27" i="80"/>
  <c r="H54" i="90" s="1"/>
  <c r="M81" i="74"/>
  <c r="AD81" s="1"/>
  <c r="AP81" s="1"/>
  <c r="P9" i="86"/>
  <c r="F82" i="91" s="1"/>
  <c r="V66" i="74"/>
  <c r="AJ66" s="1"/>
  <c r="AV66" s="1"/>
  <c r="V59"/>
  <c r="AJ59" s="1"/>
  <c r="AV59" s="1"/>
  <c r="L10" i="81"/>
  <c r="E83" i="90" s="1"/>
  <c r="L15" i="84"/>
  <c r="E31" i="91" s="1"/>
  <c r="L34" i="84"/>
  <c r="H28" i="91" s="1"/>
  <c r="AG9" i="77"/>
  <c r="AI9" s="1"/>
  <c r="L31" i="79" s="1"/>
  <c r="H26" i="90" s="1"/>
  <c r="N13" i="79"/>
  <c r="F11" i="90" s="1"/>
  <c r="G24" i="85"/>
  <c r="G51" i="91" s="1"/>
  <c r="R79" i="89"/>
  <c r="V11" i="74"/>
  <c r="AJ11" s="1"/>
  <c r="AV11" s="1"/>
  <c r="F31" i="81"/>
  <c r="G65" i="90" s="1"/>
  <c r="L97" i="89"/>
  <c r="P15" i="84"/>
  <c r="F31" i="91" s="1"/>
  <c r="G29" i="85"/>
  <c r="G56" i="91" s="1"/>
  <c r="J11" i="74"/>
  <c r="AB11" s="1"/>
  <c r="AN11" s="1"/>
  <c r="S66"/>
  <c r="AH66" s="1"/>
  <c r="AT66" s="1"/>
  <c r="S11"/>
  <c r="AH11" s="1"/>
  <c r="AT11" s="1"/>
  <c r="P11"/>
  <c r="AF11" s="1"/>
  <c r="AR11" s="1"/>
  <c r="P66"/>
  <c r="AF66" s="1"/>
  <c r="AR66" s="1"/>
  <c r="M11"/>
  <c r="AD11" s="1"/>
  <c r="AP11" s="1"/>
  <c r="G66"/>
  <c r="Z66" s="1"/>
  <c r="AL66" s="1"/>
  <c r="J66"/>
  <c r="AB66" s="1"/>
  <c r="AN66" s="1"/>
  <c r="M66"/>
  <c r="AD66" s="1"/>
  <c r="AP66" s="1"/>
  <c r="R91" i="89"/>
  <c r="O12" i="85"/>
  <c r="F56" i="91" s="1"/>
  <c r="R58" i="89"/>
  <c r="W65" i="74"/>
  <c r="AK65" s="1"/>
  <c r="AW65" s="1"/>
  <c r="X113" i="89"/>
  <c r="F31" i="79"/>
  <c r="G8" i="90" s="1"/>
  <c r="C152"/>
  <c r="H9" i="78"/>
  <c r="C103" i="90" s="1"/>
  <c r="E10" i="82"/>
  <c r="C149" i="90"/>
  <c r="G59" i="74"/>
  <c r="Z59" s="1"/>
  <c r="AL59" s="1"/>
  <c r="G91"/>
  <c r="Z91" s="1"/>
  <c r="AL91" s="1"/>
  <c r="J52"/>
  <c r="AB52" s="1"/>
  <c r="AN52" s="1"/>
  <c r="G52"/>
  <c r="Z52" s="1"/>
  <c r="AL52" s="1"/>
  <c r="G94"/>
  <c r="Z94" s="1"/>
  <c r="AL94" s="1"/>
  <c r="W58"/>
  <c r="AK58" s="1"/>
  <c r="AW58" s="1"/>
  <c r="L100" i="89"/>
  <c r="C177" i="91"/>
  <c r="T58" i="74"/>
  <c r="AI58" s="1"/>
  <c r="AU58" s="1"/>
  <c r="G49"/>
  <c r="Z49" s="1"/>
  <c r="AL49" s="1"/>
  <c r="W48"/>
  <c r="AK48" s="1"/>
  <c r="AW48" s="1"/>
  <c r="W54"/>
  <c r="AK54" s="1"/>
  <c r="AW54" s="1"/>
  <c r="J92"/>
  <c r="AB92" s="1"/>
  <c r="AN92" s="1"/>
  <c r="J49"/>
  <c r="AB49" s="1"/>
  <c r="AN49" s="1"/>
  <c r="G92"/>
  <c r="Z92" s="1"/>
  <c r="AL92" s="1"/>
  <c r="G90"/>
  <c r="Z90" s="1"/>
  <c r="AL90" s="1"/>
  <c r="J90"/>
  <c r="AB90" s="1"/>
  <c r="AN90" s="1"/>
  <c r="W46"/>
  <c r="AK46" s="1"/>
  <c r="AW46" s="1"/>
  <c r="W57"/>
  <c r="AK57" s="1"/>
  <c r="AW57" s="1"/>
  <c r="G89"/>
  <c r="Z89" s="1"/>
  <c r="AL89" s="1"/>
  <c r="M59"/>
  <c r="AD59" s="1"/>
  <c r="AP59" s="1"/>
  <c r="W47"/>
  <c r="AK47" s="1"/>
  <c r="AW47" s="1"/>
  <c r="G93"/>
  <c r="Z93" s="1"/>
  <c r="AL93" s="1"/>
  <c r="G83"/>
  <c r="Z83" s="1"/>
  <c r="AL83" s="1"/>
  <c r="W56"/>
  <c r="AK56" s="1"/>
  <c r="AW56" s="1"/>
  <c r="L118" i="89"/>
  <c r="L13"/>
  <c r="K9" i="85"/>
  <c r="E53" i="91" s="1"/>
  <c r="N66" i="74"/>
  <c r="AE66" s="1"/>
  <c r="AQ66" s="1"/>
  <c r="G8" i="87"/>
  <c r="P9" i="84"/>
  <c r="F25" i="91" s="1"/>
  <c r="H12" i="84"/>
  <c r="D28" i="91" s="1"/>
  <c r="R73" i="89"/>
  <c r="L58"/>
  <c r="H15" i="84"/>
  <c r="D31" i="91" s="1"/>
  <c r="K51" i="74"/>
  <c r="AC51" s="1"/>
  <c r="AO51" s="1"/>
  <c r="G69"/>
  <c r="Z69" s="1"/>
  <c r="AL69" s="1"/>
  <c r="P69"/>
  <c r="AF69" s="1"/>
  <c r="AR69" s="1"/>
  <c r="W68"/>
  <c r="AK68" s="1"/>
  <c r="AW68" s="1"/>
  <c r="J69"/>
  <c r="AB69" s="1"/>
  <c r="AN69" s="1"/>
  <c r="X51" i="89"/>
  <c r="P8" i="86"/>
  <c r="F81" i="91" s="1"/>
  <c r="Q64" i="74"/>
  <c r="AG64" s="1"/>
  <c r="AS64" s="1"/>
  <c r="T64"/>
  <c r="AI64" s="1"/>
  <c r="AU64" s="1"/>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K26" i="85"/>
  <c r="H53" i="91" s="1"/>
  <c r="L7" i="86"/>
  <c r="E80" i="91" s="1"/>
  <c r="F32" i="84"/>
  <c r="G8" i="91" s="1"/>
  <c r="L12" i="84"/>
  <c r="E28" i="91" s="1"/>
  <c r="W51" i="74"/>
  <c r="AK51" s="1"/>
  <c r="AW51" s="1"/>
  <c r="H68"/>
  <c r="AA68" s="1"/>
  <c r="AM68" s="1"/>
  <c r="J75"/>
  <c r="AB75" s="1"/>
  <c r="AN75" s="1"/>
  <c r="H8" i="84"/>
  <c r="D24" i="91" s="1"/>
  <c r="R52" i="89"/>
  <c r="L121"/>
  <c r="L30" i="84"/>
  <c r="H24" i="91" s="1"/>
  <c r="H31" i="84"/>
  <c r="G25" i="91" s="1"/>
  <c r="L34" i="86"/>
  <c r="H85" i="91" s="1"/>
  <c r="G8" i="85"/>
  <c r="D52" i="91" s="1"/>
  <c r="G7" i="87"/>
  <c r="I13" i="82"/>
  <c r="H34" i="86"/>
  <c r="G85" i="91" s="1"/>
  <c r="N32" i="84"/>
  <c r="I8" i="91" s="1"/>
  <c r="I96" i="77"/>
  <c r="K96" s="1"/>
  <c r="C182" i="90" s="1"/>
  <c r="O26" i="85"/>
  <c r="I53" i="91" s="1"/>
  <c r="O25" i="85"/>
  <c r="I52" i="91" s="1"/>
  <c r="L37" i="84"/>
  <c r="H31" i="91" s="1"/>
  <c r="P7" i="84"/>
  <c r="F23" i="91" s="1"/>
  <c r="X37" i="89"/>
  <c r="R8"/>
  <c r="H73" i="74"/>
  <c r="AA73" s="1"/>
  <c r="AM73" s="1"/>
  <c r="L55" i="89"/>
  <c r="L115"/>
  <c r="L9" i="84"/>
  <c r="E25" i="91" s="1"/>
  <c r="I13" i="87"/>
  <c r="C176" i="91"/>
  <c r="L52" i="89"/>
  <c r="L31"/>
  <c r="C153" i="90"/>
  <c r="I11" i="82"/>
  <c r="R115" i="89"/>
  <c r="R31"/>
  <c r="L15" i="86"/>
  <c r="E88" i="91" s="1"/>
  <c r="H34" i="81"/>
  <c r="G86" i="90" s="1"/>
  <c r="X52" i="89"/>
  <c r="R113"/>
  <c r="R70"/>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K95"/>
  <c r="AC95" s="1"/>
  <c r="AO95" s="1"/>
  <c r="G84"/>
  <c r="Z84" s="1"/>
  <c r="AL84" s="1"/>
  <c r="J11" i="83"/>
  <c r="C132" i="91" s="1"/>
  <c r="H77" i="74"/>
  <c r="AA77" s="1"/>
  <c r="AM77" s="1"/>
  <c r="W63"/>
  <c r="AK63" s="1"/>
  <c r="AW63" s="1"/>
  <c r="P29" i="86"/>
  <c r="I80" i="91" s="1"/>
  <c r="N10" i="83"/>
  <c r="D131" i="91" s="1"/>
  <c r="K76" i="74"/>
  <c r="AC76" s="1"/>
  <c r="AO76" s="1"/>
  <c r="N11" i="83"/>
  <c r="D132" i="91" s="1"/>
  <c r="K77" i="74"/>
  <c r="AC77" s="1"/>
  <c r="AO77" s="1"/>
  <c r="J35" i="86"/>
  <c r="H68" i="91" s="1"/>
  <c r="S69" i="74"/>
  <c r="AH69" s="1"/>
  <c r="AT69" s="1"/>
  <c r="X121" i="89"/>
  <c r="H54" i="74"/>
  <c r="AA54" s="1"/>
  <c r="AM54" s="1"/>
  <c r="U53" i="89"/>
  <c r="P37" i="84"/>
  <c r="I31" i="91" s="1"/>
  <c r="D151" i="90"/>
  <c r="R71" i="89"/>
  <c r="P37" i="86"/>
  <c r="I88" i="91" s="1"/>
  <c r="U74" i="89"/>
  <c r="J10" i="79"/>
  <c r="E8" i="90" s="1"/>
  <c r="Q63" i="74"/>
  <c r="AG63" s="1"/>
  <c r="AS63" s="1"/>
  <c r="R29" i="89"/>
  <c r="K57" i="74"/>
  <c r="AC57" s="1"/>
  <c r="AO57" s="1"/>
  <c r="K8" i="85"/>
  <c r="E52" i="91" s="1"/>
  <c r="D155"/>
  <c r="J94" i="74"/>
  <c r="AB94" s="1"/>
  <c r="AN94" s="1"/>
  <c r="I15" i="87"/>
  <c r="K78" i="74"/>
  <c r="AC78" s="1"/>
  <c r="AO78" s="1"/>
  <c r="J10" i="83"/>
  <c r="C131" i="91" s="1"/>
  <c r="H76" i="74"/>
  <c r="AA76" s="1"/>
  <c r="AM76" s="1"/>
  <c r="M69"/>
  <c r="AD69" s="1"/>
  <c r="AP69" s="1"/>
  <c r="N13" i="86"/>
  <c r="F68" i="91" s="1"/>
  <c r="R28" i="89"/>
  <c r="K56" i="74"/>
  <c r="AC56" s="1"/>
  <c r="AO56" s="1"/>
  <c r="K7" i="85"/>
  <c r="E51" i="91" s="1"/>
  <c r="G85" i="74"/>
  <c r="Z85" s="1"/>
  <c r="AL85" s="1"/>
  <c r="H78"/>
  <c r="AA78" s="1"/>
  <c r="AM78" s="1"/>
  <c r="J12" i="83"/>
  <c r="C133" i="91" s="1"/>
  <c r="P34" i="81"/>
  <c r="I86" i="90" s="1"/>
  <c r="I74" i="89"/>
  <c r="N10" i="86"/>
  <c r="F65" i="91" s="1"/>
  <c r="AA9" i="88"/>
  <c r="Q49" i="74" s="1"/>
  <c r="AG49" s="1"/>
  <c r="AS49" s="1"/>
  <c r="P31" i="84"/>
  <c r="I25" i="91" s="1"/>
  <c r="L9" i="89"/>
  <c r="O94" i="77"/>
  <c r="Q94" s="1"/>
  <c r="K12" i="82" s="1"/>
  <c r="G25" i="85"/>
  <c r="G52" i="91" s="1"/>
  <c r="Q66" i="74"/>
  <c r="AG66" s="1"/>
  <c r="AS66" s="1"/>
  <c r="L73" i="89"/>
  <c r="P30" i="86"/>
  <c r="I81" i="91" s="1"/>
  <c r="W64" i="74"/>
  <c r="AK64" s="1"/>
  <c r="AW64" s="1"/>
  <c r="K64"/>
  <c r="AC64" s="1"/>
  <c r="AO64" s="1"/>
  <c r="N8" i="83"/>
  <c r="D129" i="91" s="1"/>
  <c r="K74" i="74"/>
  <c r="AC74" s="1"/>
  <c r="AO74" s="1"/>
  <c r="N7" i="83"/>
  <c r="D128" i="91" s="1"/>
  <c r="K73" i="74"/>
  <c r="AC73" s="1"/>
  <c r="AO73" s="1"/>
  <c r="H65"/>
  <c r="AA65" s="1"/>
  <c r="AM65" s="1"/>
  <c r="R10" i="89"/>
  <c r="H58" i="74"/>
  <c r="AA58" s="1"/>
  <c r="AM58" s="1"/>
  <c r="G9" i="85"/>
  <c r="D53" i="91" s="1"/>
  <c r="R7" i="89"/>
  <c r="H56" i="74"/>
  <c r="AA56" s="1"/>
  <c r="AM56" s="1"/>
  <c r="G7" i="85"/>
  <c r="D51" i="91" s="1"/>
  <c r="H9" i="84"/>
  <c r="D25" i="91" s="1"/>
  <c r="L8" i="89"/>
  <c r="H46" i="74"/>
  <c r="AA46" s="1"/>
  <c r="AM46" s="1"/>
  <c r="H7" i="84"/>
  <c r="D23" i="91" s="1"/>
  <c r="J32" i="84"/>
  <c r="H8" i="91"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P12" i="84"/>
  <c r="F28" i="91" s="1"/>
  <c r="AM9" i="88"/>
  <c r="L10" i="89"/>
  <c r="N35" i="86"/>
  <c r="I68" i="91" s="1"/>
  <c r="D182" i="90"/>
  <c r="D183" i="91"/>
  <c r="K14" i="82"/>
  <c r="C114" i="91"/>
  <c r="D114"/>
  <c r="C151"/>
  <c r="E11" i="87"/>
  <c r="D151" i="91"/>
  <c r="I11" i="87"/>
  <c r="O53" i="89"/>
  <c r="M10" i="85"/>
  <c r="F40" i="91" s="1"/>
  <c r="H66" i="74"/>
  <c r="AA66" s="1"/>
  <c r="AM66" s="1"/>
  <c r="L114" i="89"/>
  <c r="P30" i="84"/>
  <c r="I24" i="91" s="1"/>
  <c r="C152"/>
  <c r="E12" i="87"/>
  <c r="I94" i="88"/>
  <c r="O116" i="89"/>
  <c r="M27" i="85"/>
  <c r="I40" i="91" s="1"/>
  <c r="I10" i="85"/>
  <c r="E40" i="91" s="1"/>
  <c r="I98" i="89"/>
  <c r="J35" i="84"/>
  <c r="H11" i="91" s="1"/>
  <c r="AG12" i="88"/>
  <c r="C155" i="91"/>
  <c r="E15" i="87"/>
  <c r="N32" i="86"/>
  <c r="I65" i="91" s="1"/>
  <c r="U116" i="89"/>
  <c r="L29"/>
  <c r="L7" i="84"/>
  <c r="E23" i="91" s="1"/>
  <c r="D178"/>
  <c r="D177" i="90"/>
  <c r="K9" i="82"/>
  <c r="N13" i="81"/>
  <c r="F68" i="90" s="1"/>
  <c r="P13" i="81"/>
  <c r="F86" i="90" s="1"/>
  <c r="F34" i="79"/>
  <c r="G11" i="90" s="1"/>
  <c r="AA12" i="77"/>
  <c r="AC12" s="1"/>
  <c r="H34" i="79" s="1"/>
  <c r="G29" i="90" s="1"/>
  <c r="H21" i="78"/>
  <c r="H10" i="81"/>
  <c r="D83" i="90" s="1"/>
  <c r="C180"/>
  <c r="G12" i="82"/>
  <c r="D184" i="90"/>
  <c r="D185" i="91"/>
  <c r="K16" i="82"/>
  <c r="C178" i="90"/>
  <c r="G10" i="82"/>
  <c r="H18" i="78"/>
  <c r="I68" i="77"/>
  <c r="K68" s="1"/>
  <c r="I67"/>
  <c r="K67" s="1"/>
  <c r="H17" i="78"/>
  <c r="H69" i="74"/>
  <c r="AA69" s="1"/>
  <c r="AM69" s="1"/>
  <c r="F13" i="86"/>
  <c r="D68" i="91" s="1"/>
  <c r="I119" i="89"/>
  <c r="N35" i="84"/>
  <c r="I11" i="91" s="1"/>
  <c r="AM12" i="88"/>
  <c r="I35" i="89"/>
  <c r="J13" i="84"/>
  <c r="E11" i="91" s="1"/>
  <c r="O12" i="88"/>
  <c r="I53" i="89"/>
  <c r="U9" i="88"/>
  <c r="N49" i="74" s="1"/>
  <c r="AE49" s="1"/>
  <c r="AQ49" s="1"/>
  <c r="N10" i="84"/>
  <c r="F8" i="91" s="1"/>
  <c r="L71" i="89"/>
  <c r="H29" i="84"/>
  <c r="G23" i="91" s="1"/>
  <c r="J13" i="86"/>
  <c r="E68" i="91" s="1"/>
  <c r="K69" i="74"/>
  <c r="AC69" s="1"/>
  <c r="AO69" s="1"/>
  <c r="C177" i="90"/>
  <c r="G9" i="82"/>
  <c r="O10" i="80"/>
  <c r="F54" i="90" s="1"/>
  <c r="U9" i="77"/>
  <c r="W9" s="1"/>
  <c r="P10" i="79" s="1"/>
  <c r="F26" i="90" s="1"/>
  <c r="N10" i="79"/>
  <c r="F8" i="90" s="1"/>
  <c r="D176"/>
  <c r="D177" i="91"/>
  <c r="K8" i="82"/>
  <c r="K66" i="74"/>
  <c r="AC66" s="1"/>
  <c r="AO66" s="1"/>
  <c r="O27" i="80"/>
  <c r="I54" i="90" s="1"/>
  <c r="M27" i="80"/>
  <c r="I40" i="90" s="1"/>
  <c r="I10" i="80"/>
  <c r="E40" i="90" s="1"/>
  <c r="K10" i="80"/>
  <c r="E54" i="90" s="1"/>
  <c r="C112" i="91"/>
  <c r="D112"/>
  <c r="H20" i="78"/>
  <c r="I70" i="77"/>
  <c r="K70" s="1"/>
  <c r="C150" i="91"/>
  <c r="I92" i="88"/>
  <c r="E10" i="87"/>
  <c r="G16"/>
  <c r="O11" i="89"/>
  <c r="E10" i="85"/>
  <c r="D40" i="91" s="1"/>
  <c r="I77" i="89"/>
  <c r="AA12" i="88"/>
  <c r="Q52" i="74" s="1"/>
  <c r="AG52" s="1"/>
  <c r="AS52" s="1"/>
  <c r="F35" i="84"/>
  <c r="G11" i="91" s="1"/>
  <c r="U95" i="89"/>
  <c r="T66" i="74"/>
  <c r="AI66" s="1"/>
  <c r="AU66" s="1"/>
  <c r="J32" i="86"/>
  <c r="H65" i="91" s="1"/>
  <c r="I11" i="89"/>
  <c r="F10" i="84"/>
  <c r="D8" i="91" s="1"/>
  <c r="I9" i="88"/>
  <c r="M49" i="74" s="1"/>
  <c r="AD49" s="1"/>
  <c r="AP49" s="1"/>
  <c r="C153" i="91"/>
  <c r="E13" i="87"/>
  <c r="F35" i="86"/>
  <c r="G68" i="91" s="1"/>
  <c r="Q69" i="74"/>
  <c r="AG69" s="1"/>
  <c r="AS69" s="1"/>
  <c r="I56" i="89"/>
  <c r="N13" i="84"/>
  <c r="F11" i="91" s="1"/>
  <c r="U12" i="88"/>
  <c r="N52" i="74" s="1"/>
  <c r="AE52" s="1"/>
  <c r="AQ52" s="1"/>
  <c r="C154" i="91"/>
  <c r="I96" i="88"/>
  <c r="E14" i="87"/>
  <c r="X115" i="89"/>
  <c r="P31" i="86"/>
  <c r="I82" i="91" s="1"/>
  <c r="C175" i="90"/>
  <c r="G7" i="82"/>
  <c r="E10" i="80"/>
  <c r="D40" i="90" s="1"/>
  <c r="K28" i="77"/>
  <c r="G10" i="80" s="1"/>
  <c r="D54" i="90" s="1"/>
  <c r="C113" i="91"/>
  <c r="D113"/>
  <c r="J31" i="81"/>
  <c r="H65" i="90" s="1"/>
  <c r="L72" i="89"/>
  <c r="H30" i="84"/>
  <c r="G24" i="91" s="1"/>
  <c r="D178" i="90"/>
  <c r="D179" i="91"/>
  <c r="K10" i="82"/>
  <c r="C176" i="90"/>
  <c r="G8" i="82"/>
  <c r="G27" i="80"/>
  <c r="G54" i="90" s="1"/>
  <c r="E27" i="80"/>
  <c r="G40" i="90" s="1"/>
  <c r="J34" i="79"/>
  <c r="H11" i="90" s="1"/>
  <c r="AG12" i="77"/>
  <c r="AI12" s="1"/>
  <c r="L34" i="79" s="1"/>
  <c r="H29" i="90" s="1"/>
  <c r="I69" i="88"/>
  <c r="K69" s="1"/>
  <c r="C111" i="91"/>
  <c r="D111"/>
  <c r="L31" i="86"/>
  <c r="H82" i="91" s="1"/>
  <c r="I27" i="85"/>
  <c r="H40" i="91" s="1"/>
  <c r="O95" i="89"/>
  <c r="X100"/>
  <c r="L37" i="86"/>
  <c r="H88" i="91" s="1"/>
  <c r="H31" i="86"/>
  <c r="G82" i="91" s="1"/>
  <c r="X73" i="89"/>
  <c r="I32"/>
  <c r="J10" i="84"/>
  <c r="E8" i="91" s="1"/>
  <c r="O9" i="88"/>
  <c r="O74" i="89"/>
  <c r="E27" i="85"/>
  <c r="G40" i="91" s="1"/>
  <c r="Q59" i="74"/>
  <c r="AG59" s="1"/>
  <c r="AS59" s="1"/>
  <c r="I14" i="89"/>
  <c r="F13" i="84"/>
  <c r="D11" i="91" s="1"/>
  <c r="I12" i="88"/>
  <c r="H52" i="74" s="1"/>
  <c r="AA52" s="1"/>
  <c r="AM52" s="1"/>
  <c r="C184" i="90"/>
  <c r="G16" i="82"/>
  <c r="K7"/>
  <c r="D176" i="91"/>
  <c r="D175" i="90"/>
  <c r="L34" i="81"/>
  <c r="H86" i="90" s="1"/>
  <c r="J34" i="81"/>
  <c r="H68" i="90" s="1"/>
  <c r="F13" i="81"/>
  <c r="D68" i="90" s="1"/>
  <c r="H13" i="81"/>
  <c r="D86" i="90" s="1"/>
  <c r="N34" i="79"/>
  <c r="I11" i="90" s="1"/>
  <c r="AM12" i="77"/>
  <c r="AO12" s="1"/>
  <c r="P34" i="79" s="1"/>
  <c r="I29" i="90" s="1"/>
  <c r="D154"/>
  <c r="I15" i="82"/>
  <c r="L113" i="89"/>
  <c r="P29" i="84"/>
  <c r="I23" i="91" s="1"/>
  <c r="I69" i="77"/>
  <c r="K69" s="1"/>
  <c r="H19" i="78"/>
  <c r="I68" i="88"/>
  <c r="K68" s="1"/>
  <c r="M16" i="75" s="1"/>
  <c r="I70" i="88"/>
  <c r="K70" s="1"/>
  <c r="I67"/>
  <c r="K67" s="1"/>
  <c r="M15" i="75" s="1"/>
  <c r="H22" i="78"/>
  <c r="AQ49" i="24"/>
  <c r="AR49" s="1"/>
  <c r="AJ49"/>
  <c r="AK49" s="1"/>
  <c r="AC49"/>
  <c r="AD49" s="1"/>
  <c r="V49"/>
  <c r="W49" s="1"/>
  <c r="O49"/>
  <c r="P49" s="1"/>
  <c r="AQ47"/>
  <c r="AR47" s="1"/>
  <c r="AJ47"/>
  <c r="AK47" s="1"/>
  <c r="AC47"/>
  <c r="AD47" s="1"/>
  <c r="V47"/>
  <c r="W47" s="1"/>
  <c r="O47"/>
  <c r="P47" s="1"/>
  <c r="AI44" i="88" l="1"/>
  <c r="X95" i="89" s="1"/>
  <c r="K14" i="87"/>
  <c r="K93" i="74"/>
  <c r="AC93" s="1"/>
  <c r="AO93" s="1"/>
  <c r="K12" i="87"/>
  <c r="K10"/>
  <c r="K88" i="74"/>
  <c r="AC88" s="1"/>
  <c r="AO88" s="1"/>
  <c r="K9" i="87"/>
  <c r="K8"/>
  <c r="K7"/>
  <c r="AC46" i="88"/>
  <c r="AC42"/>
  <c r="Q43"/>
  <c r="Q42"/>
  <c r="H82" i="74"/>
  <c r="AA82" s="1"/>
  <c r="AM82" s="1"/>
  <c r="H83"/>
  <c r="AA83" s="1"/>
  <c r="AM83" s="1"/>
  <c r="K49"/>
  <c r="AC49" s="1"/>
  <c r="AO49" s="1"/>
  <c r="C185" i="91"/>
  <c r="J10" i="86"/>
  <c r="E65" i="91" s="1"/>
  <c r="U32" i="89"/>
  <c r="K52" i="74"/>
  <c r="AC52" s="1"/>
  <c r="AO52" s="1"/>
  <c r="T52"/>
  <c r="AI52" s="1"/>
  <c r="AU52" s="1"/>
  <c r="T49"/>
  <c r="AI49" s="1"/>
  <c r="AU49" s="1"/>
  <c r="X92" i="89"/>
  <c r="T56" i="74"/>
  <c r="AI56" s="1"/>
  <c r="AU56" s="1"/>
  <c r="N56"/>
  <c r="AE56" s="1"/>
  <c r="AQ56" s="1"/>
  <c r="O7" i="85"/>
  <c r="F51" i="91" s="1"/>
  <c r="G9" i="87"/>
  <c r="N77" i="74"/>
  <c r="AE77" s="1"/>
  <c r="AQ77" s="1"/>
  <c r="AA11" i="83"/>
  <c r="N73" i="74"/>
  <c r="AE73" s="1"/>
  <c r="AQ73" s="1"/>
  <c r="AA7" i="83"/>
  <c r="N76" i="74"/>
  <c r="AE76" s="1"/>
  <c r="AQ76" s="1"/>
  <c r="AA10" i="83"/>
  <c r="N74" i="74"/>
  <c r="AE74" s="1"/>
  <c r="AQ74" s="1"/>
  <c r="AA8" i="83"/>
  <c r="N75" i="74"/>
  <c r="AE75" s="1"/>
  <c r="AQ75" s="1"/>
  <c r="AA9" i="83"/>
  <c r="N78" i="74"/>
  <c r="AE78" s="1"/>
  <c r="AQ78" s="1"/>
  <c r="AA12" i="83"/>
  <c r="M89" i="74"/>
  <c r="AD89" s="1"/>
  <c r="AP89" s="1"/>
  <c r="M91"/>
  <c r="AD91" s="1"/>
  <c r="AP91" s="1"/>
  <c r="K58"/>
  <c r="AC58" s="1"/>
  <c r="AO58" s="1"/>
  <c r="P58"/>
  <c r="AF58" s="1"/>
  <c r="AR58" s="1"/>
  <c r="AI28" i="88"/>
  <c r="D59" i="74"/>
  <c r="K43" i="88"/>
  <c r="K46"/>
  <c r="X16" i="89" s="1"/>
  <c r="P61" i="74"/>
  <c r="AF61" s="1"/>
  <c r="AR61" s="1"/>
  <c r="P56"/>
  <c r="AF56" s="1"/>
  <c r="AR56" s="1"/>
  <c r="P57"/>
  <c r="AF57" s="1"/>
  <c r="AR57" s="1"/>
  <c r="P49"/>
  <c r="AF49" s="1"/>
  <c r="AR49" s="1"/>
  <c r="M52"/>
  <c r="AD52" s="1"/>
  <c r="AP52" s="1"/>
  <c r="M82"/>
  <c r="AD82" s="1"/>
  <c r="AP82" s="1"/>
  <c r="M93"/>
  <c r="AD93" s="1"/>
  <c r="AP93" s="1"/>
  <c r="K30" i="88"/>
  <c r="M61" i="74"/>
  <c r="AD61" s="1"/>
  <c r="AP61" s="1"/>
  <c r="S56"/>
  <c r="AH56" s="1"/>
  <c r="AT56" s="1"/>
  <c r="S57"/>
  <c r="AH57" s="1"/>
  <c r="AT57" s="1"/>
  <c r="S49"/>
  <c r="AH49" s="1"/>
  <c r="AT49" s="1"/>
  <c r="S52"/>
  <c r="AH52" s="1"/>
  <c r="AT52" s="1"/>
  <c r="P52"/>
  <c r="AF52" s="1"/>
  <c r="AR52" s="1"/>
  <c r="V52"/>
  <c r="AJ52" s="1"/>
  <c r="AV52" s="1"/>
  <c r="V49"/>
  <c r="AJ49" s="1"/>
  <c r="AV49" s="1"/>
  <c r="S58"/>
  <c r="AH58" s="1"/>
  <c r="AT58" s="1"/>
  <c r="N61"/>
  <c r="AE61" s="1"/>
  <c r="AQ61" s="1"/>
  <c r="X93" i="89"/>
  <c r="N57" i="74"/>
  <c r="AE57" s="1"/>
  <c r="AQ57" s="1"/>
  <c r="R50" i="89"/>
  <c r="H15" i="86"/>
  <c r="D88" i="91" s="1"/>
  <c r="X10" i="89"/>
  <c r="H9" i="86"/>
  <c r="D82" i="91" s="1"/>
  <c r="I44" i="88"/>
  <c r="K44"/>
  <c r="K42"/>
  <c r="X8" i="89" s="1"/>
  <c r="L30" i="7"/>
  <c r="N30"/>
  <c r="K32"/>
  <c r="M32"/>
  <c r="O32"/>
  <c r="K30"/>
  <c r="M30"/>
  <c r="O30"/>
  <c r="L32"/>
  <c r="N32"/>
  <c r="M10" i="114"/>
  <c r="H65" i="69" s="1"/>
  <c r="Q12" i="114"/>
  <c r="I67" i="69" s="1"/>
  <c r="S47" i="24"/>
  <c r="S48" s="1"/>
  <c r="I10" i="114"/>
  <c r="G65" i="69" s="1"/>
  <c r="Q10" i="114"/>
  <c r="I65" i="69" s="1"/>
  <c r="M12" i="114"/>
  <c r="H67" i="69" s="1"/>
  <c r="I12" i="114"/>
  <c r="G67" i="69" s="1"/>
  <c r="K92" i="88"/>
  <c r="H89" i="74" s="1"/>
  <c r="AA89" s="1"/>
  <c r="AM89" s="1"/>
  <c r="H91"/>
  <c r="AA91" s="1"/>
  <c r="AM91" s="1"/>
  <c r="K94" i="88"/>
  <c r="H93" i="74"/>
  <c r="AA93" s="1"/>
  <c r="AM93" s="1"/>
  <c r="K96" i="88"/>
  <c r="G12" i="85"/>
  <c r="D56" i="91" s="1"/>
  <c r="H61" i="74"/>
  <c r="AA61" s="1"/>
  <c r="AM61" s="1"/>
  <c r="K9" i="88"/>
  <c r="H49" i="74" s="1"/>
  <c r="AA49" s="1"/>
  <c r="AM49" s="1"/>
  <c r="U44" i="77"/>
  <c r="W44" s="1"/>
  <c r="P10" i="81" s="1"/>
  <c r="F83" i="90" s="1"/>
  <c r="N10" i="81"/>
  <c r="F65" i="90" s="1"/>
  <c r="O28" i="88"/>
  <c r="O44"/>
  <c r="Q44" s="1"/>
  <c r="X32" i="89" s="1"/>
  <c r="U28" i="88"/>
  <c r="N59" i="74" s="1"/>
  <c r="AE59" s="1"/>
  <c r="AQ59" s="1"/>
  <c r="AG28" i="88"/>
  <c r="T59" i="74" s="1"/>
  <c r="AI59" s="1"/>
  <c r="AU59" s="1"/>
  <c r="AG44" i="88"/>
  <c r="M10" i="80"/>
  <c r="F40" i="90" s="1"/>
  <c r="F10" i="81"/>
  <c r="D65" i="90" s="1"/>
  <c r="O32" i="89"/>
  <c r="F10" i="86"/>
  <c r="D65" i="91" s="1"/>
  <c r="U11" i="89"/>
  <c r="R16"/>
  <c r="J59" i="74"/>
  <c r="AB59" s="1"/>
  <c r="AN59" s="1"/>
  <c r="S59"/>
  <c r="AH59" s="1"/>
  <c r="AT59" s="1"/>
  <c r="M83"/>
  <c r="AD83" s="1"/>
  <c r="AP83" s="1"/>
  <c r="M84"/>
  <c r="AD84" s="1"/>
  <c r="AP84" s="1"/>
  <c r="M85"/>
  <c r="AD85" s="1"/>
  <c r="AP85" s="1"/>
  <c r="M20"/>
  <c r="AD20" s="1"/>
  <c r="AP20" s="1"/>
  <c r="J21"/>
  <c r="AB21" s="1"/>
  <c r="AN21" s="1"/>
  <c r="W66"/>
  <c r="AK66" s="1"/>
  <c r="AW66" s="1"/>
  <c r="J20"/>
  <c r="AB20" s="1"/>
  <c r="AN20" s="1"/>
  <c r="S20"/>
  <c r="AH20" s="1"/>
  <c r="AT20" s="1"/>
  <c r="S21"/>
  <c r="AH21" s="1"/>
  <c r="AT21" s="1"/>
  <c r="M21"/>
  <c r="AD21" s="1"/>
  <c r="AP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C2" i="90"/>
  <c r="C2" i="91"/>
  <c r="E3" i="84"/>
  <c r="L56" i="89"/>
  <c r="P13" i="84"/>
  <c r="F29" i="91" s="1"/>
  <c r="J20" i="78"/>
  <c r="L98" i="89"/>
  <c r="L35" i="84"/>
  <c r="H29" i="91" s="1"/>
  <c r="K82" i="74"/>
  <c r="AC82" s="1"/>
  <c r="AO82" s="1"/>
  <c r="J17" i="83"/>
  <c r="J19" i="78"/>
  <c r="L14" i="89"/>
  <c r="H13" i="84"/>
  <c r="D29" i="91" s="1"/>
  <c r="J19" i="83"/>
  <c r="N19" s="1"/>
  <c r="H35" i="86"/>
  <c r="G86" i="91" s="1"/>
  <c r="C110" i="90"/>
  <c r="D110"/>
  <c r="C111"/>
  <c r="D111"/>
  <c r="K10" i="85"/>
  <c r="E54" i="91" s="1"/>
  <c r="H10" i="86"/>
  <c r="D83" i="91" s="1"/>
  <c r="X11" i="89"/>
  <c r="P35" i="86"/>
  <c r="I86" i="91" s="1"/>
  <c r="C113" i="90"/>
  <c r="D113"/>
  <c r="J20" i="83"/>
  <c r="N20" s="1"/>
  <c r="R74" i="89"/>
  <c r="G27" i="85"/>
  <c r="G54" i="91" s="1"/>
  <c r="C183"/>
  <c r="G14" i="87"/>
  <c r="L13" i="86"/>
  <c r="E86" i="91" s="1"/>
  <c r="L35" i="89"/>
  <c r="L13" i="84"/>
  <c r="E29" i="91" s="1"/>
  <c r="J18" i="78"/>
  <c r="C112" i="90"/>
  <c r="D112"/>
  <c r="R116" i="89"/>
  <c r="O27" i="85"/>
  <c r="I54" i="91" s="1"/>
  <c r="R53" i="89"/>
  <c r="K83" i="74"/>
  <c r="AC83" s="1"/>
  <c r="AO83" s="1"/>
  <c r="J18" i="83"/>
  <c r="L11" i="89"/>
  <c r="H10" i="84"/>
  <c r="D26" i="91" s="1"/>
  <c r="R11" i="89"/>
  <c r="G10" i="85"/>
  <c r="D54" i="91" s="1"/>
  <c r="P10" i="84"/>
  <c r="F26" i="91" s="1"/>
  <c r="L53" i="89"/>
  <c r="L32"/>
  <c r="L10" i="84"/>
  <c r="E26" i="91" s="1"/>
  <c r="R95" i="89"/>
  <c r="L77"/>
  <c r="H35" i="84"/>
  <c r="G29" i="91" s="1"/>
  <c r="C179"/>
  <c r="G10" i="87"/>
  <c r="L119" i="89"/>
  <c r="P35" i="84"/>
  <c r="I29" i="91" s="1"/>
  <c r="H13" i="86"/>
  <c r="D86" i="91" s="1"/>
  <c r="J17" i="78"/>
  <c r="X116" i="89"/>
  <c r="P32" i="86"/>
  <c r="I83" i="91" s="1"/>
  <c r="C181"/>
  <c r="G12" i="87"/>
  <c r="AE47" i="24"/>
  <c r="AG47" s="1"/>
  <c r="X49"/>
  <c r="Z49" s="1"/>
  <c r="Z50" s="1"/>
  <c r="Q47"/>
  <c r="AS47"/>
  <c r="X20" i="74" s="1"/>
  <c r="AL49" i="24"/>
  <c r="V21" i="74" s="1"/>
  <c r="AJ21" s="1"/>
  <c r="AV21" s="1"/>
  <c r="AL47" i="24"/>
  <c r="V20" i="74" s="1"/>
  <c r="AJ20" s="1"/>
  <c r="AV20" s="1"/>
  <c r="AE49" i="24"/>
  <c r="AG49" s="1"/>
  <c r="X47"/>
  <c r="Z47" s="1"/>
  <c r="Z48" s="1"/>
  <c r="Q49"/>
  <c r="S49" s="1"/>
  <c r="S50" s="1"/>
  <c r="AS49"/>
  <c r="X21" i="74" s="1"/>
  <c r="AQ51" i="24"/>
  <c r="AR51" s="1"/>
  <c r="AJ51"/>
  <c r="AK51" s="1"/>
  <c r="AC51"/>
  <c r="AD51" s="1"/>
  <c r="V51"/>
  <c r="W51" s="1"/>
  <c r="I24" i="112" s="1"/>
  <c r="O51" i="24"/>
  <c r="P51" s="1"/>
  <c r="H24" i="112" s="1"/>
  <c r="AQ45" i="24"/>
  <c r="AR45" s="1"/>
  <c r="AJ45"/>
  <c r="AK45" s="1"/>
  <c r="AC45"/>
  <c r="AD45" s="1"/>
  <c r="V45"/>
  <c r="W45" s="1"/>
  <c r="O45"/>
  <c r="P45" s="1"/>
  <c r="AQ43"/>
  <c r="AR43" s="1"/>
  <c r="AJ43"/>
  <c r="AK43" s="1"/>
  <c r="AC43"/>
  <c r="AD43" s="1"/>
  <c r="V43"/>
  <c r="W43" s="1"/>
  <c r="O43"/>
  <c r="P43" s="1"/>
  <c r="AQ53"/>
  <c r="AR53" s="1"/>
  <c r="AJ53"/>
  <c r="AK53" s="1"/>
  <c r="AC53"/>
  <c r="AD53" s="1"/>
  <c r="V53"/>
  <c r="W53" s="1"/>
  <c r="O53"/>
  <c r="L32" i="86" l="1"/>
  <c r="H83" i="91" s="1"/>
  <c r="AU49" i="24"/>
  <c r="AU50" s="1"/>
  <c r="AU47"/>
  <c r="AN49"/>
  <c r="AN47"/>
  <c r="O10" i="114" s="1"/>
  <c r="O11" s="1"/>
  <c r="H98" i="69" s="1"/>
  <c r="H37" i="86"/>
  <c r="G88" i="91" s="1"/>
  <c r="X79" i="89"/>
  <c r="X71"/>
  <c r="X72"/>
  <c r="H30" i="86"/>
  <c r="G81" i="91" s="1"/>
  <c r="L9" i="86"/>
  <c r="E82" i="91" s="1"/>
  <c r="X31" i="89"/>
  <c r="X29"/>
  <c r="X30"/>
  <c r="L8" i="86"/>
  <c r="E81" i="91" s="1"/>
  <c r="L10" i="86"/>
  <c r="E83" i="91" s="1"/>
  <c r="K59" i="74"/>
  <c r="AC59" s="1"/>
  <c r="AO59" s="1"/>
  <c r="P59"/>
  <c r="AF59" s="1"/>
  <c r="AR59" s="1"/>
  <c r="H8" i="86"/>
  <c r="D81" i="91" s="1"/>
  <c r="X9" i="89"/>
  <c r="L36" i="7"/>
  <c r="I30" i="112"/>
  <c r="P20" i="74"/>
  <c r="AF20" s="1"/>
  <c r="AR20" s="1"/>
  <c r="P21"/>
  <c r="AF21" s="1"/>
  <c r="AR21" s="1"/>
  <c r="M36" i="7"/>
  <c r="O36"/>
  <c r="L26"/>
  <c r="N26"/>
  <c r="K28"/>
  <c r="M28"/>
  <c r="O28"/>
  <c r="L34"/>
  <c r="N34"/>
  <c r="N36"/>
  <c r="K26"/>
  <c r="M26"/>
  <c r="O26"/>
  <c r="L28"/>
  <c r="N28"/>
  <c r="K34"/>
  <c r="M34"/>
  <c r="O34"/>
  <c r="Z53" i="24"/>
  <c r="O12" i="114"/>
  <c r="H99" i="69" s="1"/>
  <c r="AN50" i="24"/>
  <c r="S12" i="114"/>
  <c r="I99" i="69" s="1"/>
  <c r="K12" i="114"/>
  <c r="G99" i="69" s="1"/>
  <c r="AG50" i="24"/>
  <c r="S10" i="114"/>
  <c r="S11" s="1"/>
  <c r="I98" i="69" s="1"/>
  <c r="AU48" i="24"/>
  <c r="AN48"/>
  <c r="K10" i="114"/>
  <c r="G97" i="69" s="1"/>
  <c r="AG48" i="24"/>
  <c r="AG51"/>
  <c r="K14" i="114" s="1"/>
  <c r="G101" i="69" s="1"/>
  <c r="I14" i="114"/>
  <c r="G69" i="69" s="1"/>
  <c r="M16" i="114"/>
  <c r="H71" i="69" s="1"/>
  <c r="I6" i="114"/>
  <c r="G61" i="69" s="1"/>
  <c r="Q6" i="114"/>
  <c r="I61" i="69" s="1"/>
  <c r="AN45" i="24"/>
  <c r="M8" i="114"/>
  <c r="H63" i="69" s="1"/>
  <c r="AU51" i="24"/>
  <c r="S14" i="114" s="1"/>
  <c r="I101" i="69" s="1"/>
  <c r="Q14" i="114"/>
  <c r="I69" i="69" s="1"/>
  <c r="I16" i="114"/>
  <c r="G71" i="69" s="1"/>
  <c r="Q16" i="114"/>
  <c r="I71" i="69" s="1"/>
  <c r="M6" i="114"/>
  <c r="H61" i="69" s="1"/>
  <c r="I8" i="114"/>
  <c r="G63" i="69" s="1"/>
  <c r="Q8" i="114"/>
  <c r="I63" i="69" s="1"/>
  <c r="AN51" i="24"/>
  <c r="O14" i="114" s="1"/>
  <c r="H101" i="69" s="1"/>
  <c r="M14" i="114"/>
  <c r="H69" i="69" s="1"/>
  <c r="AE53" i="24"/>
  <c r="R24" i="74" s="1"/>
  <c r="AS53" i="24"/>
  <c r="X24" i="74" s="1"/>
  <c r="X53" i="24"/>
  <c r="O24" i="74" s="1"/>
  <c r="AL53" i="24"/>
  <c r="U24" i="74" s="1"/>
  <c r="N20"/>
  <c r="AE20" s="1"/>
  <c r="AQ20" s="1"/>
  <c r="O20"/>
  <c r="T20"/>
  <c r="AI20" s="1"/>
  <c r="AU20" s="1"/>
  <c r="U20"/>
  <c r="N21"/>
  <c r="AE21" s="1"/>
  <c r="AQ21" s="1"/>
  <c r="O21"/>
  <c r="K21"/>
  <c r="AC21" s="1"/>
  <c r="AO21" s="1"/>
  <c r="L21"/>
  <c r="Q21"/>
  <c r="AG21" s="1"/>
  <c r="AS21" s="1"/>
  <c r="R21"/>
  <c r="T21"/>
  <c r="AI21" s="1"/>
  <c r="AU21" s="1"/>
  <c r="U21"/>
  <c r="K20"/>
  <c r="AC20" s="1"/>
  <c r="AO20" s="1"/>
  <c r="L20"/>
  <c r="Q20"/>
  <c r="AG20" s="1"/>
  <c r="AS20" s="1"/>
  <c r="R20"/>
  <c r="K27" i="85"/>
  <c r="H54" i="91" s="1"/>
  <c r="O10" i="85"/>
  <c r="F54" i="91" s="1"/>
  <c r="R32" i="89"/>
  <c r="P53" i="24"/>
  <c r="S22" i="74"/>
  <c r="AH22" s="1"/>
  <c r="AT22" s="1"/>
  <c r="W20"/>
  <c r="AK20" s="1"/>
  <c r="AW20" s="1"/>
  <c r="J18"/>
  <c r="AB18" s="1"/>
  <c r="AN18" s="1"/>
  <c r="S19"/>
  <c r="AH19" s="1"/>
  <c r="AT19" s="1"/>
  <c r="M18"/>
  <c r="AD18" s="1"/>
  <c r="AP18" s="1"/>
  <c r="J19"/>
  <c r="AB19" s="1"/>
  <c r="AN19" s="1"/>
  <c r="S18"/>
  <c r="AH18" s="1"/>
  <c r="AT18" s="1"/>
  <c r="M22"/>
  <c r="AD22" s="1"/>
  <c r="AP22" s="1"/>
  <c r="W21"/>
  <c r="AK21" s="1"/>
  <c r="AW21" s="1"/>
  <c r="M19"/>
  <c r="AD19" s="1"/>
  <c r="AP19" s="1"/>
  <c r="J22"/>
  <c r="AB22" s="1"/>
  <c r="AN22" s="1"/>
  <c r="E24" i="79"/>
  <c r="C137" i="90"/>
  <c r="D137"/>
  <c r="C138" i="91"/>
  <c r="D138"/>
  <c r="C137"/>
  <c r="D137"/>
  <c r="C136" i="90"/>
  <c r="D136"/>
  <c r="AS43" i="24"/>
  <c r="X18" i="74" s="1"/>
  <c r="AL45" i="24"/>
  <c r="V19" i="74" s="1"/>
  <c r="AJ19" s="1"/>
  <c r="AV19" s="1"/>
  <c r="AE51" i="24"/>
  <c r="AE43"/>
  <c r="AG43" s="1"/>
  <c r="X45"/>
  <c r="Z45" s="1"/>
  <c r="Q51"/>
  <c r="S51" s="1"/>
  <c r="AS51"/>
  <c r="X22" i="74" s="1"/>
  <c r="X43" i="24"/>
  <c r="Z43" s="1"/>
  <c r="Q45"/>
  <c r="S45" s="1"/>
  <c r="S46" s="1"/>
  <c r="AS45"/>
  <c r="X19" i="74" s="1"/>
  <c r="AL51" i="24"/>
  <c r="V22" i="74" s="1"/>
  <c r="AJ22" s="1"/>
  <c r="AV22" s="1"/>
  <c r="Q43" i="24"/>
  <c r="S43" s="1"/>
  <c r="S44" s="1"/>
  <c r="AL43"/>
  <c r="V18" i="74" s="1"/>
  <c r="AJ18" s="1"/>
  <c r="AV18" s="1"/>
  <c r="AE45" i="24"/>
  <c r="AG45" s="1"/>
  <c r="X51"/>
  <c r="Z51" s="1"/>
  <c r="P22" i="74" s="1"/>
  <c r="AF22" s="1"/>
  <c r="AR22" s="1"/>
  <c r="AQ23" i="24"/>
  <c r="AR23" s="1"/>
  <c r="AS23" s="1"/>
  <c r="AJ23"/>
  <c r="AL23" s="1"/>
  <c r="AC23"/>
  <c r="AD23" s="1"/>
  <c r="AE23" s="1"/>
  <c r="V23"/>
  <c r="W23" s="1"/>
  <c r="X23" s="1"/>
  <c r="O23"/>
  <c r="P23" s="1"/>
  <c r="AQ21"/>
  <c r="AR21" s="1"/>
  <c r="AJ21"/>
  <c r="AK21" s="1"/>
  <c r="AC21"/>
  <c r="AD21" s="1"/>
  <c r="V21"/>
  <c r="W21" s="1"/>
  <c r="O21"/>
  <c r="P21" s="1"/>
  <c r="AQ20"/>
  <c r="AR20" s="1"/>
  <c r="AJ20"/>
  <c r="AK20" s="1"/>
  <c r="AC20"/>
  <c r="AD20" s="1"/>
  <c r="V20"/>
  <c r="W20" s="1"/>
  <c r="O20"/>
  <c r="P20" s="1"/>
  <c r="AQ17"/>
  <c r="AR17" s="1"/>
  <c r="AJ17"/>
  <c r="AK17" s="1"/>
  <c r="AC17"/>
  <c r="AD17" s="1"/>
  <c r="V17"/>
  <c r="W17" s="1"/>
  <c r="I4" i="112" s="1"/>
  <c r="O17" i="24"/>
  <c r="P17" s="1"/>
  <c r="H4" i="112" s="1"/>
  <c r="AQ16" i="24"/>
  <c r="AR16" s="1"/>
  <c r="AJ16"/>
  <c r="AK16" s="1"/>
  <c r="AC16"/>
  <c r="AD16" s="1"/>
  <c r="V16"/>
  <c r="W16" s="1"/>
  <c r="I5" i="112" s="1"/>
  <c r="O16" i="24"/>
  <c r="P16" s="1"/>
  <c r="H5" i="112" s="1"/>
  <c r="V6" i="74"/>
  <c r="AJ6" s="1"/>
  <c r="AV6" s="1"/>
  <c r="S6"/>
  <c r="AH6" s="1"/>
  <c r="AT6" s="1"/>
  <c r="P6"/>
  <c r="AF6" s="1"/>
  <c r="AR6" s="1"/>
  <c r="M6"/>
  <c r="AD6" s="1"/>
  <c r="AP6" s="1"/>
  <c r="J6"/>
  <c r="AB6" s="1"/>
  <c r="AN6" s="1"/>
  <c r="AQ6" i="24"/>
  <c r="AR6" s="1"/>
  <c r="AJ6"/>
  <c r="AK6" s="1"/>
  <c r="AC6"/>
  <c r="AD6" s="1"/>
  <c r="V6"/>
  <c r="W6" s="1"/>
  <c r="O6"/>
  <c r="P6" s="1"/>
  <c r="K3" i="7" s="1"/>
  <c r="AQ24" i="24"/>
  <c r="AJ24"/>
  <c r="AK24" s="1"/>
  <c r="AC24"/>
  <c r="AD24" s="1"/>
  <c r="V24"/>
  <c r="W24" s="1"/>
  <c r="O24"/>
  <c r="P24" s="1"/>
  <c r="H23" i="10"/>
  <c r="I23" s="1"/>
  <c r="J23" s="1"/>
  <c r="H24"/>
  <c r="I24" s="1"/>
  <c r="D48" i="65"/>
  <c r="D49" s="1"/>
  <c r="L48"/>
  <c r="L49" s="1"/>
  <c r="K48"/>
  <c r="K49" s="1"/>
  <c r="J48"/>
  <c r="J49" s="1"/>
  <c r="I48"/>
  <c r="I49" s="1"/>
  <c r="H48"/>
  <c r="H49" s="1"/>
  <c r="G48"/>
  <c r="G49" s="1"/>
  <c r="F48"/>
  <c r="F49" s="1"/>
  <c r="E48"/>
  <c r="E49" s="1"/>
  <c r="C48"/>
  <c r="C49" s="1"/>
  <c r="B48"/>
  <c r="B49" s="1"/>
  <c r="AU53" i="24" l="1"/>
  <c r="S16" i="114" s="1"/>
  <c r="I103" i="69" s="1"/>
  <c r="AU45" i="24"/>
  <c r="S8" i="114" s="1"/>
  <c r="S9" s="1"/>
  <c r="I96" i="69" s="1"/>
  <c r="AU43" i="24"/>
  <c r="AU44" s="1"/>
  <c r="AN53"/>
  <c r="O16" i="114" s="1"/>
  <c r="H103" i="69" s="1"/>
  <c r="AN43" i="24"/>
  <c r="AG53"/>
  <c r="K16" i="114" s="1"/>
  <c r="G103" i="69" s="1"/>
  <c r="Q23" i="24"/>
  <c r="S23"/>
  <c r="M21" i="7"/>
  <c r="AE24" i="24"/>
  <c r="I24" i="113"/>
  <c r="AG24" i="24"/>
  <c r="K24" i="113" s="1"/>
  <c r="Q24" i="24"/>
  <c r="S24"/>
  <c r="K21" i="7"/>
  <c r="O21"/>
  <c r="S24" i="113"/>
  <c r="AS24" i="24"/>
  <c r="I16" i="112"/>
  <c r="L21" i="7"/>
  <c r="X24" i="24"/>
  <c r="Z24" s="1"/>
  <c r="N21" i="7"/>
  <c r="AL24" i="24"/>
  <c r="AN24" s="1"/>
  <c r="O24" i="113" s="1"/>
  <c r="M24"/>
  <c r="K13" i="114"/>
  <c r="G100" i="69" s="1"/>
  <c r="K36" i="7"/>
  <c r="H30" i="112"/>
  <c r="L3" i="7"/>
  <c r="N3"/>
  <c r="K14"/>
  <c r="O14"/>
  <c r="N17"/>
  <c r="M18"/>
  <c r="L20"/>
  <c r="N20"/>
  <c r="L13"/>
  <c r="N13"/>
  <c r="M14"/>
  <c r="L17"/>
  <c r="K18"/>
  <c r="O18"/>
  <c r="M3"/>
  <c r="O3"/>
  <c r="K13"/>
  <c r="M13"/>
  <c r="O13"/>
  <c r="L14"/>
  <c r="N14"/>
  <c r="K17"/>
  <c r="M17"/>
  <c r="O17"/>
  <c r="L18"/>
  <c r="N18"/>
  <c r="K20"/>
  <c r="M20"/>
  <c r="O20"/>
  <c r="K11" i="114"/>
  <c r="G98" i="69" s="1"/>
  <c r="S13" i="114"/>
  <c r="I100" i="69" s="1"/>
  <c r="O13" i="114"/>
  <c r="H100" i="69" s="1"/>
  <c r="I97"/>
  <c r="H97"/>
  <c r="AU46" i="24"/>
  <c r="K8" i="114"/>
  <c r="G95" i="69" s="1"/>
  <c r="AG46" i="24"/>
  <c r="O8" i="114"/>
  <c r="O9" s="1"/>
  <c r="H96" i="69" s="1"/>
  <c r="AN46" i="24"/>
  <c r="P19" i="74"/>
  <c r="AF19" s="1"/>
  <c r="AR19" s="1"/>
  <c r="Z46" i="24"/>
  <c r="O6" i="114"/>
  <c r="O7" s="1"/>
  <c r="H94" i="69" s="1"/>
  <c r="AN44" i="24"/>
  <c r="P18" i="74"/>
  <c r="AF18" s="1"/>
  <c r="AR18" s="1"/>
  <c r="Z44" i="24"/>
  <c r="K6" i="114"/>
  <c r="K7" s="1"/>
  <c r="G94" i="69" s="1"/>
  <c r="AG44" i="24"/>
  <c r="Z16"/>
  <c r="P8" i="74" s="1"/>
  <c r="AF8" s="1"/>
  <c r="AR8" s="1"/>
  <c r="AN16" i="24"/>
  <c r="O16" i="113" s="1"/>
  <c r="H49" i="69" s="1"/>
  <c r="M16" i="113"/>
  <c r="H15" i="69" s="1"/>
  <c r="S17" i="24"/>
  <c r="AG17"/>
  <c r="K17" i="113" s="1"/>
  <c r="G50" i="69" s="1"/>
  <c r="I17" i="113"/>
  <c r="G16" i="69" s="1"/>
  <c r="Q17" i="113"/>
  <c r="I16" i="69" s="1"/>
  <c r="Z20" i="24"/>
  <c r="P12" i="74" s="1"/>
  <c r="AF12" s="1"/>
  <c r="AR12" s="1"/>
  <c r="M20" i="113"/>
  <c r="H19" i="69" s="1"/>
  <c r="S21" i="24"/>
  <c r="AG21"/>
  <c r="K21" i="113" s="1"/>
  <c r="G54" i="69" s="1"/>
  <c r="I21" i="113"/>
  <c r="G20" i="69" s="1"/>
  <c r="AU21" i="24"/>
  <c r="S21" i="113" s="1"/>
  <c r="I54" i="69" s="1"/>
  <c r="Q21" i="113"/>
  <c r="I20" i="69" s="1"/>
  <c r="M23" i="113"/>
  <c r="H22" i="69" s="1"/>
  <c r="M6" i="113"/>
  <c r="H5" i="69" s="1"/>
  <c r="I6" i="113"/>
  <c r="G5" i="69" s="1"/>
  <c r="Q6" i="113"/>
  <c r="I5" i="69" s="1"/>
  <c r="S16" i="24"/>
  <c r="AG16"/>
  <c r="K16" i="113" s="1"/>
  <c r="G49" i="69" s="1"/>
  <c r="I16" i="113"/>
  <c r="G15" i="69" s="1"/>
  <c r="Q16" i="113"/>
  <c r="I15" i="69" s="1"/>
  <c r="Z17" i="24"/>
  <c r="M17" i="113"/>
  <c r="H16" i="69" s="1"/>
  <c r="S20" i="24"/>
  <c r="AG20"/>
  <c r="K20" i="113" s="1"/>
  <c r="G53" i="69" s="1"/>
  <c r="I20" i="113"/>
  <c r="G19" i="69" s="1"/>
  <c r="AU20" i="24"/>
  <c r="S20" i="113" s="1"/>
  <c r="I53" i="69" s="1"/>
  <c r="Q20" i="113"/>
  <c r="I19" i="69" s="1"/>
  <c r="Z21" i="24"/>
  <c r="AN21"/>
  <c r="O21" i="113" s="1"/>
  <c r="H54" i="69" s="1"/>
  <c r="M21" i="113"/>
  <c r="H20" i="69" s="1"/>
  <c r="I23" i="113"/>
  <c r="G22" i="69" s="1"/>
  <c r="Q23" i="113"/>
  <c r="I22" i="69" s="1"/>
  <c r="Q53" i="24"/>
  <c r="K24" i="74" s="1"/>
  <c r="AC24" s="1"/>
  <c r="AO24" s="1"/>
  <c r="Q19"/>
  <c r="AG19" s="1"/>
  <c r="AS19" s="1"/>
  <c r="R19"/>
  <c r="K18"/>
  <c r="AC18" s="1"/>
  <c r="AO18" s="1"/>
  <c r="L18"/>
  <c r="N18"/>
  <c r="AE18" s="1"/>
  <c r="AQ18" s="1"/>
  <c r="O18"/>
  <c r="K22"/>
  <c r="AC22" s="1"/>
  <c r="AO22" s="1"/>
  <c r="L22"/>
  <c r="Q18"/>
  <c r="AG18" s="1"/>
  <c r="AS18" s="1"/>
  <c r="R18"/>
  <c r="T19"/>
  <c r="AI19" s="1"/>
  <c r="AU19" s="1"/>
  <c r="U19"/>
  <c r="N22"/>
  <c r="AE22" s="1"/>
  <c r="AQ22" s="1"/>
  <c r="O22"/>
  <c r="T18"/>
  <c r="AI18" s="1"/>
  <c r="AU18" s="1"/>
  <c r="U18"/>
  <c r="T22"/>
  <c r="AI22" s="1"/>
  <c r="AU22" s="1"/>
  <c r="U22"/>
  <c r="K19"/>
  <c r="AC19" s="1"/>
  <c r="AO19" s="1"/>
  <c r="L19"/>
  <c r="N19"/>
  <c r="AE19" s="1"/>
  <c r="AQ19" s="1"/>
  <c r="O19"/>
  <c r="Q22"/>
  <c r="AG22" s="1"/>
  <c r="AS22" s="1"/>
  <c r="R22"/>
  <c r="L24"/>
  <c r="J24"/>
  <c r="AB24" s="1"/>
  <c r="AN24" s="1"/>
  <c r="W24"/>
  <c r="AK24" s="1"/>
  <c r="AW24" s="1"/>
  <c r="Q24"/>
  <c r="AG24" s="1"/>
  <c r="AS24" s="1"/>
  <c r="W22"/>
  <c r="AK22" s="1"/>
  <c r="AW22" s="1"/>
  <c r="M9"/>
  <c r="AD9" s="1"/>
  <c r="AP9" s="1"/>
  <c r="J12"/>
  <c r="AB12" s="1"/>
  <c r="AN12" s="1"/>
  <c r="S13"/>
  <c r="AH13" s="1"/>
  <c r="AT13" s="1"/>
  <c r="T24"/>
  <c r="AI24" s="1"/>
  <c r="AU24" s="1"/>
  <c r="M8"/>
  <c r="AD8" s="1"/>
  <c r="AP8" s="1"/>
  <c r="J9"/>
  <c r="AB9" s="1"/>
  <c r="AN9" s="1"/>
  <c r="S12"/>
  <c r="AH12" s="1"/>
  <c r="AT12" s="1"/>
  <c r="P13"/>
  <c r="AF13" s="1"/>
  <c r="AR13" s="1"/>
  <c r="M15"/>
  <c r="AD15" s="1"/>
  <c r="AP15" s="1"/>
  <c r="J8"/>
  <c r="AB8" s="1"/>
  <c r="AN8" s="1"/>
  <c r="S9"/>
  <c r="AH9" s="1"/>
  <c r="AT9" s="1"/>
  <c r="M13"/>
  <c r="AD13" s="1"/>
  <c r="AP13" s="1"/>
  <c r="J15"/>
  <c r="AB15" s="1"/>
  <c r="AN15" s="1"/>
  <c r="W18"/>
  <c r="AK18" s="1"/>
  <c r="AW18" s="1"/>
  <c r="S8"/>
  <c r="AH8" s="1"/>
  <c r="AT8" s="1"/>
  <c r="P9"/>
  <c r="AF9" s="1"/>
  <c r="AR9" s="1"/>
  <c r="M12"/>
  <c r="AD12" s="1"/>
  <c r="AP12" s="1"/>
  <c r="J13"/>
  <c r="AB13" s="1"/>
  <c r="AN13" s="1"/>
  <c r="S15"/>
  <c r="AH15" s="1"/>
  <c r="AT15" s="1"/>
  <c r="W19"/>
  <c r="AK19" s="1"/>
  <c r="AW19" s="1"/>
  <c r="N24"/>
  <c r="AE24" s="1"/>
  <c r="AQ24" s="1"/>
  <c r="S24"/>
  <c r="AH24" s="1"/>
  <c r="AT24" s="1"/>
  <c r="V24"/>
  <c r="AJ24" s="1"/>
  <c r="AV24" s="1"/>
  <c r="P24"/>
  <c r="AF24" s="1"/>
  <c r="AR24" s="1"/>
  <c r="M24"/>
  <c r="AD24" s="1"/>
  <c r="AP24" s="1"/>
  <c r="K6"/>
  <c r="AC6" s="1"/>
  <c r="AO6" s="1"/>
  <c r="AS12" i="24"/>
  <c r="AE16"/>
  <c r="X17"/>
  <c r="O9" i="74" s="1"/>
  <c r="Q20" i="24"/>
  <c r="AS20"/>
  <c r="X12" i="74" s="1"/>
  <c r="AL21" i="24"/>
  <c r="V13" i="74" s="1"/>
  <c r="AJ13" s="1"/>
  <c r="AV13" s="1"/>
  <c r="AG23" i="24"/>
  <c r="K23" i="113" s="1"/>
  <c r="G56" i="69" s="1"/>
  <c r="T6" i="74"/>
  <c r="AI6" s="1"/>
  <c r="AU6" s="1"/>
  <c r="X16" i="24"/>
  <c r="O8" i="74" s="1"/>
  <c r="Q17" i="24"/>
  <c r="L9" i="74" s="1"/>
  <c r="AS17" i="24"/>
  <c r="X9" i="74" s="1"/>
  <c r="AL20" i="24"/>
  <c r="V12" i="74" s="1"/>
  <c r="AJ12" s="1"/>
  <c r="AV12" s="1"/>
  <c r="AE21" i="24"/>
  <c r="Z23"/>
  <c r="P15" i="74" s="1"/>
  <c r="AF15" s="1"/>
  <c r="AR15" s="1"/>
  <c r="Q6"/>
  <c r="AG6" s="1"/>
  <c r="AS6" s="1"/>
  <c r="Q16" i="24"/>
  <c r="L8" i="74" s="1"/>
  <c r="AS16" i="24"/>
  <c r="X8" i="74" s="1"/>
  <c r="AL17" i="24"/>
  <c r="V9" i="74" s="1"/>
  <c r="AJ9" s="1"/>
  <c r="AV9" s="1"/>
  <c r="AE20" i="24"/>
  <c r="X21"/>
  <c r="X15" i="74"/>
  <c r="N6"/>
  <c r="AE6" s="1"/>
  <c r="AQ6" s="1"/>
  <c r="AL16" i="24"/>
  <c r="V8" i="74" s="1"/>
  <c r="AJ8" s="1"/>
  <c r="AV8" s="1"/>
  <c r="AE17" i="24"/>
  <c r="X20"/>
  <c r="Q21"/>
  <c r="AS21"/>
  <c r="X13" i="74" s="1"/>
  <c r="V15"/>
  <c r="AJ15" s="1"/>
  <c r="AV15" s="1"/>
  <c r="M4"/>
  <c r="AD4" s="1"/>
  <c r="AP4" s="1"/>
  <c r="V5"/>
  <c r="AJ5" s="1"/>
  <c r="AV5" s="1"/>
  <c r="M7"/>
  <c r="AD7" s="1"/>
  <c r="AP7" s="1"/>
  <c r="S4"/>
  <c r="AH4" s="1"/>
  <c r="AT4" s="1"/>
  <c r="P5"/>
  <c r="AF5" s="1"/>
  <c r="AR5" s="1"/>
  <c r="J7"/>
  <c r="AB7" s="1"/>
  <c r="AN7" s="1"/>
  <c r="V7"/>
  <c r="AJ7" s="1"/>
  <c r="AV7" s="1"/>
  <c r="J5"/>
  <c r="AB5" s="1"/>
  <c r="AN5" s="1"/>
  <c r="P7"/>
  <c r="AF7" s="1"/>
  <c r="AR7" s="1"/>
  <c r="J4"/>
  <c r="AB4" s="1"/>
  <c r="AN4" s="1"/>
  <c r="S5"/>
  <c r="AH5" s="1"/>
  <c r="AT5" s="1"/>
  <c r="M5"/>
  <c r="AD5" s="1"/>
  <c r="AP5" s="1"/>
  <c r="S7"/>
  <c r="AH7" s="1"/>
  <c r="AT7" s="1"/>
  <c r="I50" i="65"/>
  <c r="S6" i="114" l="1"/>
  <c r="S7" s="1"/>
  <c r="I94" i="69" s="1"/>
  <c r="AU17" i="24"/>
  <c r="S17" i="113" s="1"/>
  <c r="I50" i="69" s="1"/>
  <c r="AU16" i="24"/>
  <c r="S16" i="113" s="1"/>
  <c r="I49" i="69" s="1"/>
  <c r="X6" i="74"/>
  <c r="AU12" i="24"/>
  <c r="AN20"/>
  <c r="O20" i="113" s="1"/>
  <c r="H53" i="69" s="1"/>
  <c r="AN17" i="24"/>
  <c r="O17" i="113" s="1"/>
  <c r="H50" i="69" s="1"/>
  <c r="S53" i="24"/>
  <c r="J24" i="10"/>
  <c r="I24" i="46"/>
  <c r="AU23" i="24"/>
  <c r="S23" i="113" s="1"/>
  <c r="I56" i="69" s="1"/>
  <c r="O23" i="113"/>
  <c r="H56" i="69" s="1"/>
  <c r="K9" i="114"/>
  <c r="G96" i="69" s="1"/>
  <c r="I95"/>
  <c r="H95"/>
  <c r="G93"/>
  <c r="H93"/>
  <c r="N12" i="74"/>
  <c r="AE12" s="1"/>
  <c r="AQ12" s="1"/>
  <c r="O12"/>
  <c r="T8"/>
  <c r="AI8" s="1"/>
  <c r="AU8" s="1"/>
  <c r="U8"/>
  <c r="N13"/>
  <c r="AE13" s="1"/>
  <c r="AQ13" s="1"/>
  <c r="O13"/>
  <c r="T9"/>
  <c r="AI9" s="1"/>
  <c r="AU9" s="1"/>
  <c r="U9"/>
  <c r="N15"/>
  <c r="AE15" s="1"/>
  <c r="AQ15" s="1"/>
  <c r="O15"/>
  <c r="T12"/>
  <c r="AI12" s="1"/>
  <c r="AU12" s="1"/>
  <c r="U12"/>
  <c r="T13"/>
  <c r="AI13" s="1"/>
  <c r="AU13" s="1"/>
  <c r="U13"/>
  <c r="K12"/>
  <c r="AC12" s="1"/>
  <c r="AO12" s="1"/>
  <c r="L12"/>
  <c r="Q8"/>
  <c r="AG8" s="1"/>
  <c r="AS8" s="1"/>
  <c r="R8"/>
  <c r="T15"/>
  <c r="AI15" s="1"/>
  <c r="AU15" s="1"/>
  <c r="U15"/>
  <c r="K13"/>
  <c r="AC13" s="1"/>
  <c r="AO13" s="1"/>
  <c r="L13"/>
  <c r="Q9"/>
  <c r="AG9" s="1"/>
  <c r="AS9" s="1"/>
  <c r="R9"/>
  <c r="K15"/>
  <c r="AC15" s="1"/>
  <c r="AO15" s="1"/>
  <c r="L15"/>
  <c r="Q12"/>
  <c r="AG12" s="1"/>
  <c r="AS12" s="1"/>
  <c r="R12"/>
  <c r="Q13"/>
  <c r="AG13" s="1"/>
  <c r="AS13" s="1"/>
  <c r="R13"/>
  <c r="Q15"/>
  <c r="AG15" s="1"/>
  <c r="AS15" s="1"/>
  <c r="R15"/>
  <c r="W8"/>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S6" i="24"/>
  <c r="K5" i="74"/>
  <c r="AC5" s="1"/>
  <c r="AO5" s="1"/>
  <c r="N5"/>
  <c r="AE5" s="1"/>
  <c r="AQ5" s="1"/>
  <c r="Q7"/>
  <c r="AG7" s="1"/>
  <c r="AS7" s="1"/>
  <c r="Q5"/>
  <c r="AG5" s="1"/>
  <c r="AS5" s="1"/>
  <c r="AS9" i="24"/>
  <c r="T5" i="74"/>
  <c r="AI5" s="1"/>
  <c r="AU5" s="1"/>
  <c r="AS14" i="24"/>
  <c r="N7" i="74"/>
  <c r="AE7" s="1"/>
  <c r="AQ7" s="1"/>
  <c r="X6" i="24"/>
  <c r="Z6" s="1"/>
  <c r="Z7" s="1"/>
  <c r="Z8" s="1"/>
  <c r="Q6"/>
  <c r="S6" s="1"/>
  <c r="S7" s="1"/>
  <c r="S8" s="1"/>
  <c r="AE6"/>
  <c r="AL6"/>
  <c r="C40" i="65"/>
  <c r="C39"/>
  <c r="I93" i="69" l="1"/>
  <c r="X7" i="74"/>
  <c r="AU14" i="24"/>
  <c r="AU13"/>
  <c r="S12" i="113"/>
  <c r="X5" i="74"/>
  <c r="AU9" i="24"/>
  <c r="V4" i="74"/>
  <c r="AJ4" s="1"/>
  <c r="AV4" s="1"/>
  <c r="AN6" i="24"/>
  <c r="X4" i="74"/>
  <c r="AU6" i="24"/>
  <c r="AG6"/>
  <c r="AG7" s="1"/>
  <c r="AG8" s="1"/>
  <c r="P4" i="74"/>
  <c r="AF4" s="1"/>
  <c r="AR4" s="1"/>
  <c r="T4"/>
  <c r="AI4" s="1"/>
  <c r="AU4" s="1"/>
  <c r="U4"/>
  <c r="K4"/>
  <c r="AC4" s="1"/>
  <c r="AO4" s="1"/>
  <c r="L4"/>
  <c r="Q4"/>
  <c r="AG4" s="1"/>
  <c r="AS4" s="1"/>
  <c r="R4"/>
  <c r="N4"/>
  <c r="AE4" s="1"/>
  <c r="AQ4" s="1"/>
  <c r="O4"/>
  <c r="W7"/>
  <c r="AK7" s="1"/>
  <c r="AW7" s="1"/>
  <c r="W4"/>
  <c r="AK4" s="1"/>
  <c r="AW4" s="1"/>
  <c r="W5"/>
  <c r="AK5" s="1"/>
  <c r="AW5" s="1"/>
  <c r="I34" i="65"/>
  <c r="I35" s="1"/>
  <c r="I36" s="1"/>
  <c r="C35"/>
  <c r="C36" s="1"/>
  <c r="D35"/>
  <c r="D36" s="1"/>
  <c r="E35"/>
  <c r="E36" s="1"/>
  <c r="F35"/>
  <c r="F36" s="1"/>
  <c r="G35"/>
  <c r="G36" s="1"/>
  <c r="H35"/>
  <c r="H36" s="1"/>
  <c r="J35"/>
  <c r="J36" s="1"/>
  <c r="K35"/>
  <c r="K36" s="1"/>
  <c r="L35"/>
  <c r="L36" s="1"/>
  <c r="B35"/>
  <c r="B36" s="1"/>
  <c r="K65" i="7"/>
  <c r="O95" i="24"/>
  <c r="P95" s="1"/>
  <c r="H62" i="112" s="1"/>
  <c r="V95" i="24"/>
  <c r="W95" s="1"/>
  <c r="I62" i="112" s="1"/>
  <c r="AC95" i="24"/>
  <c r="AD95" s="1"/>
  <c r="AJ95"/>
  <c r="AK95" s="1"/>
  <c r="AQ95"/>
  <c r="AR95" s="1"/>
  <c r="H95"/>
  <c r="I95" s="1"/>
  <c r="G62" i="112" s="1"/>
  <c r="AQ95" i="10"/>
  <c r="AJ95"/>
  <c r="AK95" s="1"/>
  <c r="AC95"/>
  <c r="V95"/>
  <c r="Y23" i="122" s="1"/>
  <c r="AC23" s="1"/>
  <c r="AE23" s="1"/>
  <c r="O95" i="10"/>
  <c r="Q23" i="122" s="1"/>
  <c r="U23" s="1"/>
  <c r="W23" s="1"/>
  <c r="H95" i="10"/>
  <c r="I95" s="1"/>
  <c r="I23" i="122" s="1"/>
  <c r="M23" s="1"/>
  <c r="O23" s="1"/>
  <c r="I72" i="60"/>
  <c r="I73" i="24"/>
  <c r="I72"/>
  <c r="P73"/>
  <c r="P72"/>
  <c r="W73"/>
  <c r="W72"/>
  <c r="AD73"/>
  <c r="D115" i="69"/>
  <c r="E115"/>
  <c r="F115"/>
  <c r="D117"/>
  <c r="E117"/>
  <c r="F117"/>
  <c r="D119"/>
  <c r="E119"/>
  <c r="F119"/>
  <c r="D121"/>
  <c r="E121"/>
  <c r="F121"/>
  <c r="D104"/>
  <c r="E104"/>
  <c r="D62"/>
  <c r="E62"/>
  <c r="F62"/>
  <c r="D66"/>
  <c r="E66"/>
  <c r="F66"/>
  <c r="D68"/>
  <c r="E68"/>
  <c r="F68"/>
  <c r="F7"/>
  <c r="F10"/>
  <c r="F12"/>
  <c r="F14"/>
  <c r="E7"/>
  <c r="E10"/>
  <c r="E12"/>
  <c r="E14"/>
  <c r="D7"/>
  <c r="D10"/>
  <c r="D12"/>
  <c r="D14"/>
  <c r="AU15" i="24" l="1"/>
  <c r="S14" i="113"/>
  <c r="I45" i="69"/>
  <c r="S13" i="113"/>
  <c r="I46" i="69" s="1"/>
  <c r="Q66" i="120"/>
  <c r="Q65" i="122"/>
  <c r="U65" s="1"/>
  <c r="W65" s="1"/>
  <c r="I66" i="120"/>
  <c r="I65" i="122"/>
  <c r="M65" s="1"/>
  <c r="O65" s="1"/>
  <c r="Y66" i="120"/>
  <c r="Y65" i="122"/>
  <c r="AC65" s="1"/>
  <c r="AE65" s="1"/>
  <c r="I61" i="121"/>
  <c r="I72" i="122"/>
  <c r="K64" i="7"/>
  <c r="AU10" i="24"/>
  <c r="AU11" s="1"/>
  <c r="S9" i="113"/>
  <c r="K6"/>
  <c r="AU7" i="24"/>
  <c r="AU8" s="1"/>
  <c r="S6" i="113"/>
  <c r="AN7" i="24"/>
  <c r="AN8" s="1"/>
  <c r="O6" i="113"/>
  <c r="N64" i="7"/>
  <c r="M23" i="115"/>
  <c r="I73" i="112"/>
  <c r="L64" i="7"/>
  <c r="O64"/>
  <c r="Q23" i="115"/>
  <c r="M64" i="7"/>
  <c r="I23" i="115"/>
  <c r="H73" i="112"/>
  <c r="L65" i="7"/>
  <c r="I74" i="112"/>
  <c r="G73"/>
  <c r="J64" i="7"/>
  <c r="M24" i="115"/>
  <c r="N65" i="7"/>
  <c r="I24" i="115"/>
  <c r="M65" i="7"/>
  <c r="N30" i="74"/>
  <c r="AE30" s="1"/>
  <c r="AQ30" s="1"/>
  <c r="R31"/>
  <c r="Y37" i="58"/>
  <c r="N31" i="74"/>
  <c r="AE31" s="1"/>
  <c r="AQ31" s="1"/>
  <c r="I37" i="114"/>
  <c r="G90" i="69" s="1"/>
  <c r="Q31" i="74"/>
  <c r="AG31" s="1"/>
  <c r="AS31" s="1"/>
  <c r="I72" i="120"/>
  <c r="I36" i="54"/>
  <c r="P30" i="74"/>
  <c r="AF30" s="1"/>
  <c r="AR30" s="1"/>
  <c r="J30"/>
  <c r="AB30" s="1"/>
  <c r="AN30" s="1"/>
  <c r="M31"/>
  <c r="AD31" s="1"/>
  <c r="AP31" s="1"/>
  <c r="G31"/>
  <c r="Z31" s="1"/>
  <c r="AL31" s="1"/>
  <c r="M30"/>
  <c r="AD30" s="1"/>
  <c r="AP30" s="1"/>
  <c r="G30"/>
  <c r="Z30" s="1"/>
  <c r="AL30" s="1"/>
  <c r="P31"/>
  <c r="AF31" s="1"/>
  <c r="AR31" s="1"/>
  <c r="J31"/>
  <c r="AB31" s="1"/>
  <c r="AN31" s="1"/>
  <c r="Q24" i="56"/>
  <c r="M24"/>
  <c r="AS95" i="24"/>
  <c r="AU95" s="1"/>
  <c r="S23" i="115" s="1"/>
  <c r="Q95" i="24"/>
  <c r="S95" s="1"/>
  <c r="J95"/>
  <c r="I23" i="56"/>
  <c r="I37" i="65"/>
  <c r="AE95" i="24"/>
  <c r="AG95" s="1"/>
  <c r="K23" i="115" s="1"/>
  <c r="X95" i="24"/>
  <c r="Z95" s="1"/>
  <c r="Q23" i="56"/>
  <c r="AL95" i="24"/>
  <c r="AN95" s="1"/>
  <c r="O23" i="115" s="1"/>
  <c r="M23" i="56"/>
  <c r="I47" i="69" l="1"/>
  <c r="S15" i="113"/>
  <c r="I48" i="69" s="1"/>
  <c r="I23" i="60"/>
  <c r="J95" i="10"/>
  <c r="L95" s="1"/>
  <c r="AL95"/>
  <c r="AN95" s="1"/>
  <c r="Q65" i="60"/>
  <c r="X95" i="10"/>
  <c r="Z95" s="1"/>
  <c r="Y23" i="60"/>
  <c r="AS95" i="10"/>
  <c r="AU95" s="1"/>
  <c r="Y65" i="60"/>
  <c r="AE95" i="10"/>
  <c r="AG95" s="1"/>
  <c r="I65" i="60"/>
  <c r="Q95" i="10"/>
  <c r="S95" s="1"/>
  <c r="Q23" i="60"/>
  <c r="I42" i="69"/>
  <c r="S10" i="113"/>
  <c r="G39" i="69"/>
  <c r="K7" i="113"/>
  <c r="H39" i="69"/>
  <c r="O7" i="113"/>
  <c r="I39" i="69"/>
  <c r="S7" i="113"/>
  <c r="L95" i="24"/>
  <c r="K23" i="56" s="1"/>
  <c r="S23"/>
  <c r="O23"/>
  <c r="AQ99" i="10"/>
  <c r="AR126" s="1"/>
  <c r="AQ100"/>
  <c r="AR127" s="1"/>
  <c r="AQ99" i="24"/>
  <c r="AQ100"/>
  <c r="S23" i="60" l="1"/>
  <c r="S23" i="122"/>
  <c r="K65" i="60"/>
  <c r="K65" i="122"/>
  <c r="AA65" i="60"/>
  <c r="AA65" i="122"/>
  <c r="AA23" i="60"/>
  <c r="AA23" i="122"/>
  <c r="S65" i="60"/>
  <c r="S65" i="122"/>
  <c r="K23" i="60"/>
  <c r="K23" i="122"/>
  <c r="I43" i="69"/>
  <c r="S11" i="113"/>
  <c r="I44" i="69" s="1"/>
  <c r="G40"/>
  <c r="K8" i="113"/>
  <c r="G41" i="69" s="1"/>
  <c r="S8" i="113"/>
  <c r="I41" i="69" s="1"/>
  <c r="I40"/>
  <c r="H40"/>
  <c r="O8" i="113"/>
  <c r="H41" i="69" s="1"/>
  <c r="AR100" i="24"/>
  <c r="AR99" i="10"/>
  <c r="AR99" i="24"/>
  <c r="S3" i="61"/>
  <c r="R7" i="65"/>
  <c r="Q7"/>
  <c r="Q8" s="1"/>
  <c r="Q9" s="1"/>
  <c r="P7"/>
  <c r="P8" s="1"/>
  <c r="P9" s="1"/>
  <c r="N7"/>
  <c r="N8" s="1"/>
  <c r="N9" s="1"/>
  <c r="M7"/>
  <c r="M8" s="1"/>
  <c r="M9" s="1"/>
  <c r="L7"/>
  <c r="L8" s="1"/>
  <c r="L9" s="1"/>
  <c r="K7"/>
  <c r="J7"/>
  <c r="I7"/>
  <c r="H7"/>
  <c r="G7"/>
  <c r="F7"/>
  <c r="E7"/>
  <c r="D7"/>
  <c r="C7"/>
  <c r="B7"/>
  <c r="D168" i="62"/>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Y49" i="121" l="1"/>
  <c r="BG49" i="60"/>
  <c r="Y48" i="121"/>
  <c r="BG48" i="60"/>
  <c r="Q7" i="118"/>
  <c r="AF24" i="119" s="1"/>
  <c r="AR127" i="24"/>
  <c r="Q6" i="118"/>
  <c r="AF23" i="119" s="1"/>
  <c r="AR126" i="24"/>
  <c r="AS100" i="10"/>
  <c r="AU100" s="1"/>
  <c r="AS127"/>
  <c r="AS99"/>
  <c r="AU99" s="1"/>
  <c r="AS126"/>
  <c r="AS99" i="24"/>
  <c r="AU99" s="1"/>
  <c r="AU126" s="1"/>
  <c r="F8" i="65"/>
  <c r="F9" s="1"/>
  <c r="D8"/>
  <c r="D9" s="1"/>
  <c r="H8"/>
  <c r="H9" s="1"/>
  <c r="B8"/>
  <c r="B9" s="1"/>
  <c r="J8"/>
  <c r="J9" s="1"/>
  <c r="AA48" i="121" l="1"/>
  <c r="BI48" i="60"/>
  <c r="AA49" i="121"/>
  <c r="BI49" i="60"/>
  <c r="AS126" i="24"/>
  <c r="O71" i="7"/>
  <c r="AS127" i="24"/>
  <c r="O72" i="7"/>
  <c r="AU126" i="10"/>
  <c r="AU127"/>
  <c r="S6" i="118"/>
  <c r="AG23" i="119" s="1"/>
  <c r="AS100" i="24"/>
  <c r="AU100" s="1"/>
  <c r="AU127" s="1"/>
  <c r="R38" i="7"/>
  <c r="R39" s="1"/>
  <c r="S19" i="61"/>
  <c r="S25"/>
  <c r="O19"/>
  <c r="O25"/>
  <c r="K19"/>
  <c r="K25"/>
  <c r="Q35"/>
  <c r="M35"/>
  <c r="I35"/>
  <c r="Q34"/>
  <c r="M34"/>
  <c r="I34"/>
  <c r="Q33"/>
  <c r="M33"/>
  <c r="I33"/>
  <c r="Q32"/>
  <c r="M32"/>
  <c r="I32"/>
  <c r="Q31"/>
  <c r="M31"/>
  <c r="I31"/>
  <c r="Q30"/>
  <c r="M30"/>
  <c r="I30"/>
  <c r="Q29"/>
  <c r="M29"/>
  <c r="I29"/>
  <c r="Q28"/>
  <c r="M28"/>
  <c r="I28"/>
  <c r="I30" i="62"/>
  <c r="Y69" i="46"/>
  <c r="I24" i="62" s="1"/>
  <c r="Y70" i="46"/>
  <c r="I25" i="62" s="1"/>
  <c r="Y71" i="46"/>
  <c r="I26" i="62" s="1"/>
  <c r="Y72" i="46"/>
  <c r="I27" i="62" s="1"/>
  <c r="Y73" i="46"/>
  <c r="I28" i="62" s="1"/>
  <c r="Y74" i="46"/>
  <c r="I29" i="62" s="1"/>
  <c r="Y75" i="46"/>
  <c r="Y68"/>
  <c r="I23" i="62" s="1"/>
  <c r="H30"/>
  <c r="Q69" i="46"/>
  <c r="H24" i="62" s="1"/>
  <c r="Q70" i="46"/>
  <c r="H25" i="62" s="1"/>
  <c r="Q71" i="46"/>
  <c r="H26" i="62" s="1"/>
  <c r="Q72" i="46"/>
  <c r="H27" i="62" s="1"/>
  <c r="Q73" i="46"/>
  <c r="H28" i="62" s="1"/>
  <c r="Q74" i="46"/>
  <c r="H29" i="62" s="1"/>
  <c r="Q75" i="46"/>
  <c r="Q68"/>
  <c r="H23" i="62" s="1"/>
  <c r="G30"/>
  <c r="I69" i="46"/>
  <c r="G24" i="62" s="1"/>
  <c r="I70" i="46"/>
  <c r="G25" i="62" s="1"/>
  <c r="I71" i="46"/>
  <c r="G26" i="62" s="1"/>
  <c r="I72" i="46"/>
  <c r="G27" i="62" s="1"/>
  <c r="G28"/>
  <c r="I74" i="46"/>
  <c r="G29" i="62" s="1"/>
  <c r="I75" i="46"/>
  <c r="I68"/>
  <c r="G23" i="62" s="1"/>
  <c r="F30"/>
  <c r="Y29" i="46"/>
  <c r="F24" i="62" s="1"/>
  <c r="Y30" i="46"/>
  <c r="F25" i="62" s="1"/>
  <c r="Y31" i="46"/>
  <c r="F26" i="62" s="1"/>
  <c r="Y32" i="46"/>
  <c r="F27" i="62" s="1"/>
  <c r="Y33" i="46"/>
  <c r="F28" i="62" s="1"/>
  <c r="Y34" i="46"/>
  <c r="F29" i="62" s="1"/>
  <c r="Y35" i="46"/>
  <c r="Y28"/>
  <c r="F23" i="62" s="1"/>
  <c r="E30"/>
  <c r="Q29" i="46"/>
  <c r="E24" i="62" s="1"/>
  <c r="Q30" i="46"/>
  <c r="E25" i="62" s="1"/>
  <c r="Q31" i="46"/>
  <c r="E26" i="62" s="1"/>
  <c r="Q32" i="46"/>
  <c r="E27" i="62" s="1"/>
  <c r="Q33" i="46"/>
  <c r="E28" i="62" s="1"/>
  <c r="Q34" i="46"/>
  <c r="E29" i="62" s="1"/>
  <c r="Q35" i="46"/>
  <c r="Q28"/>
  <c r="E23" i="62" s="1"/>
  <c r="AA59" i="46"/>
  <c r="Y59"/>
  <c r="I16" i="62" s="1"/>
  <c r="S59" i="46"/>
  <c r="Q59"/>
  <c r="H16" i="62" s="1"/>
  <c r="K59" i="46"/>
  <c r="I59"/>
  <c r="G16" i="62" s="1"/>
  <c r="AA19" i="46"/>
  <c r="Y19"/>
  <c r="F16" i="62" s="1"/>
  <c r="S19" i="46"/>
  <c r="Q19"/>
  <c r="E16" i="62" s="1"/>
  <c r="S7" i="118" l="1"/>
  <c r="AG24" i="119" s="1"/>
  <c r="E32" i="69"/>
  <c r="D25"/>
  <c r="F25"/>
  <c r="E26"/>
  <c r="D27"/>
  <c r="F27"/>
  <c r="E28"/>
  <c r="D29"/>
  <c r="F29"/>
  <c r="E30"/>
  <c r="D31"/>
  <c r="F31"/>
  <c r="D32"/>
  <c r="F32"/>
  <c r="E25"/>
  <c r="D26"/>
  <c r="F26"/>
  <c r="E27"/>
  <c r="D28"/>
  <c r="F28"/>
  <c r="E29"/>
  <c r="D30"/>
  <c r="F30"/>
  <c r="E31"/>
  <c r="F52"/>
  <c r="D52"/>
  <c r="E52"/>
  <c r="F48" i="62"/>
  <c r="G48"/>
  <c r="I48"/>
  <c r="E48"/>
  <c r="H48"/>
  <c r="S23" i="54"/>
  <c r="AR73" i="24"/>
  <c r="AR72"/>
  <c r="AK73"/>
  <c r="AJ23" i="10"/>
  <c r="AL23" s="1"/>
  <c r="M23" i="114" l="1"/>
  <c r="N43" i="7"/>
  <c r="Q23" i="114"/>
  <c r="O43" i="7"/>
  <c r="X30" i="74"/>
  <c r="U31"/>
  <c r="X31"/>
  <c r="Q36" i="114"/>
  <c r="I89" i="69" s="1"/>
  <c r="W30" i="74"/>
  <c r="AK30" s="1"/>
  <c r="AW30" s="1"/>
  <c r="M37" i="114"/>
  <c r="H90" i="69" s="1"/>
  <c r="T31" i="74"/>
  <c r="AI31" s="1"/>
  <c r="AU31" s="1"/>
  <c r="Q37" i="114"/>
  <c r="I90" i="69" s="1"/>
  <c r="W31" i="74"/>
  <c r="AK31" s="1"/>
  <c r="AW31" s="1"/>
  <c r="V31"/>
  <c r="AJ31" s="1"/>
  <c r="AV31" s="1"/>
  <c r="V39"/>
  <c r="AJ39" s="1"/>
  <c r="AV39" s="1"/>
  <c r="V30"/>
  <c r="AJ30" s="1"/>
  <c r="AV30" s="1"/>
  <c r="S31"/>
  <c r="AH31" s="1"/>
  <c r="AT31" s="1"/>
  <c r="S39"/>
  <c r="AH39" s="1"/>
  <c r="AT39" s="1"/>
  <c r="S30"/>
  <c r="AH30" s="1"/>
  <c r="AT30" s="1"/>
  <c r="AA55" i="58"/>
  <c r="S55"/>
  <c r="K55"/>
  <c r="G104" i="62" l="1"/>
  <c r="H104"/>
  <c r="I104"/>
  <c r="AA17" i="58"/>
  <c r="S17"/>
  <c r="K17"/>
  <c r="D104" i="62" l="1"/>
  <c r="F104"/>
  <c r="E104"/>
  <c r="H195"/>
  <c r="Q70" i="60"/>
  <c r="Q71"/>
  <c r="Q72"/>
  <c r="Q73"/>
  <c r="Q73" i="122" s="1"/>
  <c r="Q75" i="60"/>
  <c r="Q69"/>
  <c r="Q58" i="121" l="1"/>
  <c r="Q69" i="122"/>
  <c r="Q64" i="121"/>
  <c r="Q75" i="122"/>
  <c r="Q61" i="121"/>
  <c r="Q72" i="122"/>
  <c r="Q59" i="121"/>
  <c r="Q70" i="122"/>
  <c r="Q60" i="121"/>
  <c r="Q71" i="122"/>
  <c r="H188" i="62"/>
  <c r="Q69" i="120"/>
  <c r="H192" i="62"/>
  <c r="Q73" i="120"/>
  <c r="H190" i="62"/>
  <c r="Q71" i="120"/>
  <c r="H194" i="62"/>
  <c r="Q75" i="120"/>
  <c r="H191" i="62"/>
  <c r="Q72" i="120"/>
  <c r="H189" i="62"/>
  <c r="Q70" i="120"/>
  <c r="E158" i="69"/>
  <c r="F158"/>
  <c r="D158"/>
  <c r="Y69" i="60"/>
  <c r="Y75"/>
  <c r="Y71"/>
  <c r="Y73"/>
  <c r="Y73" i="122" s="1"/>
  <c r="Y70" i="60"/>
  <c r="Y72"/>
  <c r="S3" i="56"/>
  <c r="Q3" i="117" s="1"/>
  <c r="Y75" i="58"/>
  <c r="I88" i="62" s="1"/>
  <c r="Y74" i="58"/>
  <c r="I87" i="62" s="1"/>
  <c r="Q75" i="58"/>
  <c r="H88" i="62" s="1"/>
  <c r="H87"/>
  <c r="I84"/>
  <c r="Y65" i="58"/>
  <c r="I78" i="62" s="1"/>
  <c r="Y66" i="58"/>
  <c r="I79" i="62" s="1"/>
  <c r="Y67" i="58"/>
  <c r="I80" i="62" s="1"/>
  <c r="Y68" i="58"/>
  <c r="I81" i="62" s="1"/>
  <c r="Y69" i="58"/>
  <c r="I82" i="62" s="1"/>
  <c r="Y70" i="58"/>
  <c r="I83" i="62" s="1"/>
  <c r="H84"/>
  <c r="Q65" i="58"/>
  <c r="H78" i="62" s="1"/>
  <c r="Q66" i="58"/>
  <c r="H79" i="62" s="1"/>
  <c r="Q67" i="58"/>
  <c r="H80" i="62" s="1"/>
  <c r="Q68" i="58"/>
  <c r="H81" i="62" s="1"/>
  <c r="Q69" i="58"/>
  <c r="H82" i="62" s="1"/>
  <c r="Q70" i="58"/>
  <c r="H83" i="62" s="1"/>
  <c r="Y64" i="58"/>
  <c r="I77" i="62" s="1"/>
  <c r="Q64" i="58"/>
  <c r="H77" i="62" s="1"/>
  <c r="S17" i="54"/>
  <c r="S3"/>
  <c r="AQ94" i="24"/>
  <c r="AJ94"/>
  <c r="AQ93"/>
  <c r="AR93" s="1"/>
  <c r="O62" i="7" s="1"/>
  <c r="AJ93" i="24"/>
  <c r="AK93" s="1"/>
  <c r="N62" i="7" s="1"/>
  <c r="AQ91" i="24"/>
  <c r="AJ91"/>
  <c r="AQ88"/>
  <c r="AR88" s="1"/>
  <c r="AJ88"/>
  <c r="AK88" s="1"/>
  <c r="AQ87"/>
  <c r="AR87" s="1"/>
  <c r="AJ87"/>
  <c r="AK87" s="1"/>
  <c r="AQ86"/>
  <c r="AR86" s="1"/>
  <c r="AJ86"/>
  <c r="AK86" s="1"/>
  <c r="AQ84"/>
  <c r="AR84" s="1"/>
  <c r="AJ84"/>
  <c r="AK84" s="1"/>
  <c r="AQ82"/>
  <c r="AR82" s="1"/>
  <c r="AJ82"/>
  <c r="AK82" s="1"/>
  <c r="AQ80"/>
  <c r="AR80" s="1"/>
  <c r="AJ80"/>
  <c r="AQ78"/>
  <c r="AR78" s="1"/>
  <c r="AJ78"/>
  <c r="AQ59"/>
  <c r="AJ59"/>
  <c r="AQ58"/>
  <c r="AR58" s="1"/>
  <c r="AS58" s="1"/>
  <c r="AJ58"/>
  <c r="AK58" s="1"/>
  <c r="AL58" s="1"/>
  <c r="AQ57"/>
  <c r="AR57" s="1"/>
  <c r="AJ57"/>
  <c r="AK57" s="1"/>
  <c r="AQ56"/>
  <c r="AR56" s="1"/>
  <c r="AJ56"/>
  <c r="AK56" s="1"/>
  <c r="AQ55"/>
  <c r="AJ55"/>
  <c r="AQ52"/>
  <c r="AR52" s="1"/>
  <c r="AJ52"/>
  <c r="AK52" s="1"/>
  <c r="AQ93" i="10"/>
  <c r="AQ94"/>
  <c r="AR94" s="1"/>
  <c r="Y64" i="122" s="1"/>
  <c r="AC64" s="1"/>
  <c r="AE64" s="1"/>
  <c r="AQ91" i="10"/>
  <c r="AR91" s="1"/>
  <c r="Y61" i="120" s="1"/>
  <c r="AC61" s="1"/>
  <c r="AE61" s="1"/>
  <c r="AQ80" i="10"/>
  <c r="AQ82"/>
  <c r="AQ84"/>
  <c r="AQ86"/>
  <c r="AR86" s="1"/>
  <c r="Y56" i="122" s="1"/>
  <c r="AQ87" i="10"/>
  <c r="AQ88"/>
  <c r="AQ78"/>
  <c r="AJ93"/>
  <c r="AJ94"/>
  <c r="Q64" i="122" s="1"/>
  <c r="U64" s="1"/>
  <c r="W64" s="1"/>
  <c r="AJ91" i="10"/>
  <c r="AJ80"/>
  <c r="AJ82"/>
  <c r="AJ84"/>
  <c r="AJ86"/>
  <c r="AK86" s="1"/>
  <c r="Q56" i="122" s="1"/>
  <c r="AJ87" i="10"/>
  <c r="AJ88"/>
  <c r="AJ78"/>
  <c r="AQ21"/>
  <c r="AR21" s="1"/>
  <c r="AS21" s="1"/>
  <c r="AU21" s="1"/>
  <c r="AQ22"/>
  <c r="AR22" s="1"/>
  <c r="AS22" s="1"/>
  <c r="AU22" s="1"/>
  <c r="AQ23"/>
  <c r="AR23" s="1"/>
  <c r="AS23" s="1"/>
  <c r="AU23" s="1"/>
  <c r="AQ24"/>
  <c r="AQ20"/>
  <c r="AR20" s="1"/>
  <c r="AS20" s="1"/>
  <c r="AU20" s="1"/>
  <c r="AJ21"/>
  <c r="AK21" s="1"/>
  <c r="AL21" s="1"/>
  <c r="AN21" s="1"/>
  <c r="AJ22"/>
  <c r="AK22" s="1"/>
  <c r="AL22" s="1"/>
  <c r="AN22" s="1"/>
  <c r="AJ24"/>
  <c r="AK24" s="1"/>
  <c r="AJ20"/>
  <c r="AK20" s="1"/>
  <c r="AL20" s="1"/>
  <c r="AN20" s="1"/>
  <c r="AQ56"/>
  <c r="AR56" s="1"/>
  <c r="AS56" s="1"/>
  <c r="AU56" s="1"/>
  <c r="AQ57"/>
  <c r="AR57" s="1"/>
  <c r="AS57" s="1"/>
  <c r="AU57" s="1"/>
  <c r="AQ59"/>
  <c r="AQ55"/>
  <c r="AR55" s="1"/>
  <c r="AS55" s="1"/>
  <c r="AU55" s="1"/>
  <c r="AJ56"/>
  <c r="AK56" s="1"/>
  <c r="AL56" s="1"/>
  <c r="AN56" s="1"/>
  <c r="AJ57"/>
  <c r="AK57" s="1"/>
  <c r="AL57" s="1"/>
  <c r="AN57" s="1"/>
  <c r="AJ59"/>
  <c r="AJ55"/>
  <c r="AL55" s="1"/>
  <c r="AN55" s="1"/>
  <c r="AQ45"/>
  <c r="AS45" s="1"/>
  <c r="AU45" s="1"/>
  <c r="AU46" s="1"/>
  <c r="AQ47"/>
  <c r="AS47" s="1"/>
  <c r="AU47" s="1"/>
  <c r="AU48" s="1"/>
  <c r="AQ49"/>
  <c r="AR49" s="1"/>
  <c r="AS49" s="1"/>
  <c r="AU49" s="1"/>
  <c r="AU50" s="1"/>
  <c r="AQ51"/>
  <c r="AS51" s="1"/>
  <c r="AU51" s="1"/>
  <c r="AQ52"/>
  <c r="AR52" s="1"/>
  <c r="AS52" s="1"/>
  <c r="AU52" s="1"/>
  <c r="AQ53"/>
  <c r="AQ43"/>
  <c r="AR43" s="1"/>
  <c r="AS43" s="1"/>
  <c r="AU43" s="1"/>
  <c r="AU44" s="1"/>
  <c r="AJ45"/>
  <c r="AL45" s="1"/>
  <c r="AN45" s="1"/>
  <c r="AN46" s="1"/>
  <c r="AJ47"/>
  <c r="AK47" s="1"/>
  <c r="AL47" s="1"/>
  <c r="AN47" s="1"/>
  <c r="AN48" s="1"/>
  <c r="AJ49"/>
  <c r="AK49" s="1"/>
  <c r="AL49" s="1"/>
  <c r="AN49" s="1"/>
  <c r="AN50" s="1"/>
  <c r="AJ51"/>
  <c r="AL51" s="1"/>
  <c r="AN51" s="1"/>
  <c r="AJ52"/>
  <c r="AK52" s="1"/>
  <c r="AL52" s="1"/>
  <c r="AN52" s="1"/>
  <c r="AJ53"/>
  <c r="AJ43"/>
  <c r="AL43" s="1"/>
  <c r="AN43" s="1"/>
  <c r="AN44" s="1"/>
  <c r="AQ9"/>
  <c r="AR9" s="1"/>
  <c r="AS9" s="1"/>
  <c r="AU9" s="1"/>
  <c r="AU10" s="1"/>
  <c r="AU11" s="1"/>
  <c r="AQ12"/>
  <c r="AQ14"/>
  <c r="AQ16"/>
  <c r="AR16" s="1"/>
  <c r="AS16" s="1"/>
  <c r="AU16" s="1"/>
  <c r="AQ17"/>
  <c r="AR17" s="1"/>
  <c r="AS17" s="1"/>
  <c r="AU17" s="1"/>
  <c r="AQ18"/>
  <c r="AR18" s="1"/>
  <c r="AS18" s="1"/>
  <c r="AU18" s="1"/>
  <c r="AQ6"/>
  <c r="AR6" s="1"/>
  <c r="AS6" s="1"/>
  <c r="AU6" s="1"/>
  <c r="AU7" s="1"/>
  <c r="AU8" s="1"/>
  <c r="AJ9"/>
  <c r="AK9" s="1"/>
  <c r="AL9" s="1"/>
  <c r="AN9" s="1"/>
  <c r="AN10" s="1"/>
  <c r="AN11" s="1"/>
  <c r="AJ12"/>
  <c r="AJ14"/>
  <c r="AJ16"/>
  <c r="AK16" s="1"/>
  <c r="AL16" s="1"/>
  <c r="AN16" s="1"/>
  <c r="AJ17"/>
  <c r="AK17" s="1"/>
  <c r="AL17" s="1"/>
  <c r="AN17" s="1"/>
  <c r="AJ18"/>
  <c r="AK18" s="1"/>
  <c r="AL18" s="1"/>
  <c r="AN18" s="1"/>
  <c r="AJ6"/>
  <c r="AK6" s="1"/>
  <c r="AL6" s="1"/>
  <c r="AN6" s="1"/>
  <c r="AN7" s="1"/>
  <c r="AN8" s="1"/>
  <c r="AR91" i="24" l="1"/>
  <c r="O60" i="7" s="1"/>
  <c r="N60"/>
  <c r="AK91" i="24"/>
  <c r="AK91" i="10"/>
  <c r="Q61" i="120" s="1"/>
  <c r="U61" s="1"/>
  <c r="W61" s="1"/>
  <c r="AL93" i="10"/>
  <c r="AN93" s="1"/>
  <c r="S63" i="122" s="1"/>
  <c r="AS91" i="10"/>
  <c r="AU91" s="1"/>
  <c r="AA61" i="120" s="1"/>
  <c r="AS93" i="10"/>
  <c r="AU93" s="1"/>
  <c r="AA63" i="122" s="1"/>
  <c r="Q21" i="115"/>
  <c r="AS93" i="24"/>
  <c r="M19" i="115"/>
  <c r="H127" i="69" s="1"/>
  <c r="AL91" i="24"/>
  <c r="M21" i="115"/>
  <c r="AL93" i="24"/>
  <c r="Q44" i="121"/>
  <c r="Q52" i="122"/>
  <c r="Y40" i="121"/>
  <c r="Y48" i="122"/>
  <c r="Y46" i="121"/>
  <c r="Y54" i="122"/>
  <c r="Y42" i="121"/>
  <c r="Y50" i="122"/>
  <c r="Q40" i="121"/>
  <c r="Q48" i="122"/>
  <c r="Q46" i="121"/>
  <c r="Q54" i="122"/>
  <c r="Q42" i="121"/>
  <c r="Q50" i="122"/>
  <c r="Y44" i="121"/>
  <c r="Y52" i="122"/>
  <c r="Q58" i="60"/>
  <c r="H179" i="62" s="1"/>
  <c r="Q58" i="122"/>
  <c r="Y58" i="60"/>
  <c r="I179" i="62" s="1"/>
  <c r="Y58" i="122"/>
  <c r="Q54" i="121"/>
  <c r="U54" s="1"/>
  <c r="W54" s="1"/>
  <c r="Y61"/>
  <c r="Y72" i="122"/>
  <c r="Y64" i="121"/>
  <c r="Y75" i="122"/>
  <c r="Y59" i="121"/>
  <c r="Y70" i="122"/>
  <c r="Y60" i="121"/>
  <c r="Y71" i="122"/>
  <c r="Y58" i="121"/>
  <c r="Y69" i="122"/>
  <c r="AS53" i="10"/>
  <c r="AU53" s="1"/>
  <c r="AA23" i="120" s="1"/>
  <c r="Y23"/>
  <c r="AS94" i="10"/>
  <c r="AU94" s="1"/>
  <c r="Y65" i="120"/>
  <c r="AL53" i="10"/>
  <c r="AN53" s="1"/>
  <c r="S23" i="120" s="1"/>
  <c r="Q23"/>
  <c r="AL94" i="10"/>
  <c r="AN94" s="1"/>
  <c r="Q65" i="120"/>
  <c r="AR94" i="24"/>
  <c r="AS94" s="1"/>
  <c r="AK94"/>
  <c r="AL94" s="1"/>
  <c r="AA63" i="46"/>
  <c r="Y52" i="121"/>
  <c r="AC52" s="1"/>
  <c r="AE52" s="1"/>
  <c r="Y63" i="120"/>
  <c r="AC63" s="1"/>
  <c r="AE63" s="1"/>
  <c r="Y54" i="121"/>
  <c r="AC54" s="1"/>
  <c r="AE54" s="1"/>
  <c r="N35" i="7"/>
  <c r="N39"/>
  <c r="N40"/>
  <c r="N41"/>
  <c r="M22" i="114"/>
  <c r="N42" i="7"/>
  <c r="N51"/>
  <c r="N53"/>
  <c r="N55"/>
  <c r="N56"/>
  <c r="N57"/>
  <c r="O35"/>
  <c r="O39"/>
  <c r="O40"/>
  <c r="O41"/>
  <c r="Q22" i="114"/>
  <c r="O42" i="7"/>
  <c r="O47"/>
  <c r="O49"/>
  <c r="O51"/>
  <c r="O53"/>
  <c r="O55"/>
  <c r="O56"/>
  <c r="O57"/>
  <c r="AL88" i="10"/>
  <c r="AN88" s="1"/>
  <c r="Q56" i="60"/>
  <c r="H177" i="62" s="1"/>
  <c r="Q56" i="120"/>
  <c r="AL82" i="10"/>
  <c r="AN82" s="1"/>
  <c r="S52" i="122" s="1"/>
  <c r="S53" s="1"/>
  <c r="Q52" i="120"/>
  <c r="AS78" i="10"/>
  <c r="AU78" s="1"/>
  <c r="Y48" i="120"/>
  <c r="AS84" i="10"/>
  <c r="AU84" s="1"/>
  <c r="AA54" i="122" s="1"/>
  <c r="AA55" s="1"/>
  <c r="Y54" i="120"/>
  <c r="AS80" i="10"/>
  <c r="AU80" s="1"/>
  <c r="Y50" i="120"/>
  <c r="Y64"/>
  <c r="AC64" s="1"/>
  <c r="AE64" s="1"/>
  <c r="AL78" i="10"/>
  <c r="AN78" s="1"/>
  <c r="S48" i="122" s="1"/>
  <c r="S49" s="1"/>
  <c r="Q48" i="120"/>
  <c r="AL84" i="10"/>
  <c r="AN84" s="1"/>
  <c r="S54" i="122" s="1"/>
  <c r="S55" s="1"/>
  <c r="Q54" i="120"/>
  <c r="AL80" i="10"/>
  <c r="AN80" s="1"/>
  <c r="S50" i="122" s="1"/>
  <c r="S51" s="1"/>
  <c r="Q50" i="120"/>
  <c r="Q64"/>
  <c r="U64" s="1"/>
  <c r="W64" s="1"/>
  <c r="Q63" i="60"/>
  <c r="H184" i="62" s="1"/>
  <c r="Q63" i="120"/>
  <c r="U63" s="1"/>
  <c r="W63" s="1"/>
  <c r="AS88" i="10"/>
  <c r="AU88" s="1"/>
  <c r="Y56" i="60"/>
  <c r="I177" i="62" s="1"/>
  <c r="Y56" i="120"/>
  <c r="AS82" i="10"/>
  <c r="AU82" s="1"/>
  <c r="AA52" i="122" s="1"/>
  <c r="AA53" s="1"/>
  <c r="Y52" i="120"/>
  <c r="Q15" i="114"/>
  <c r="I70" i="69" s="1"/>
  <c r="AU56" i="24"/>
  <c r="S19" i="114" s="1"/>
  <c r="I106" i="69" s="1"/>
  <c r="Q19" i="114"/>
  <c r="I74" i="69" s="1"/>
  <c r="AU57" i="24"/>
  <c r="S20" i="114" s="1"/>
  <c r="I107" i="69" s="1"/>
  <c r="Q20" i="114"/>
  <c r="I75" i="69" s="1"/>
  <c r="Q21" i="114"/>
  <c r="I76" i="69" s="1"/>
  <c r="Q6" i="115"/>
  <c r="AF6" i="119" s="1"/>
  <c r="Q8" i="115"/>
  <c r="AF8" i="119" s="1"/>
  <c r="Q10" i="115"/>
  <c r="AF10" i="119" s="1"/>
  <c r="Q12" i="115"/>
  <c r="AF12" i="119" s="1"/>
  <c r="Q14" i="115"/>
  <c r="Q15"/>
  <c r="Q16"/>
  <c r="AF18" i="119"/>
  <c r="AF19"/>
  <c r="AF20"/>
  <c r="Y70" i="120"/>
  <c r="Y71"/>
  <c r="Y69"/>
  <c r="M15" i="114"/>
  <c r="H70" i="69" s="1"/>
  <c r="AN56" i="24"/>
  <c r="O19" i="114" s="1"/>
  <c r="H106" i="69" s="1"/>
  <c r="M19" i="114"/>
  <c r="H74" i="69" s="1"/>
  <c r="AN57" i="24"/>
  <c r="O20" i="114" s="1"/>
  <c r="H107" i="69" s="1"/>
  <c r="M20" i="114"/>
  <c r="H75" i="69" s="1"/>
  <c r="M21" i="114"/>
  <c r="H76" i="69" s="1"/>
  <c r="M10" i="115"/>
  <c r="M12"/>
  <c r="M14"/>
  <c r="AN87" i="24"/>
  <c r="O15" i="115" s="1"/>
  <c r="M15"/>
  <c r="M16"/>
  <c r="Y72" i="120"/>
  <c r="I192" i="62"/>
  <c r="Y73" i="120"/>
  <c r="Y75"/>
  <c r="AL82" i="24"/>
  <c r="U34" i="74" s="1"/>
  <c r="AL84" i="24"/>
  <c r="U35" i="74" s="1"/>
  <c r="AL86" i="24"/>
  <c r="U36" i="74" s="1"/>
  <c r="AL88" i="24"/>
  <c r="U38" i="74" s="1"/>
  <c r="U40"/>
  <c r="U41"/>
  <c r="U42"/>
  <c r="U43"/>
  <c r="AS82" i="24"/>
  <c r="X34" i="74" s="1"/>
  <c r="AS84" i="24"/>
  <c r="X35" i="74" s="1"/>
  <c r="AS86" i="24"/>
  <c r="X36" i="74" s="1"/>
  <c r="AS88" i="24"/>
  <c r="X38" i="74" s="1"/>
  <c r="X40"/>
  <c r="X41"/>
  <c r="X42"/>
  <c r="X43"/>
  <c r="Y57" i="122"/>
  <c r="AK87" i="10"/>
  <c r="Q57" i="122" s="1"/>
  <c r="V42" i="74"/>
  <c r="AJ42" s="1"/>
  <c r="AV42" s="1"/>
  <c r="V41"/>
  <c r="AJ41" s="1"/>
  <c r="AV41" s="1"/>
  <c r="Q50" i="60"/>
  <c r="H170" i="62" s="1"/>
  <c r="O22" i="114"/>
  <c r="S22"/>
  <c r="AK14" i="10"/>
  <c r="AL14" s="1"/>
  <c r="AN14" s="1"/>
  <c r="AR12"/>
  <c r="AS12" s="1"/>
  <c r="AU12" s="1"/>
  <c r="AK12"/>
  <c r="AL12" s="1"/>
  <c r="AN12" s="1"/>
  <c r="AR14"/>
  <c r="AS14" s="1"/>
  <c r="AU14" s="1"/>
  <c r="AL57" i="24"/>
  <c r="V28" i="74" s="1"/>
  <c r="AJ28" s="1"/>
  <c r="AV28" s="1"/>
  <c r="AL52" i="24"/>
  <c r="V23" i="74" s="1"/>
  <c r="AJ23" s="1"/>
  <c r="AV23" s="1"/>
  <c r="AL56" i="24"/>
  <c r="V27" i="74" s="1"/>
  <c r="AJ27" s="1"/>
  <c r="AV27" s="1"/>
  <c r="V29"/>
  <c r="AJ29" s="1"/>
  <c r="AV29" s="1"/>
  <c r="T38"/>
  <c r="AI38" s="1"/>
  <c r="AU38" s="1"/>
  <c r="T43"/>
  <c r="AI43" s="1"/>
  <c r="AU43" s="1"/>
  <c r="AS57" i="24"/>
  <c r="X28" i="74" s="1"/>
  <c r="AS52" i="24"/>
  <c r="X23" i="74" s="1"/>
  <c r="AS56" i="24"/>
  <c r="X27" i="74" s="1"/>
  <c r="X29"/>
  <c r="F104" i="69"/>
  <c r="AA54" i="58"/>
  <c r="AK80" i="24"/>
  <c r="AK78"/>
  <c r="AR55"/>
  <c r="AK55"/>
  <c r="I188" i="62"/>
  <c r="I190"/>
  <c r="I189"/>
  <c r="I195"/>
  <c r="AS78" i="24"/>
  <c r="X32" i="74" s="1"/>
  <c r="AS80" i="24"/>
  <c r="X33" i="74" s="1"/>
  <c r="Y64" i="60"/>
  <c r="I185" i="62" s="1"/>
  <c r="I191"/>
  <c r="I194"/>
  <c r="Y61" i="60"/>
  <c r="I182" i="62" s="1"/>
  <c r="Y63" i="60"/>
  <c r="I184" i="62" s="1"/>
  <c r="S57" i="46"/>
  <c r="Q57"/>
  <c r="H14" i="62" s="1"/>
  <c r="AA56" i="46"/>
  <c r="I45" i="62" s="1"/>
  <c r="Y56" i="46"/>
  <c r="I13" i="62" s="1"/>
  <c r="S46" i="46"/>
  <c r="S47" s="1"/>
  <c r="S48" s="1"/>
  <c r="Q46"/>
  <c r="H5" i="62" s="1"/>
  <c r="AA58" i="46"/>
  <c r="Y58"/>
  <c r="I15" i="62" s="1"/>
  <c r="S60" i="46"/>
  <c r="Q60"/>
  <c r="H17" i="62" s="1"/>
  <c r="S61" i="46"/>
  <c r="Q61"/>
  <c r="H18" i="62" s="1"/>
  <c r="AA62" i="46"/>
  <c r="Y62"/>
  <c r="I19" i="62" s="1"/>
  <c r="S56" i="46"/>
  <c r="H45" i="62" s="1"/>
  <c r="Q56" i="46"/>
  <c r="H13" i="62" s="1"/>
  <c r="AA46" i="46"/>
  <c r="AA47" s="1"/>
  <c r="AA48" s="1"/>
  <c r="Y46"/>
  <c r="I5" i="62" s="1"/>
  <c r="S62" i="46"/>
  <c r="Q62"/>
  <c r="H19" i="62" s="1"/>
  <c r="Y63" i="46"/>
  <c r="I20" i="62" s="1"/>
  <c r="S49" i="46"/>
  <c r="S50" s="1"/>
  <c r="S51" s="1"/>
  <c r="Q49"/>
  <c r="H7" i="62" s="1"/>
  <c r="S63" i="46"/>
  <c r="Q63"/>
  <c r="H20" i="62" s="1"/>
  <c r="S58" i="46"/>
  <c r="Q58"/>
  <c r="H15" i="62" s="1"/>
  <c r="AA57" i="46"/>
  <c r="Y57"/>
  <c r="I14" i="62" s="1"/>
  <c r="AA49" i="46"/>
  <c r="AA50" s="1"/>
  <c r="AA51" s="1"/>
  <c r="Y49"/>
  <c r="I7" i="62" s="1"/>
  <c r="AA60" i="46"/>
  <c r="Y60"/>
  <c r="I17" i="62" s="1"/>
  <c r="AA61" i="46"/>
  <c r="Y61"/>
  <c r="I18" i="62" s="1"/>
  <c r="AL87" i="24"/>
  <c r="V37" i="74" s="1"/>
  <c r="AJ37" s="1"/>
  <c r="AV37" s="1"/>
  <c r="T41"/>
  <c r="AI41" s="1"/>
  <c r="AU41" s="1"/>
  <c r="T36"/>
  <c r="AI36" s="1"/>
  <c r="AU36" s="1"/>
  <c r="AS87" i="24"/>
  <c r="X37" i="74" s="1"/>
  <c r="T40"/>
  <c r="AI40" s="1"/>
  <c r="AU40" s="1"/>
  <c r="T42"/>
  <c r="AI42" s="1"/>
  <c r="AU42" s="1"/>
  <c r="Q52" i="60"/>
  <c r="Y52"/>
  <c r="Y50"/>
  <c r="Q48"/>
  <c r="H167" i="62" s="1"/>
  <c r="Q54" i="60"/>
  <c r="Y48"/>
  <c r="Y54"/>
  <c r="AL86" i="10"/>
  <c r="AN86" s="1"/>
  <c r="S56" i="122" s="1"/>
  <c r="AS86" i="10"/>
  <c r="AU86" s="1"/>
  <c r="AA56" i="122" s="1"/>
  <c r="S59" i="58"/>
  <c r="Q59"/>
  <c r="H74" i="62" s="1"/>
  <c r="AA53" i="58"/>
  <c r="Y53"/>
  <c r="I68" i="62" s="1"/>
  <c r="S56" i="58"/>
  <c r="Q56"/>
  <c r="H71" i="62" s="1"/>
  <c r="S50" i="58"/>
  <c r="S51" s="1"/>
  <c r="Q50"/>
  <c r="H65" i="62" s="1"/>
  <c r="AA44" i="58"/>
  <c r="AA45" s="1"/>
  <c r="Y44"/>
  <c r="I57" i="62" s="1"/>
  <c r="S53" i="58"/>
  <c r="Q53"/>
  <c r="H68" i="62" s="1"/>
  <c r="S46" i="58"/>
  <c r="S47" s="1"/>
  <c r="Q46"/>
  <c r="H60" i="62" s="1"/>
  <c r="AA52" i="58"/>
  <c r="Y52"/>
  <c r="I67" i="62" s="1"/>
  <c r="S44" i="58"/>
  <c r="S45" s="1"/>
  <c r="Q44"/>
  <c r="H57" i="62" s="1"/>
  <c r="S48" i="58"/>
  <c r="S49" s="1"/>
  <c r="Q48"/>
  <c r="H63" i="62" s="1"/>
  <c r="AA46" i="58"/>
  <c r="AA47" s="1"/>
  <c r="Y46"/>
  <c r="I60" i="62" s="1"/>
  <c r="AA56" i="58"/>
  <c r="Y56"/>
  <c r="I71" i="62" s="1"/>
  <c r="AA57" i="58"/>
  <c r="Y57"/>
  <c r="I72" i="62" s="1"/>
  <c r="AA58" i="58"/>
  <c r="Y58"/>
  <c r="I73" i="62" s="1"/>
  <c r="AA48" i="58"/>
  <c r="AA49" s="1"/>
  <c r="Y48"/>
  <c r="I63" i="62" s="1"/>
  <c r="S57" i="58"/>
  <c r="Q57"/>
  <c r="H72" i="62" s="1"/>
  <c r="S52" i="58"/>
  <c r="Q52"/>
  <c r="H67" i="62" s="1"/>
  <c r="AA50" i="58"/>
  <c r="AA51" s="1"/>
  <c r="Y50"/>
  <c r="I65" i="62" s="1"/>
  <c r="S58" i="58"/>
  <c r="Q58"/>
  <c r="H73" i="62" s="1"/>
  <c r="AA59" i="58"/>
  <c r="Y59"/>
  <c r="I74" i="62" s="1"/>
  <c r="AU94" i="24" l="1"/>
  <c r="S22" i="115" s="1"/>
  <c r="AG21" i="119" s="1"/>
  <c r="AU88" i="24"/>
  <c r="S16" i="115" s="1"/>
  <c r="AG16" i="119" s="1"/>
  <c r="AU87" i="24"/>
  <c r="S15" i="115" s="1"/>
  <c r="AG15" i="119" s="1"/>
  <c r="AU86" i="24"/>
  <c r="S14" i="115" s="1"/>
  <c r="AG14" i="119" s="1"/>
  <c r="AU84" i="24"/>
  <c r="AU85" s="1"/>
  <c r="AU82"/>
  <c r="AU83" s="1"/>
  <c r="AU80"/>
  <c r="AU81" s="1"/>
  <c r="AU78"/>
  <c r="AU79" s="1"/>
  <c r="AU52"/>
  <c r="S15" i="114" s="1"/>
  <c r="I102" i="69" s="1"/>
  <c r="M22" i="115"/>
  <c r="AN88" i="24"/>
  <c r="O16" i="115" s="1"/>
  <c r="AN86" i="24"/>
  <c r="O14" i="115" s="1"/>
  <c r="AB14" i="119" s="1"/>
  <c r="AN84" i="24"/>
  <c r="AN85" s="1"/>
  <c r="AN82"/>
  <c r="O10" i="115" s="1"/>
  <c r="AB10" i="119" s="1"/>
  <c r="AN52" i="24"/>
  <c r="O15" i="114" s="1"/>
  <c r="H102" i="69" s="1"/>
  <c r="AS91" i="24"/>
  <c r="AA61" i="122"/>
  <c r="Q19" i="115"/>
  <c r="I127" i="69" s="1"/>
  <c r="AL91" i="10"/>
  <c r="AN91" s="1"/>
  <c r="S61" i="120" s="1"/>
  <c r="H175" i="62"/>
  <c r="H173"/>
  <c r="Y63" i="122"/>
  <c r="AC63" s="1"/>
  <c r="AE63" s="1"/>
  <c r="Y61"/>
  <c r="AC61" s="1"/>
  <c r="AE61" s="1"/>
  <c r="Q63"/>
  <c r="U63" s="1"/>
  <c r="W63" s="1"/>
  <c r="Q52" i="121"/>
  <c r="U52" s="1"/>
  <c r="W52" s="1"/>
  <c r="Q61" i="122"/>
  <c r="U61" s="1"/>
  <c r="W61" s="1"/>
  <c r="Q61" i="60"/>
  <c r="H182" i="62" s="1"/>
  <c r="S54" i="121"/>
  <c r="AA58" i="60"/>
  <c r="AA58" i="122"/>
  <c r="AA42" i="121"/>
  <c r="AA43" s="1"/>
  <c r="AA50" i="122"/>
  <c r="AA51" s="1"/>
  <c r="AA40" i="121"/>
  <c r="AA41" s="1"/>
  <c r="AA48" i="122"/>
  <c r="AA49" s="1"/>
  <c r="S65" i="120"/>
  <c r="S64" i="122"/>
  <c r="AA65" i="120"/>
  <c r="AA64" i="122"/>
  <c r="S58" i="60"/>
  <c r="H214" i="62" s="1"/>
  <c r="S58" i="122"/>
  <c r="S54" i="58"/>
  <c r="H103" i="62" s="1"/>
  <c r="AN91" i="24"/>
  <c r="AU91"/>
  <c r="AN93"/>
  <c r="AU93"/>
  <c r="Y60" i="58"/>
  <c r="Q60"/>
  <c r="AS24" i="10"/>
  <c r="AA64" i="46" s="1"/>
  <c r="Y64"/>
  <c r="AL24" i="10"/>
  <c r="AN24" s="1"/>
  <c r="S64" i="46" s="1"/>
  <c r="Q64"/>
  <c r="AN94" i="24"/>
  <c r="O22" i="115" s="1"/>
  <c r="H163" i="69" s="1"/>
  <c r="Q22" i="115"/>
  <c r="AF21" i="119" s="1"/>
  <c r="O63" i="7"/>
  <c r="N63"/>
  <c r="AU58" i="24"/>
  <c r="S21" i="114" s="1"/>
  <c r="I108" i="69" s="1"/>
  <c r="AN58" i="24"/>
  <c r="O21" i="114" s="1"/>
  <c r="H108" i="69" s="1"/>
  <c r="Q55" i="121"/>
  <c r="U55" s="1"/>
  <c r="W55" s="1"/>
  <c r="Y55"/>
  <c r="AC55" s="1"/>
  <c r="AE55" s="1"/>
  <c r="AA63" i="120"/>
  <c r="AA54" i="121"/>
  <c r="AA52" i="120"/>
  <c r="AA53" s="1"/>
  <c r="AA44" i="121"/>
  <c r="AA45" s="1"/>
  <c r="S64" i="120"/>
  <c r="S55" i="121"/>
  <c r="S50" i="60"/>
  <c r="S51" s="1"/>
  <c r="H206" i="62" s="1"/>
  <c r="S42" i="121"/>
  <c r="S43" s="1"/>
  <c r="S54" i="120"/>
  <c r="S55" s="1"/>
  <c r="S46" i="121"/>
  <c r="S47" s="1"/>
  <c r="S48" i="60"/>
  <c r="S49" s="1"/>
  <c r="H203" i="62" s="1"/>
  <c r="S40" i="121"/>
  <c r="S41" s="1"/>
  <c r="AA64" i="120"/>
  <c r="AA55" i="121"/>
  <c r="AA54" i="120"/>
  <c r="AA55" s="1"/>
  <c r="AA46" i="121"/>
  <c r="AA47" s="1"/>
  <c r="S52" i="120"/>
  <c r="S53" s="1"/>
  <c r="S44" i="121"/>
  <c r="S45" s="1"/>
  <c r="AA52"/>
  <c r="S54" i="60"/>
  <c r="S55" s="1"/>
  <c r="H211" i="62" s="1"/>
  <c r="V35" i="74"/>
  <c r="AJ35" s="1"/>
  <c r="AV35" s="1"/>
  <c r="N38" i="7"/>
  <c r="N47"/>
  <c r="N49"/>
  <c r="O38"/>
  <c r="S64" i="60"/>
  <c r="H220" i="62" s="1"/>
  <c r="V34" i="74"/>
  <c r="AJ34" s="1"/>
  <c r="AV34" s="1"/>
  <c r="V36"/>
  <c r="AJ36" s="1"/>
  <c r="AV36" s="1"/>
  <c r="V40"/>
  <c r="AJ40" s="1"/>
  <c r="AV40" s="1"/>
  <c r="V38"/>
  <c r="AJ38" s="1"/>
  <c r="AV38" s="1"/>
  <c r="S50" i="120"/>
  <c r="S51" s="1"/>
  <c r="AN81" i="10"/>
  <c r="AA50" i="120"/>
  <c r="AA51" s="1"/>
  <c r="AU81" i="10"/>
  <c r="S48" i="120"/>
  <c r="S49" s="1"/>
  <c r="AN79" i="10"/>
  <c r="AA48" i="120"/>
  <c r="AA49" s="1"/>
  <c r="AU79" i="10"/>
  <c r="AN83" i="24"/>
  <c r="S10" i="115"/>
  <c r="AG10" i="119" s="1"/>
  <c r="AA52" i="46"/>
  <c r="AA53" s="1"/>
  <c r="I42" i="62" s="1"/>
  <c r="AU13" i="10"/>
  <c r="S52" i="46"/>
  <c r="S53" s="1"/>
  <c r="H42" i="62" s="1"/>
  <c r="AN13" i="10"/>
  <c r="AA54" i="46"/>
  <c r="AA55" s="1"/>
  <c r="AU15" i="10"/>
  <c r="S54" i="46"/>
  <c r="S55" s="1"/>
  <c r="AN15" i="10"/>
  <c r="AB21" i="119"/>
  <c r="AA20"/>
  <c r="H162" i="69"/>
  <c r="AA18" i="119"/>
  <c r="H157" i="69"/>
  <c r="AB16" i="119"/>
  <c r="H156" i="69"/>
  <c r="AB15" i="119"/>
  <c r="H155" i="69"/>
  <c r="I157"/>
  <c r="H130"/>
  <c r="AA21" i="119"/>
  <c r="H129" i="69"/>
  <c r="AA19" i="119"/>
  <c r="H124" i="69"/>
  <c r="AA16" i="119"/>
  <c r="H123" i="69"/>
  <c r="AA15" i="119"/>
  <c r="H122" i="69"/>
  <c r="AA14" i="119"/>
  <c r="H120" i="69"/>
  <c r="AA12" i="119"/>
  <c r="H118" i="69"/>
  <c r="AA10" i="119"/>
  <c r="I124" i="69"/>
  <c r="AF16" i="119"/>
  <c r="I123" i="69"/>
  <c r="AF15" i="119"/>
  <c r="I122" i="69"/>
  <c r="AF14" i="119"/>
  <c r="S52" i="60"/>
  <c r="S53" s="1"/>
  <c r="H209" i="62" s="1"/>
  <c r="AS87" i="10"/>
  <c r="AU87" s="1"/>
  <c r="AA57" i="122" s="1"/>
  <c r="Y57" i="120"/>
  <c r="AL87" i="10"/>
  <c r="AN87" s="1"/>
  <c r="S57" i="122" s="1"/>
  <c r="Q57" i="120"/>
  <c r="S56" i="60"/>
  <c r="H212" i="62" s="1"/>
  <c r="S56" i="120"/>
  <c r="AN55" i="24"/>
  <c r="O18" i="114" s="1"/>
  <c r="H105" i="69" s="1"/>
  <c r="M18" i="114"/>
  <c r="H73" i="69" s="1"/>
  <c r="M6" i="115"/>
  <c r="M8"/>
  <c r="I114" i="69"/>
  <c r="S63" i="60"/>
  <c r="H219" i="62" s="1"/>
  <c r="S63" i="120"/>
  <c r="AA56" i="60"/>
  <c r="I212" i="62" s="1"/>
  <c r="AA56" i="120"/>
  <c r="Q18" i="114"/>
  <c r="I73" i="69" s="1"/>
  <c r="I129"/>
  <c r="I120"/>
  <c r="I118"/>
  <c r="I116"/>
  <c r="T29" i="74"/>
  <c r="AI29" s="1"/>
  <c r="AU29" s="1"/>
  <c r="U29"/>
  <c r="T23"/>
  <c r="AI23" s="1"/>
  <c r="AU23" s="1"/>
  <c r="U23"/>
  <c r="T37"/>
  <c r="AI37" s="1"/>
  <c r="AU37" s="1"/>
  <c r="U37"/>
  <c r="T27"/>
  <c r="AI27" s="1"/>
  <c r="AU27" s="1"/>
  <c r="U27"/>
  <c r="T28"/>
  <c r="AI28" s="1"/>
  <c r="AU28" s="1"/>
  <c r="U28"/>
  <c r="Y54" i="46"/>
  <c r="I11" i="62" s="1"/>
  <c r="Y57" i="60"/>
  <c r="I178" i="62" s="1"/>
  <c r="Q54" i="46"/>
  <c r="H11" i="62" s="1"/>
  <c r="Q57" i="60"/>
  <c r="H178" i="62" s="1"/>
  <c r="Y52" i="46"/>
  <c r="I9" i="62" s="1"/>
  <c r="T34" i="74"/>
  <c r="AI34" s="1"/>
  <c r="AU34" s="1"/>
  <c r="V43"/>
  <c r="AJ43" s="1"/>
  <c r="AV43" s="1"/>
  <c r="W40"/>
  <c r="AK40" s="1"/>
  <c r="AW40" s="1"/>
  <c r="W29"/>
  <c r="AK29" s="1"/>
  <c r="AW29" s="1"/>
  <c r="W38"/>
  <c r="AK38" s="1"/>
  <c r="AW38" s="1"/>
  <c r="W28"/>
  <c r="AK28" s="1"/>
  <c r="AW28" s="1"/>
  <c r="W36"/>
  <c r="AK36" s="1"/>
  <c r="AW36" s="1"/>
  <c r="W41"/>
  <c r="AK41" s="1"/>
  <c r="AW41" s="1"/>
  <c r="W42"/>
  <c r="AK42" s="1"/>
  <c r="AW42" s="1"/>
  <c r="W23"/>
  <c r="AK23" s="1"/>
  <c r="AW23" s="1"/>
  <c r="W37"/>
  <c r="AK37" s="1"/>
  <c r="AW37" s="1"/>
  <c r="W27"/>
  <c r="AK27" s="1"/>
  <c r="AW27" s="1"/>
  <c r="Q52" i="46"/>
  <c r="H9" i="62" s="1"/>
  <c r="W33" i="74"/>
  <c r="AK33" s="1"/>
  <c r="AW33" s="1"/>
  <c r="W32"/>
  <c r="AK32" s="1"/>
  <c r="AW32" s="1"/>
  <c r="T35"/>
  <c r="AI35" s="1"/>
  <c r="AU35" s="1"/>
  <c r="AS55" i="24"/>
  <c r="X26" i="74" s="1"/>
  <c r="AL55" i="24"/>
  <c r="V26" i="74" s="1"/>
  <c r="AJ26" s="1"/>
  <c r="AV26" s="1"/>
  <c r="AL80" i="24"/>
  <c r="U33" i="74" s="1"/>
  <c r="AL78" i="24"/>
  <c r="U32" i="74" s="1"/>
  <c r="Y54" i="58"/>
  <c r="I69" i="62" s="1"/>
  <c r="Q54" i="58"/>
  <c r="H69" i="62" s="1"/>
  <c r="H97"/>
  <c r="H98"/>
  <c r="H99"/>
  <c r="H100"/>
  <c r="H94"/>
  <c r="I91"/>
  <c r="I99"/>
  <c r="I100"/>
  <c r="I97"/>
  <c r="I98"/>
  <c r="I94"/>
  <c r="H91"/>
  <c r="Q64" i="60"/>
  <c r="H185" i="62" s="1"/>
  <c r="I39"/>
  <c r="I40"/>
  <c r="H39"/>
  <c r="H40"/>
  <c r="I37"/>
  <c r="I38"/>
  <c r="H37"/>
  <c r="H38"/>
  <c r="AA50" i="60"/>
  <c r="AA51" s="1"/>
  <c r="AA54"/>
  <c r="AA55" s="1"/>
  <c r="AA52"/>
  <c r="AA53" s="1"/>
  <c r="AA61"/>
  <c r="I217" i="62" s="1"/>
  <c r="AA63" i="60"/>
  <c r="AA64"/>
  <c r="AA48"/>
  <c r="AA49" s="1"/>
  <c r="I167" i="62"/>
  <c r="I170"/>
  <c r="I175"/>
  <c r="I173"/>
  <c r="I50"/>
  <c r="H101"/>
  <c r="I103"/>
  <c r="I214"/>
  <c r="I46"/>
  <c r="I101"/>
  <c r="H102"/>
  <c r="H105"/>
  <c r="I102"/>
  <c r="H108"/>
  <c r="H46"/>
  <c r="H107"/>
  <c r="I106"/>
  <c r="H47"/>
  <c r="H51"/>
  <c r="I51"/>
  <c r="I47"/>
  <c r="I108"/>
  <c r="H106"/>
  <c r="I107"/>
  <c r="I105"/>
  <c r="H52"/>
  <c r="I52"/>
  <c r="H50"/>
  <c r="H49"/>
  <c r="I49"/>
  <c r="I163" i="69" l="1"/>
  <c r="I156"/>
  <c r="I155"/>
  <c r="S12" i="115"/>
  <c r="AG12" i="119" s="1"/>
  <c r="S8" i="115"/>
  <c r="AG8" i="119" s="1"/>
  <c r="S6" i="115"/>
  <c r="AG6" i="119" s="1"/>
  <c r="AU55" i="24"/>
  <c r="S18" i="114" s="1"/>
  <c r="I105" i="69" s="1"/>
  <c r="O12" i="115"/>
  <c r="AB12" i="119" s="1"/>
  <c r="AN80" i="24"/>
  <c r="O8" i="115" s="1"/>
  <c r="AB8" i="119" s="1"/>
  <c r="AN78" i="24"/>
  <c r="O6" i="115" s="1"/>
  <c r="AB6" i="119" s="1"/>
  <c r="S61" i="60"/>
  <c r="H217" i="62" s="1"/>
  <c r="S61" i="122"/>
  <c r="AG19" i="119"/>
  <c r="S21" i="115"/>
  <c r="AG18" i="119"/>
  <c r="S19" i="115"/>
  <c r="I160" i="69" s="1"/>
  <c r="O19" i="115"/>
  <c r="H160" i="69" s="1"/>
  <c r="AB19" i="119"/>
  <c r="O21" i="115"/>
  <c r="S52" i="121"/>
  <c r="AB18" i="119"/>
  <c r="I130" i="69"/>
  <c r="I162"/>
  <c r="H43" i="62"/>
  <c r="S7" i="115"/>
  <c r="AG7" i="119" s="1"/>
  <c r="H202" i="62"/>
  <c r="H205"/>
  <c r="H210"/>
  <c r="S57" i="60"/>
  <c r="H213" i="62" s="1"/>
  <c r="AA57" i="60"/>
  <c r="I213" i="62" s="1"/>
  <c r="I151" i="69"/>
  <c r="I41" i="62"/>
  <c r="O11" i="115"/>
  <c r="H152" i="69" s="1"/>
  <c r="I43" i="62"/>
  <c r="H41"/>
  <c r="H151" i="69"/>
  <c r="S11" i="115"/>
  <c r="AG11" i="119" s="1"/>
  <c r="AN81" i="24"/>
  <c r="H116" i="69"/>
  <c r="AA8" i="119"/>
  <c r="H114" i="69"/>
  <c r="AA6" i="119"/>
  <c r="S57" i="120"/>
  <c r="H208" i="62"/>
  <c r="AA57" i="120"/>
  <c r="V32" i="74"/>
  <c r="AJ32" s="1"/>
  <c r="AV32" s="1"/>
  <c r="V33"/>
  <c r="AJ33" s="1"/>
  <c r="AV33" s="1"/>
  <c r="T26"/>
  <c r="AI26" s="1"/>
  <c r="AU26" s="1"/>
  <c r="U26"/>
  <c r="I205" i="62"/>
  <c r="I206"/>
  <c r="W26" i="74"/>
  <c r="AK26" s="1"/>
  <c r="AW26" s="1"/>
  <c r="W43"/>
  <c r="AK43" s="1"/>
  <c r="AW43" s="1"/>
  <c r="T32"/>
  <c r="AI32" s="1"/>
  <c r="AU32" s="1"/>
  <c r="T33"/>
  <c r="AI33" s="1"/>
  <c r="AU33" s="1"/>
  <c r="W34"/>
  <c r="AK34" s="1"/>
  <c r="AW34" s="1"/>
  <c r="W35"/>
  <c r="AK35" s="1"/>
  <c r="AW35" s="1"/>
  <c r="I203" i="62"/>
  <c r="I219"/>
  <c r="I210"/>
  <c r="I220"/>
  <c r="I202"/>
  <c r="I208"/>
  <c r="I209"/>
  <c r="I211"/>
  <c r="H93"/>
  <c r="H92"/>
  <c r="H44"/>
  <c r="I93"/>
  <c r="I92"/>
  <c r="I96"/>
  <c r="I95"/>
  <c r="H96"/>
  <c r="H95"/>
  <c r="I44"/>
  <c r="H207"/>
  <c r="H204"/>
  <c r="I153" i="69" l="1"/>
  <c r="S13" i="115"/>
  <c r="I149" i="69"/>
  <c r="S9" i="115"/>
  <c r="AG9" i="119" s="1"/>
  <c r="I148" i="69"/>
  <c r="I147"/>
  <c r="H153"/>
  <c r="O13" i="115"/>
  <c r="H154" i="69" s="1"/>
  <c r="AN79" i="24"/>
  <c r="AB20" i="119"/>
  <c r="AG20"/>
  <c r="I150" i="69"/>
  <c r="I152"/>
  <c r="AB11" i="119"/>
  <c r="H149" i="69"/>
  <c r="H147"/>
  <c r="O9" i="115"/>
  <c r="H150" i="69" s="1"/>
  <c r="O7" i="115"/>
  <c r="H148" i="69" s="1"/>
  <c r="I207" i="62"/>
  <c r="I204"/>
  <c r="D30"/>
  <c r="I29" i="46"/>
  <c r="D24" i="62" s="1"/>
  <c r="I30" i="46"/>
  <c r="D25" i="62" s="1"/>
  <c r="I31" i="46"/>
  <c r="D26" i="62" s="1"/>
  <c r="I32" i="46"/>
  <c r="D27" i="62" s="1"/>
  <c r="I33" i="46"/>
  <c r="D28" i="62" s="1"/>
  <c r="I34" i="46"/>
  <c r="D29" i="62" s="1"/>
  <c r="I35" i="46"/>
  <c r="I28"/>
  <c r="D23" i="62" s="1"/>
  <c r="K19" i="46"/>
  <c r="AG13" i="119" l="1"/>
  <c r="I154" i="69"/>
  <c r="AB13" i="119"/>
  <c r="AB9"/>
  <c r="AB7"/>
  <c r="D48" i="62"/>
  <c r="O78" i="10" l="1"/>
  <c r="P78" s="1"/>
  <c r="Q6" i="122" s="1"/>
  <c r="H43" i="24"/>
  <c r="I43" s="1"/>
  <c r="J26" i="7" s="1"/>
  <c r="H45" i="24"/>
  <c r="I45" s="1"/>
  <c r="J28" i="7" s="1"/>
  <c r="H47" i="24"/>
  <c r="I47" s="1"/>
  <c r="J30" i="7" s="1"/>
  <c r="H49" i="24"/>
  <c r="I49" s="1"/>
  <c r="J32" i="7" s="1"/>
  <c r="Q6" i="121" l="1"/>
  <c r="Q78" i="10"/>
  <c r="S78" s="1"/>
  <c r="S6" i="122" s="1"/>
  <c r="S7" s="1"/>
  <c r="Q6" i="120"/>
  <c r="G18" i="74"/>
  <c r="Z18" s="1"/>
  <c r="AL18" s="1"/>
  <c r="G20"/>
  <c r="Z20" s="1"/>
  <c r="AL20" s="1"/>
  <c r="G19"/>
  <c r="Z19" s="1"/>
  <c r="AL19" s="1"/>
  <c r="G21"/>
  <c r="Z21" s="1"/>
  <c r="AL21" s="1"/>
  <c r="J43" i="24"/>
  <c r="L43" s="1"/>
  <c r="L44" s="1"/>
  <c r="J45"/>
  <c r="L45" s="1"/>
  <c r="L46" s="1"/>
  <c r="J47"/>
  <c r="L47" s="1"/>
  <c r="L48" s="1"/>
  <c r="J49"/>
  <c r="L49" s="1"/>
  <c r="L50" s="1"/>
  <c r="I12" i="54"/>
  <c r="I10"/>
  <c r="I6"/>
  <c r="AC100" i="24"/>
  <c r="AC99"/>
  <c r="V100"/>
  <c r="V99"/>
  <c r="O100"/>
  <c r="P100" s="1"/>
  <c r="O99"/>
  <c r="P99" s="1"/>
  <c r="H50" i="112" s="1"/>
  <c r="AC99" i="10"/>
  <c r="AD126" s="1"/>
  <c r="V100"/>
  <c r="W127" s="1"/>
  <c r="V99"/>
  <c r="W126" s="1"/>
  <c r="O100"/>
  <c r="O99"/>
  <c r="P99" l="1"/>
  <c r="P126"/>
  <c r="Q126" s="1"/>
  <c r="P100"/>
  <c r="P127"/>
  <c r="M7" i="117"/>
  <c r="H51" i="112"/>
  <c r="M6" i="117"/>
  <c r="Q99" i="24"/>
  <c r="S99" s="1"/>
  <c r="O6" i="117" s="1"/>
  <c r="P126" i="24"/>
  <c r="S6" i="121"/>
  <c r="S7" s="1"/>
  <c r="Q100" i="24"/>
  <c r="S100" s="1"/>
  <c r="O7" i="117" s="1"/>
  <c r="P127" i="24"/>
  <c r="K72" i="7" s="1"/>
  <c r="AD99" i="24"/>
  <c r="W100"/>
  <c r="I51" i="112" s="1"/>
  <c r="AD100" i="24"/>
  <c r="AE100" s="1"/>
  <c r="S6" i="120"/>
  <c r="S7" s="1"/>
  <c r="S79" i="10"/>
  <c r="H21" i="74"/>
  <c r="AA21" s="1"/>
  <c r="AM21" s="1"/>
  <c r="I21"/>
  <c r="H19"/>
  <c r="AA19" s="1"/>
  <c r="AM19" s="1"/>
  <c r="I19"/>
  <c r="H20"/>
  <c r="AA20" s="1"/>
  <c r="AM20" s="1"/>
  <c r="I20"/>
  <c r="H18"/>
  <c r="AA18" s="1"/>
  <c r="AM18" s="1"/>
  <c r="I18"/>
  <c r="AD100" i="10"/>
  <c r="AD99"/>
  <c r="BG7" i="60"/>
  <c r="W99" i="10"/>
  <c r="BG6" i="60" s="1"/>
  <c r="W99" i="24"/>
  <c r="D67" i="69"/>
  <c r="D65"/>
  <c r="D61"/>
  <c r="I8" i="54"/>
  <c r="K6"/>
  <c r="K10"/>
  <c r="K11" s="1"/>
  <c r="K8"/>
  <c r="K12"/>
  <c r="K13" s="1"/>
  <c r="S6" i="60"/>
  <c r="S7" s="1"/>
  <c r="Q6"/>
  <c r="E167" i="62" s="1"/>
  <c r="AG100" i="24" l="1"/>
  <c r="AG127" s="1"/>
  <c r="I48" i="121"/>
  <c r="AQ48" i="60"/>
  <c r="Q15" i="121"/>
  <c r="AY7" i="60"/>
  <c r="Q99" i="10"/>
  <c r="S99" s="1"/>
  <c r="AY6" i="60"/>
  <c r="I49" i="121"/>
  <c r="AQ49" i="60"/>
  <c r="Q100" i="10"/>
  <c r="S100" s="1"/>
  <c r="S127" s="1"/>
  <c r="Y14" i="121"/>
  <c r="Q14"/>
  <c r="W126" i="24"/>
  <c r="L71" i="7" s="1"/>
  <c r="I50" i="112"/>
  <c r="Q126" i="24"/>
  <c r="K71" i="7"/>
  <c r="Y15" i="121"/>
  <c r="I7" i="118"/>
  <c r="V24" i="119" s="1"/>
  <c r="AD127" i="24"/>
  <c r="I6" i="118"/>
  <c r="V23" i="119" s="1"/>
  <c r="AD126" i="24"/>
  <c r="Q7" i="117"/>
  <c r="Q24" i="119" s="1"/>
  <c r="W127" i="24"/>
  <c r="L72" i="7" s="1"/>
  <c r="X99" i="10"/>
  <c r="Z99" s="1"/>
  <c r="X126"/>
  <c r="AE99" i="24"/>
  <c r="AG99" s="1"/>
  <c r="Q6" i="117"/>
  <c r="Q23" i="119" s="1"/>
  <c r="AE99" i="10"/>
  <c r="AG99" s="1"/>
  <c r="AS48" i="60" s="1"/>
  <c r="AE100" i="10"/>
  <c r="AG100" s="1"/>
  <c r="AS49" i="60" s="1"/>
  <c r="E202" i="62"/>
  <c r="E203"/>
  <c r="X99" i="24"/>
  <c r="Z99" s="1"/>
  <c r="Z126" s="1"/>
  <c r="D63" i="69"/>
  <c r="D95"/>
  <c r="K9" i="54"/>
  <c r="D93" i="69"/>
  <c r="K7" i="54"/>
  <c r="D99" i="69"/>
  <c r="D97"/>
  <c r="X100" i="10"/>
  <c r="Z100" s="1"/>
  <c r="X126" i="24" l="1"/>
  <c r="K7" i="118"/>
  <c r="W24" i="119" s="1"/>
  <c r="AA15" i="121"/>
  <c r="BI7" i="60"/>
  <c r="S15" i="121"/>
  <c r="BA7" i="60"/>
  <c r="S14" i="121"/>
  <c r="BA6" i="60"/>
  <c r="AA14" i="121"/>
  <c r="BI6" i="60"/>
  <c r="S126" i="10"/>
  <c r="AG126"/>
  <c r="K48" i="121"/>
  <c r="AG127" i="10"/>
  <c r="K49" i="121"/>
  <c r="AE126" i="24"/>
  <c r="M71" i="7"/>
  <c r="AE127" i="24"/>
  <c r="M72" i="7"/>
  <c r="K6" i="118"/>
  <c r="W23" i="119" s="1"/>
  <c r="AG126" i="24"/>
  <c r="Z126" i="10"/>
  <c r="Z127"/>
  <c r="AE127"/>
  <c r="AE126"/>
  <c r="S6" i="117"/>
  <c r="X100" i="24"/>
  <c r="Z100" s="1"/>
  <c r="Z127" s="1"/>
  <c r="D98" i="69"/>
  <c r="D100"/>
  <c r="D96"/>
  <c r="D94"/>
  <c r="E204" i="62"/>
  <c r="H100" i="24"/>
  <c r="I100" s="1"/>
  <c r="H99"/>
  <c r="S7" i="117" l="1"/>
  <c r="I127" i="24"/>
  <c r="J72" i="7" s="1"/>
  <c r="I99" i="24"/>
  <c r="H99" i="10"/>
  <c r="H100"/>
  <c r="I100" s="1"/>
  <c r="AQ7" i="60" s="1"/>
  <c r="Q25" i="61"/>
  <c r="Q19"/>
  <c r="M25"/>
  <c r="M19"/>
  <c r="H47" i="10"/>
  <c r="I47" s="1"/>
  <c r="H49"/>
  <c r="I49" s="1"/>
  <c r="H51"/>
  <c r="I51" s="1"/>
  <c r="H94" i="24"/>
  <c r="I94" s="1"/>
  <c r="J94" s="1"/>
  <c r="H93"/>
  <c r="H91"/>
  <c r="H88"/>
  <c r="H87"/>
  <c r="I87" s="1"/>
  <c r="H86"/>
  <c r="H84"/>
  <c r="I84" s="1"/>
  <c r="J53" i="7" s="1"/>
  <c r="H82" i="24"/>
  <c r="I82" s="1"/>
  <c r="J51" i="7" s="1"/>
  <c r="H80" i="24"/>
  <c r="H78"/>
  <c r="AC93"/>
  <c r="AC94"/>
  <c r="V93"/>
  <c r="W93" s="1"/>
  <c r="L62" i="7" s="1"/>
  <c r="V94" i="24"/>
  <c r="W94" s="1"/>
  <c r="X94" s="1"/>
  <c r="O93"/>
  <c r="O94"/>
  <c r="P94" s="1"/>
  <c r="Q94" s="1"/>
  <c r="AC93" i="10"/>
  <c r="AC94"/>
  <c r="AD94" s="1"/>
  <c r="I64" i="122" s="1"/>
  <c r="M64" s="1"/>
  <c r="O64" s="1"/>
  <c r="V93" i="10"/>
  <c r="W93" s="1"/>
  <c r="X93" s="1"/>
  <c r="Z93" s="1"/>
  <c r="V94"/>
  <c r="O93"/>
  <c r="P93" s="1"/>
  <c r="Q93" s="1"/>
  <c r="S93" s="1"/>
  <c r="O94"/>
  <c r="H93"/>
  <c r="H94"/>
  <c r="AC91" i="24"/>
  <c r="AD91" s="1"/>
  <c r="AC80"/>
  <c r="AD80" s="1"/>
  <c r="AC82"/>
  <c r="AC84"/>
  <c r="AC86"/>
  <c r="AD86" s="1"/>
  <c r="AC87"/>
  <c r="AD87" s="1"/>
  <c r="AC88"/>
  <c r="AD88" s="1"/>
  <c r="AC78"/>
  <c r="AD78" s="1"/>
  <c r="V91"/>
  <c r="V80"/>
  <c r="W80" s="1"/>
  <c r="V82"/>
  <c r="V84"/>
  <c r="W84" s="1"/>
  <c r="L53" i="7" s="1"/>
  <c r="V86" i="24"/>
  <c r="W86" s="1"/>
  <c r="V87"/>
  <c r="W87" s="1"/>
  <c r="I42" i="112" s="1"/>
  <c r="V88" i="24"/>
  <c r="W88" s="1"/>
  <c r="V78"/>
  <c r="W78" s="1"/>
  <c r="O91"/>
  <c r="O80"/>
  <c r="O82"/>
  <c r="P82" s="1"/>
  <c r="K51" i="7" s="1"/>
  <c r="O84" i="24"/>
  <c r="P84" s="1"/>
  <c r="K53" i="7" s="1"/>
  <c r="O86" i="24"/>
  <c r="P86" s="1"/>
  <c r="O87"/>
  <c r="P87" s="1"/>
  <c r="O88"/>
  <c r="P88" s="1"/>
  <c r="O78"/>
  <c r="AC91" i="10"/>
  <c r="AD91" s="1"/>
  <c r="I61" i="120" s="1"/>
  <c r="M61" s="1"/>
  <c r="O61" s="1"/>
  <c r="V91" i="10"/>
  <c r="W91" s="1"/>
  <c r="Y19" i="120" s="1"/>
  <c r="AC19" s="1"/>
  <c r="AE19" s="1"/>
  <c r="O91" i="10"/>
  <c r="H91"/>
  <c r="I91" s="1"/>
  <c r="I19" i="120" s="1"/>
  <c r="M19" s="1"/>
  <c r="O19" s="1"/>
  <c r="AC80" i="10"/>
  <c r="AC82"/>
  <c r="AC84"/>
  <c r="AD84" s="1"/>
  <c r="AC86"/>
  <c r="I56" i="122" s="1"/>
  <c r="AC87" i="10"/>
  <c r="AD87" s="1"/>
  <c r="I57" i="122" s="1"/>
  <c r="AC88" i="10"/>
  <c r="AC78"/>
  <c r="V80"/>
  <c r="W80" s="1"/>
  <c r="V82"/>
  <c r="W82" s="1"/>
  <c r="V84"/>
  <c r="W84" s="1"/>
  <c r="V86"/>
  <c r="Y14" i="122" s="1"/>
  <c r="V87" i="10"/>
  <c r="W87" s="1"/>
  <c r="Y15" i="122" s="1"/>
  <c r="V88" i="10"/>
  <c r="W88" s="1"/>
  <c r="V78"/>
  <c r="W78" s="1"/>
  <c r="O80"/>
  <c r="P80" s="1"/>
  <c r="Q8" i="122" s="1"/>
  <c r="O82" i="10"/>
  <c r="P82" s="1"/>
  <c r="Q10" i="122" s="1"/>
  <c r="O84" i="10"/>
  <c r="P84" s="1"/>
  <c r="Q12" i="122" s="1"/>
  <c r="O86" i="10"/>
  <c r="O87"/>
  <c r="P87" s="1"/>
  <c r="Q15" i="122" s="1"/>
  <c r="O88" i="10"/>
  <c r="P88" s="1"/>
  <c r="H80"/>
  <c r="H82"/>
  <c r="H84"/>
  <c r="H86"/>
  <c r="H87"/>
  <c r="H88"/>
  <c r="I88" s="1"/>
  <c r="H78"/>
  <c r="I37" i="54"/>
  <c r="I66" i="58"/>
  <c r="I28"/>
  <c r="I29" i="54"/>
  <c r="I26" i="58"/>
  <c r="K43" i="7"/>
  <c r="H36" i="112"/>
  <c r="AC59" i="24"/>
  <c r="V59"/>
  <c r="I35" i="112" s="1"/>
  <c r="O59" i="24"/>
  <c r="H59"/>
  <c r="AC58"/>
  <c r="AD58" s="1"/>
  <c r="AE58" s="1"/>
  <c r="V58"/>
  <c r="W58" s="1"/>
  <c r="X58" s="1"/>
  <c r="O58"/>
  <c r="P58" s="1"/>
  <c r="Q58" s="1"/>
  <c r="H58"/>
  <c r="I58" s="1"/>
  <c r="J58" s="1"/>
  <c r="AC57"/>
  <c r="AD57" s="1"/>
  <c r="V57"/>
  <c r="W57" s="1"/>
  <c r="O57"/>
  <c r="P57" s="1"/>
  <c r="H57"/>
  <c r="I57" s="1"/>
  <c r="J40" i="7" s="1"/>
  <c r="AC56" i="24"/>
  <c r="AD56" s="1"/>
  <c r="V56"/>
  <c r="W56" s="1"/>
  <c r="O56"/>
  <c r="P56" s="1"/>
  <c r="H56"/>
  <c r="I56" s="1"/>
  <c r="J39" i="7" s="1"/>
  <c r="AC55" i="24"/>
  <c r="AD55" s="1"/>
  <c r="V55"/>
  <c r="W55" s="1"/>
  <c r="O55"/>
  <c r="P55" s="1"/>
  <c r="H55"/>
  <c r="H53"/>
  <c r="I53" s="1"/>
  <c r="AC52"/>
  <c r="AD52" s="1"/>
  <c r="V52"/>
  <c r="W52" s="1"/>
  <c r="I23" i="112" s="1"/>
  <c r="O52" i="24"/>
  <c r="P52" s="1"/>
  <c r="H23" i="112" s="1"/>
  <c r="H52" i="24"/>
  <c r="I52" s="1"/>
  <c r="J35" i="7" s="1"/>
  <c r="H51" i="24"/>
  <c r="H24"/>
  <c r="H23"/>
  <c r="I23" s="1"/>
  <c r="J23" s="1"/>
  <c r="H22"/>
  <c r="H21"/>
  <c r="I21" s="1"/>
  <c r="J18" i="7" s="1"/>
  <c r="H20" i="24"/>
  <c r="H18"/>
  <c r="I18" s="1"/>
  <c r="H17"/>
  <c r="I17" s="1"/>
  <c r="H16"/>
  <c r="H14"/>
  <c r="H12"/>
  <c r="H9"/>
  <c r="I9" s="1"/>
  <c r="J6" i="7" s="1"/>
  <c r="H6" i="24"/>
  <c r="AC59" i="10"/>
  <c r="V59"/>
  <c r="O59"/>
  <c r="H59"/>
  <c r="H58"/>
  <c r="AC57"/>
  <c r="AD57" s="1"/>
  <c r="AE57" s="1"/>
  <c r="AG57" s="1"/>
  <c r="V57"/>
  <c r="W57" s="1"/>
  <c r="X57" s="1"/>
  <c r="Z57" s="1"/>
  <c r="O57"/>
  <c r="P57" s="1"/>
  <c r="Q57" s="1"/>
  <c r="S57" s="1"/>
  <c r="H57"/>
  <c r="AC56"/>
  <c r="AD56" s="1"/>
  <c r="AE56" s="1"/>
  <c r="AG56" s="1"/>
  <c r="V56"/>
  <c r="W56" s="1"/>
  <c r="X56" s="1"/>
  <c r="Z56" s="1"/>
  <c r="O56"/>
  <c r="P56" s="1"/>
  <c r="Q56" s="1"/>
  <c r="S56" s="1"/>
  <c r="H56"/>
  <c r="AC55"/>
  <c r="AD55" s="1"/>
  <c r="AE55" s="1"/>
  <c r="AG55" s="1"/>
  <c r="V55"/>
  <c r="W55" s="1"/>
  <c r="X55" s="1"/>
  <c r="Z55" s="1"/>
  <c r="O55"/>
  <c r="P55" s="1"/>
  <c r="Q55" s="1"/>
  <c r="S55" s="1"/>
  <c r="H55"/>
  <c r="I55" s="1"/>
  <c r="AC53"/>
  <c r="V53"/>
  <c r="X53" s="1"/>
  <c r="Z53" s="1"/>
  <c r="O53"/>
  <c r="Q53" s="1"/>
  <c r="S53" s="1"/>
  <c r="H53"/>
  <c r="AC52"/>
  <c r="AD52" s="1"/>
  <c r="AE52" s="1"/>
  <c r="AG52" s="1"/>
  <c r="V52"/>
  <c r="W52" s="1"/>
  <c r="X52" s="1"/>
  <c r="Z52" s="1"/>
  <c r="O52"/>
  <c r="P52" s="1"/>
  <c r="Q52" s="1"/>
  <c r="S52" s="1"/>
  <c r="H52"/>
  <c r="I52" s="1"/>
  <c r="AC51"/>
  <c r="AD51" s="1"/>
  <c r="AE51" s="1"/>
  <c r="AG51" s="1"/>
  <c r="V51"/>
  <c r="W51" s="1"/>
  <c r="X51" s="1"/>
  <c r="Z51" s="1"/>
  <c r="O51"/>
  <c r="P51" s="1"/>
  <c r="Q51" s="1"/>
  <c r="S51" s="1"/>
  <c r="AC49"/>
  <c r="AD49" s="1"/>
  <c r="AE49" s="1"/>
  <c r="AG49" s="1"/>
  <c r="AG50" s="1"/>
  <c r="V49"/>
  <c r="W49" s="1"/>
  <c r="X49" s="1"/>
  <c r="Z49" s="1"/>
  <c r="O49"/>
  <c r="P49" s="1"/>
  <c r="Q49" s="1"/>
  <c r="S49" s="1"/>
  <c r="S50" s="1"/>
  <c r="AC47"/>
  <c r="AD47" s="1"/>
  <c r="AE47" s="1"/>
  <c r="AG47" s="1"/>
  <c r="AG48" s="1"/>
  <c r="V47"/>
  <c r="W47" s="1"/>
  <c r="X47" s="1"/>
  <c r="Z47" s="1"/>
  <c r="Z48" s="1"/>
  <c r="O47"/>
  <c r="P47" s="1"/>
  <c r="Q47" s="1"/>
  <c r="S47" s="1"/>
  <c r="S48" s="1"/>
  <c r="AC45"/>
  <c r="AE45" s="1"/>
  <c r="AG45" s="1"/>
  <c r="AG46" s="1"/>
  <c r="V45"/>
  <c r="W45" s="1"/>
  <c r="X45" s="1"/>
  <c r="Z45" s="1"/>
  <c r="Z46" s="1"/>
  <c r="O45"/>
  <c r="P45" s="1"/>
  <c r="Q45" s="1"/>
  <c r="S45" s="1"/>
  <c r="S46" s="1"/>
  <c r="H45"/>
  <c r="I45" s="1"/>
  <c r="AC43"/>
  <c r="AE43" s="1"/>
  <c r="AG43" s="1"/>
  <c r="AG44" s="1"/>
  <c r="V43"/>
  <c r="W43" s="1"/>
  <c r="X43" s="1"/>
  <c r="Z43" s="1"/>
  <c r="Z44" s="1"/>
  <c r="O43"/>
  <c r="P43" s="1"/>
  <c r="Q43" s="1"/>
  <c r="S43" s="1"/>
  <c r="S44" s="1"/>
  <c r="H43"/>
  <c r="I43" s="1"/>
  <c r="AC24"/>
  <c r="AD24" s="1"/>
  <c r="V24"/>
  <c r="W24" s="1"/>
  <c r="O24"/>
  <c r="P24" s="1"/>
  <c r="AC23"/>
  <c r="AD23" s="1"/>
  <c r="AE23" s="1"/>
  <c r="AG23" s="1"/>
  <c r="V23"/>
  <c r="W23" s="1"/>
  <c r="X23" s="1"/>
  <c r="Z23" s="1"/>
  <c r="O23"/>
  <c r="P23" s="1"/>
  <c r="Q23" s="1"/>
  <c r="S23" s="1"/>
  <c r="AC22"/>
  <c r="AD22" s="1"/>
  <c r="AE22" s="1"/>
  <c r="AG22" s="1"/>
  <c r="V22"/>
  <c r="W22" s="1"/>
  <c r="X22" s="1"/>
  <c r="Z22" s="1"/>
  <c r="O22"/>
  <c r="P22" s="1"/>
  <c r="Q22" s="1"/>
  <c r="S22" s="1"/>
  <c r="H22"/>
  <c r="AC21"/>
  <c r="AD21" s="1"/>
  <c r="V21"/>
  <c r="W21" s="1"/>
  <c r="X21" s="1"/>
  <c r="Z21" s="1"/>
  <c r="O21"/>
  <c r="P21" s="1"/>
  <c r="Q21" s="1"/>
  <c r="S21" s="1"/>
  <c r="H21"/>
  <c r="I21" s="1"/>
  <c r="J21" s="1"/>
  <c r="AC20"/>
  <c r="AD20" s="1"/>
  <c r="AE20" s="1"/>
  <c r="AG20" s="1"/>
  <c r="V20"/>
  <c r="W20" s="1"/>
  <c r="X20" s="1"/>
  <c r="Z20" s="1"/>
  <c r="O20"/>
  <c r="P20" s="1"/>
  <c r="Q20" s="1"/>
  <c r="S20" s="1"/>
  <c r="H20"/>
  <c r="I20" s="1"/>
  <c r="J20" s="1"/>
  <c r="AC18"/>
  <c r="AD18" s="1"/>
  <c r="AE18" s="1"/>
  <c r="AG18" s="1"/>
  <c r="V18"/>
  <c r="W18" s="1"/>
  <c r="X18" s="1"/>
  <c r="Z18" s="1"/>
  <c r="O18"/>
  <c r="P18" s="1"/>
  <c r="Q18" s="1"/>
  <c r="S18" s="1"/>
  <c r="H18"/>
  <c r="AC17"/>
  <c r="AD17" s="1"/>
  <c r="AE17" s="1"/>
  <c r="AG17" s="1"/>
  <c r="V17"/>
  <c r="W17" s="1"/>
  <c r="X17" s="1"/>
  <c r="Z17" s="1"/>
  <c r="O17"/>
  <c r="P17" s="1"/>
  <c r="Q17" s="1"/>
  <c r="S17" s="1"/>
  <c r="H17"/>
  <c r="I17" s="1"/>
  <c r="AC16"/>
  <c r="AD16" s="1"/>
  <c r="V16"/>
  <c r="W16" s="1"/>
  <c r="X16" s="1"/>
  <c r="Z16" s="1"/>
  <c r="O16"/>
  <c r="P16" s="1"/>
  <c r="Q16" s="1"/>
  <c r="S16" s="1"/>
  <c r="H16"/>
  <c r="AC14"/>
  <c r="V14"/>
  <c r="O14"/>
  <c r="H14"/>
  <c r="AC12"/>
  <c r="V12"/>
  <c r="O12"/>
  <c r="P12" s="1"/>
  <c r="H12"/>
  <c r="I12" s="1"/>
  <c r="AC9"/>
  <c r="AD9" s="1"/>
  <c r="AE9" s="1"/>
  <c r="AG9" s="1"/>
  <c r="AG10" s="1"/>
  <c r="AG11" s="1"/>
  <c r="V9"/>
  <c r="W9" s="1"/>
  <c r="X9" s="1"/>
  <c r="Z9" s="1"/>
  <c r="Z10" s="1"/>
  <c r="Z11" s="1"/>
  <c r="O9"/>
  <c r="P9" s="1"/>
  <c r="Q9" s="1"/>
  <c r="S9" s="1"/>
  <c r="S10" s="1"/>
  <c r="S11" s="1"/>
  <c r="H9"/>
  <c r="I9" s="1"/>
  <c r="J9" s="1"/>
  <c r="AC6"/>
  <c r="V6"/>
  <c r="W6" s="1"/>
  <c r="X6" s="1"/>
  <c r="Z6" s="1"/>
  <c r="Z7" s="1"/>
  <c r="Z8" s="1"/>
  <c r="O6"/>
  <c r="P6" s="1"/>
  <c r="Q6" s="1"/>
  <c r="S6" s="1"/>
  <c r="S7" s="1"/>
  <c r="S8" s="1"/>
  <c r="H6"/>
  <c r="I6" s="1"/>
  <c r="J6" s="1"/>
  <c r="I126" i="24" l="1"/>
  <c r="J126" s="1"/>
  <c r="P91"/>
  <c r="S91" s="1"/>
  <c r="L60" i="7"/>
  <c r="W91" i="24"/>
  <c r="I91"/>
  <c r="P91" i="10"/>
  <c r="Q19" i="120" s="1"/>
  <c r="U19" s="1"/>
  <c r="W19" s="1"/>
  <c r="X91" i="10"/>
  <c r="Z91" s="1"/>
  <c r="AA19" i="120" s="1"/>
  <c r="AE91" i="10"/>
  <c r="AG91" s="1"/>
  <c r="K61" i="120" s="1"/>
  <c r="X91" i="24"/>
  <c r="AE93" i="10"/>
  <c r="AG93" s="1"/>
  <c r="K63" i="122" s="1"/>
  <c r="P93" i="24"/>
  <c r="K62" i="7" s="1"/>
  <c r="X93" i="24"/>
  <c r="Y6" i="121"/>
  <c r="Y6" i="122"/>
  <c r="Y12" i="121"/>
  <c r="Y12" i="122"/>
  <c r="Y8" i="121"/>
  <c r="Y8" i="122"/>
  <c r="I44" i="121"/>
  <c r="I52" i="122"/>
  <c r="J94" i="10"/>
  <c r="I22" i="122"/>
  <c r="M22" s="1"/>
  <c r="O22" s="1"/>
  <c r="X94" i="10"/>
  <c r="Z94" s="1"/>
  <c r="AA22" i="122" s="1"/>
  <c r="Y22"/>
  <c r="AC22" s="1"/>
  <c r="AE22" s="1"/>
  <c r="Y10" i="121"/>
  <c r="Y10" i="122"/>
  <c r="I40" i="121"/>
  <c r="I48" i="122"/>
  <c r="I46" i="121"/>
  <c r="I54" i="122"/>
  <c r="I42" i="121"/>
  <c r="I50" i="122"/>
  <c r="Q94" i="10"/>
  <c r="S94" s="1"/>
  <c r="S22" i="122" s="1"/>
  <c r="Q22"/>
  <c r="U22" s="1"/>
  <c r="W22" s="1"/>
  <c r="I16" i="60"/>
  <c r="D179" i="62" s="1"/>
  <c r="I16" i="122"/>
  <c r="Q16" i="60"/>
  <c r="E179" i="62" s="1"/>
  <c r="Q16" i="122"/>
  <c r="I58" i="60"/>
  <c r="G179" i="62" s="1"/>
  <c r="I58" i="122"/>
  <c r="Y16" i="60"/>
  <c r="F179" i="62" s="1"/>
  <c r="Y16" i="122"/>
  <c r="AE53" i="10"/>
  <c r="AG53" s="1"/>
  <c r="K23" i="120" s="1"/>
  <c r="I23"/>
  <c r="AE94" i="10"/>
  <c r="AG94" s="1"/>
  <c r="I65" i="120"/>
  <c r="I59" i="10"/>
  <c r="I22" i="58" s="1"/>
  <c r="H42" i="112"/>
  <c r="M15" i="56"/>
  <c r="J56" i="7"/>
  <c r="I15" i="56"/>
  <c r="J21" i="7"/>
  <c r="I6" i="24"/>
  <c r="J3" i="7" s="1"/>
  <c r="I59" i="24"/>
  <c r="H35" i="112" s="1"/>
  <c r="AD94" i="24"/>
  <c r="AE94" s="1"/>
  <c r="I58" i="10"/>
  <c r="L57" i="7"/>
  <c r="I57" i="112"/>
  <c r="L55" i="7"/>
  <c r="I43" i="112"/>
  <c r="L43" i="7"/>
  <c r="I36" i="112"/>
  <c r="I126" i="10"/>
  <c r="I99"/>
  <c r="AQ6" i="60" s="1"/>
  <c r="L63" i="7"/>
  <c r="AA23" i="46"/>
  <c r="I20" i="24"/>
  <c r="J17" i="7" s="1"/>
  <c r="S23" i="46"/>
  <c r="K63"/>
  <c r="J41" i="7"/>
  <c r="I15" i="121"/>
  <c r="I127" i="10"/>
  <c r="J127" s="1"/>
  <c r="J127" i="24"/>
  <c r="Q12" i="121"/>
  <c r="Q8"/>
  <c r="Y14" i="120"/>
  <c r="I63"/>
  <c r="M63" s="1"/>
  <c r="O63" s="1"/>
  <c r="Q10" i="121"/>
  <c r="I56" i="120"/>
  <c r="AN127" i="24"/>
  <c r="S126"/>
  <c r="S127"/>
  <c r="J15" i="7"/>
  <c r="G11" i="112"/>
  <c r="K57" i="7"/>
  <c r="H57" i="112"/>
  <c r="K55" i="7"/>
  <c r="H43" i="112"/>
  <c r="J14" i="7"/>
  <c r="G4" i="112"/>
  <c r="I7" i="117"/>
  <c r="G24" i="119" s="1"/>
  <c r="I6" i="117"/>
  <c r="G23" i="119" s="1"/>
  <c r="K35" i="7"/>
  <c r="M35"/>
  <c r="L38"/>
  <c r="L39"/>
  <c r="L40"/>
  <c r="L41"/>
  <c r="G35" i="112"/>
  <c r="L42" i="7"/>
  <c r="M43"/>
  <c r="M57"/>
  <c r="M55"/>
  <c r="L35"/>
  <c r="K38"/>
  <c r="M38"/>
  <c r="K39"/>
  <c r="M39"/>
  <c r="K40"/>
  <c r="M40"/>
  <c r="K41"/>
  <c r="M41"/>
  <c r="K42"/>
  <c r="I22" i="114"/>
  <c r="M42" i="7"/>
  <c r="G36" i="112"/>
  <c r="J43" i="7"/>
  <c r="K56"/>
  <c r="L47"/>
  <c r="L56"/>
  <c r="L49"/>
  <c r="M47"/>
  <c r="M56"/>
  <c r="M49"/>
  <c r="M63"/>
  <c r="G51" i="112"/>
  <c r="AA12" i="58"/>
  <c r="AA13" s="1"/>
  <c r="Z50" i="10"/>
  <c r="S88" i="24"/>
  <c r="S94"/>
  <c r="S84"/>
  <c r="S85" s="1"/>
  <c r="S82"/>
  <c r="S83" s="1"/>
  <c r="J53" i="10"/>
  <c r="I78"/>
  <c r="I6" i="122" s="1"/>
  <c r="I87" i="10"/>
  <c r="I15" i="122" s="1"/>
  <c r="I84" i="10"/>
  <c r="I12" i="122" s="1"/>
  <c r="I80" i="10"/>
  <c r="I8" i="122" s="1"/>
  <c r="Q87" i="10"/>
  <c r="S87" s="1"/>
  <c r="S15" i="122" s="1"/>
  <c r="Q15" i="120"/>
  <c r="Q84" i="10"/>
  <c r="S84" s="1"/>
  <c r="Q12" i="120"/>
  <c r="Q80" i="10"/>
  <c r="S80" s="1"/>
  <c r="S8" i="122" s="1"/>
  <c r="S9" s="1"/>
  <c r="Q8" i="120"/>
  <c r="X88" i="10"/>
  <c r="Z88" s="1"/>
  <c r="X82"/>
  <c r="Z82" s="1"/>
  <c r="Y10" i="120"/>
  <c r="AE78" i="10"/>
  <c r="AG78" s="1"/>
  <c r="I48" i="120"/>
  <c r="AE87" i="10"/>
  <c r="AG87" s="1"/>
  <c r="K57" i="122" s="1"/>
  <c r="I57" i="120"/>
  <c r="AE84" i="10"/>
  <c r="AG84" s="1"/>
  <c r="K54" i="122" s="1"/>
  <c r="K55" s="1"/>
  <c r="I54" i="120"/>
  <c r="AE80" i="10"/>
  <c r="AG80" s="1"/>
  <c r="I50" i="120"/>
  <c r="Q22"/>
  <c r="U22" s="1"/>
  <c r="W22" s="1"/>
  <c r="I64"/>
  <c r="I86" i="10"/>
  <c r="I14" i="122" s="1"/>
  <c r="I82" i="10"/>
  <c r="I10" i="122" s="1"/>
  <c r="Q88" i="10"/>
  <c r="S88" s="1"/>
  <c r="Q82"/>
  <c r="S82" s="1"/>
  <c r="Q10" i="120"/>
  <c r="X78" i="10"/>
  <c r="Z78" s="1"/>
  <c r="AA6" i="122" s="1"/>
  <c r="AA7" s="1"/>
  <c r="Y6" i="120"/>
  <c r="X87" i="10"/>
  <c r="Z87" s="1"/>
  <c r="AA15" i="122" s="1"/>
  <c r="Y15" i="120"/>
  <c r="X84" i="10"/>
  <c r="Z84" s="1"/>
  <c r="Y12" i="120"/>
  <c r="X80" i="10"/>
  <c r="Z80" s="1"/>
  <c r="AA8" i="122" s="1"/>
  <c r="AA9" s="1"/>
  <c r="Y8" i="120"/>
  <c r="AE88" i="10"/>
  <c r="AG88" s="1"/>
  <c r="AE82"/>
  <c r="AG82" s="1"/>
  <c r="K52" i="122" s="1"/>
  <c r="K53" s="1"/>
  <c r="I52" i="120"/>
  <c r="I19" i="122"/>
  <c r="M19" s="1"/>
  <c r="O19" s="1"/>
  <c r="I93" i="10"/>
  <c r="Y22" i="120"/>
  <c r="AC22" s="1"/>
  <c r="AE22" s="1"/>
  <c r="I12" i="24"/>
  <c r="J12" s="1"/>
  <c r="I16"/>
  <c r="J16" s="1"/>
  <c r="J20" i="7"/>
  <c r="AG52" i="24"/>
  <c r="I15" i="114"/>
  <c r="G70" i="69" s="1"/>
  <c r="Z56" i="24"/>
  <c r="P27" i="74" s="1"/>
  <c r="AF27" s="1"/>
  <c r="AR27" s="1"/>
  <c r="Z57" i="24"/>
  <c r="P28" i="74" s="1"/>
  <c r="AF28" s="1"/>
  <c r="AR28" s="1"/>
  <c r="I16" i="115"/>
  <c r="AG86" i="24"/>
  <c r="I14" i="115"/>
  <c r="I22" i="24"/>
  <c r="J22" s="1"/>
  <c r="L22" s="1"/>
  <c r="I18" i="114"/>
  <c r="G73" i="69" s="1"/>
  <c r="S56" i="24"/>
  <c r="AG56"/>
  <c r="I19" i="114"/>
  <c r="G74" i="69" s="1"/>
  <c r="S57" i="24"/>
  <c r="AG57"/>
  <c r="I20" i="114"/>
  <c r="G75" i="69" s="1"/>
  <c r="I21" i="114"/>
  <c r="G76" i="69" s="1"/>
  <c r="I6" i="115"/>
  <c r="V6" i="119" s="1"/>
  <c r="AG87" i="24"/>
  <c r="I15" i="115"/>
  <c r="I8"/>
  <c r="V8" i="119" s="1"/>
  <c r="AG94" i="24"/>
  <c r="I22" i="120"/>
  <c r="M22" s="1"/>
  <c r="O22" s="1"/>
  <c r="I88" i="24"/>
  <c r="G15" i="119"/>
  <c r="G50" i="112"/>
  <c r="AD6" i="10"/>
  <c r="AE6" s="1"/>
  <c r="AG6" s="1"/>
  <c r="I16"/>
  <c r="J16" s="1"/>
  <c r="L16" s="1"/>
  <c r="I18"/>
  <c r="J18" s="1"/>
  <c r="Q84" i="24"/>
  <c r="L35" i="74" s="1"/>
  <c r="X84" i="24"/>
  <c r="O35" i="74" s="1"/>
  <c r="L43"/>
  <c r="L41"/>
  <c r="O42"/>
  <c r="G23" i="112"/>
  <c r="I15" i="54"/>
  <c r="AE16" i="10"/>
  <c r="AG16" s="1"/>
  <c r="K56" i="46" s="1"/>
  <c r="G45" i="62" s="1"/>
  <c r="I56" i="46"/>
  <c r="I18" i="61"/>
  <c r="I51" i="24"/>
  <c r="J51" s="1"/>
  <c r="Q88"/>
  <c r="L38" i="74" s="1"/>
  <c r="Q86" i="24"/>
  <c r="L36" i="74" s="1"/>
  <c r="Q82" i="24"/>
  <c r="X88"/>
  <c r="O38" i="74" s="1"/>
  <c r="X86" i="24"/>
  <c r="O36" i="74" s="1"/>
  <c r="O40"/>
  <c r="AE88" i="24"/>
  <c r="R38" i="74" s="1"/>
  <c r="AE86" i="24"/>
  <c r="R36" i="74" s="1"/>
  <c r="L42"/>
  <c r="O41"/>
  <c r="I86" i="24"/>
  <c r="I6" i="61"/>
  <c r="J100" i="10"/>
  <c r="L100" s="1"/>
  <c r="G57" i="112"/>
  <c r="J18" i="24"/>
  <c r="L18" s="1"/>
  <c r="J36" i="7"/>
  <c r="I56" i="10"/>
  <c r="J56" s="1"/>
  <c r="I57"/>
  <c r="J57" s="1"/>
  <c r="L57" s="1"/>
  <c r="K20" i="58" s="1"/>
  <c r="J47" i="10"/>
  <c r="L47" s="1"/>
  <c r="L48" s="1"/>
  <c r="J43"/>
  <c r="J45"/>
  <c r="L45" s="1"/>
  <c r="L46" s="1"/>
  <c r="J49"/>
  <c r="L49" s="1"/>
  <c r="AD82" i="24"/>
  <c r="M60" i="7"/>
  <c r="AD84" i="24"/>
  <c r="AD93"/>
  <c r="M62" i="7" s="1"/>
  <c r="L34" i="74"/>
  <c r="W82" i="24"/>
  <c r="L51" i="7" s="1"/>
  <c r="G10" i="74"/>
  <c r="Z10" s="1"/>
  <c r="AL10" s="1"/>
  <c r="J23"/>
  <c r="AB23" s="1"/>
  <c r="AN23" s="1"/>
  <c r="G27"/>
  <c r="Z27" s="1"/>
  <c r="AL27" s="1"/>
  <c r="M32"/>
  <c r="AD32" s="1"/>
  <c r="AP32" s="1"/>
  <c r="G14"/>
  <c r="Z14" s="1"/>
  <c r="AL14" s="1"/>
  <c r="I10" i="56"/>
  <c r="G10" i="119" s="1"/>
  <c r="P39" i="74"/>
  <c r="AF39" s="1"/>
  <c r="AR39" s="1"/>
  <c r="G13"/>
  <c r="Z13" s="1"/>
  <c r="AL13" s="1"/>
  <c r="M26"/>
  <c r="AD26" s="1"/>
  <c r="AP26" s="1"/>
  <c r="M27"/>
  <c r="AD27" s="1"/>
  <c r="AP27" s="1"/>
  <c r="M28"/>
  <c r="AD28" s="1"/>
  <c r="AP28" s="1"/>
  <c r="M29"/>
  <c r="AD29" s="1"/>
  <c r="AP29" s="1"/>
  <c r="J37"/>
  <c r="AB37" s="1"/>
  <c r="AN37" s="1"/>
  <c r="M37"/>
  <c r="AD37" s="1"/>
  <c r="AP37" s="1"/>
  <c r="M33"/>
  <c r="AD33" s="1"/>
  <c r="AP33" s="1"/>
  <c r="J41"/>
  <c r="AB41" s="1"/>
  <c r="AN41" s="1"/>
  <c r="G37"/>
  <c r="Z37" s="1"/>
  <c r="AL37" s="1"/>
  <c r="M39"/>
  <c r="AD39" s="1"/>
  <c r="AP39" s="1"/>
  <c r="G15"/>
  <c r="Z15" s="1"/>
  <c r="AL15" s="1"/>
  <c r="G28"/>
  <c r="Z28" s="1"/>
  <c r="AL28" s="1"/>
  <c r="G29"/>
  <c r="Z29" s="1"/>
  <c r="AL29" s="1"/>
  <c r="J35"/>
  <c r="AB35" s="1"/>
  <c r="AN35" s="1"/>
  <c r="M35"/>
  <c r="AD35" s="1"/>
  <c r="AP35" s="1"/>
  <c r="J9" i="24"/>
  <c r="L9" s="1"/>
  <c r="L10" s="1"/>
  <c r="L11" s="1"/>
  <c r="G9" i="74"/>
  <c r="Z9" s="1"/>
  <c r="AL9" s="1"/>
  <c r="G23"/>
  <c r="Z23" s="1"/>
  <c r="AL23" s="1"/>
  <c r="J36"/>
  <c r="AB36" s="1"/>
  <c r="AN36" s="1"/>
  <c r="M36"/>
  <c r="AD36" s="1"/>
  <c r="AP36" s="1"/>
  <c r="G8"/>
  <c r="Z8" s="1"/>
  <c r="AL8" s="1"/>
  <c r="G22"/>
  <c r="Z22" s="1"/>
  <c r="AL22" s="1"/>
  <c r="G12"/>
  <c r="Z12" s="1"/>
  <c r="AL12" s="1"/>
  <c r="M23"/>
  <c r="AD23" s="1"/>
  <c r="AP23" s="1"/>
  <c r="J26"/>
  <c r="AB26" s="1"/>
  <c r="AN26" s="1"/>
  <c r="J27"/>
  <c r="AB27" s="1"/>
  <c r="AN27" s="1"/>
  <c r="J28"/>
  <c r="AB28" s="1"/>
  <c r="AN28" s="1"/>
  <c r="J29"/>
  <c r="AB29" s="1"/>
  <c r="AN29" s="1"/>
  <c r="J38"/>
  <c r="AB38" s="1"/>
  <c r="AN38" s="1"/>
  <c r="J34"/>
  <c r="AB34" s="1"/>
  <c r="AN34" s="1"/>
  <c r="M38"/>
  <c r="AD38" s="1"/>
  <c r="AP38" s="1"/>
  <c r="J42"/>
  <c r="AB42" s="1"/>
  <c r="AN42" s="1"/>
  <c r="M41"/>
  <c r="AD41" s="1"/>
  <c r="AP41" s="1"/>
  <c r="G36"/>
  <c r="Z36" s="1"/>
  <c r="AL36" s="1"/>
  <c r="J39"/>
  <c r="AB39" s="1"/>
  <c r="AN39" s="1"/>
  <c r="J43"/>
  <c r="AB43" s="1"/>
  <c r="AN43" s="1"/>
  <c r="M42"/>
  <c r="AD42" s="1"/>
  <c r="AP42" s="1"/>
  <c r="I12" i="56"/>
  <c r="G12" i="119" s="1"/>
  <c r="G39" i="74"/>
  <c r="Z39" s="1"/>
  <c r="AL39" s="1"/>
  <c r="M40"/>
  <c r="AD40" s="1"/>
  <c r="AP40" s="1"/>
  <c r="Q19" i="56"/>
  <c r="F127" i="69" s="1"/>
  <c r="K22" i="114"/>
  <c r="Q12" i="10"/>
  <c r="S12" s="1"/>
  <c r="AD12"/>
  <c r="AE12" s="1"/>
  <c r="AG12" s="1"/>
  <c r="P14"/>
  <c r="Q14" s="1"/>
  <c r="S14" s="1"/>
  <c r="AD14"/>
  <c r="AE14" s="1"/>
  <c r="AG14" s="1"/>
  <c r="J12"/>
  <c r="W12"/>
  <c r="X12" s="1"/>
  <c r="Z12" s="1"/>
  <c r="I14"/>
  <c r="J14" s="1"/>
  <c r="L14" s="1"/>
  <c r="L15" s="1"/>
  <c r="W14"/>
  <c r="X14" s="1"/>
  <c r="Z14" s="1"/>
  <c r="I14" i="24"/>
  <c r="J11" i="7" s="1"/>
  <c r="J99" i="24"/>
  <c r="L99" s="1"/>
  <c r="L126" s="1"/>
  <c r="J100"/>
  <c r="L100" s="1"/>
  <c r="L127" s="1"/>
  <c r="I80"/>
  <c r="J49" i="7" s="1"/>
  <c r="J84" i="24"/>
  <c r="L84" s="1"/>
  <c r="L85" s="1"/>
  <c r="J82"/>
  <c r="L82" s="1"/>
  <c r="L83" s="1"/>
  <c r="I78"/>
  <c r="J47" i="7" s="1"/>
  <c r="X52" i="24"/>
  <c r="Z52" s="1"/>
  <c r="P23" i="74" s="1"/>
  <c r="AF23" s="1"/>
  <c r="AR23" s="1"/>
  <c r="Q55" i="24"/>
  <c r="S55" s="1"/>
  <c r="Q56"/>
  <c r="Q57"/>
  <c r="S58"/>
  <c r="Q38" i="74"/>
  <c r="AG38" s="1"/>
  <c r="AS38" s="1"/>
  <c r="Q52" i="24"/>
  <c r="S52" s="1"/>
  <c r="Q23" i="54"/>
  <c r="AE52" i="24"/>
  <c r="X55"/>
  <c r="Z55" s="1"/>
  <c r="P26" i="74" s="1"/>
  <c r="AF26" s="1"/>
  <c r="AR26" s="1"/>
  <c r="X56" i="24"/>
  <c r="X57"/>
  <c r="Z58"/>
  <c r="P29" i="74" s="1"/>
  <c r="AF29" s="1"/>
  <c r="AR29" s="1"/>
  <c r="N38"/>
  <c r="AE38" s="1"/>
  <c r="AQ38" s="1"/>
  <c r="AE55" i="24"/>
  <c r="AG55" s="1"/>
  <c r="AE56"/>
  <c r="AE57"/>
  <c r="AG58"/>
  <c r="M23" i="54"/>
  <c r="J21" i="24"/>
  <c r="L21" s="1"/>
  <c r="J20"/>
  <c r="L20" s="1"/>
  <c r="J17"/>
  <c r="J52"/>
  <c r="L52" s="1"/>
  <c r="J56"/>
  <c r="L56" s="1"/>
  <c r="J57"/>
  <c r="L57" s="1"/>
  <c r="L58"/>
  <c r="D82" i="69"/>
  <c r="D89"/>
  <c r="F18"/>
  <c r="D90"/>
  <c r="I22" i="10"/>
  <c r="J22" s="1"/>
  <c r="L22" s="1"/>
  <c r="G5" i="74"/>
  <c r="Z5" s="1"/>
  <c r="AL5" s="1"/>
  <c r="P80" i="24"/>
  <c r="J24"/>
  <c r="L24" s="1"/>
  <c r="K24" i="61" s="1"/>
  <c r="I24"/>
  <c r="P78" i="24"/>
  <c r="G4" i="74"/>
  <c r="Z4" s="1"/>
  <c r="AL4" s="1"/>
  <c r="AE21" i="10"/>
  <c r="AG21" s="1"/>
  <c r="I61" i="46"/>
  <c r="G18" i="62" s="1"/>
  <c r="S14" i="58"/>
  <c r="S15"/>
  <c r="S16"/>
  <c r="S21"/>
  <c r="K52"/>
  <c r="K53"/>
  <c r="K59"/>
  <c r="I15"/>
  <c r="D68" i="62" s="1"/>
  <c r="J52" i="10"/>
  <c r="L52" s="1"/>
  <c r="K15" i="58" s="1"/>
  <c r="I55" i="24"/>
  <c r="J38" i="7" s="1"/>
  <c r="I14" i="58"/>
  <c r="D67" i="62" s="1"/>
  <c r="J51" i="10"/>
  <c r="L51" s="1"/>
  <c r="K14" i="58" s="1"/>
  <c r="I21"/>
  <c r="D74" i="62" s="1"/>
  <c r="I54" i="60"/>
  <c r="Q21" i="56"/>
  <c r="I93" i="24"/>
  <c r="J62" i="7" s="1"/>
  <c r="J17" i="10"/>
  <c r="K57" i="46"/>
  <c r="AA16"/>
  <c r="F45" i="62" s="1"/>
  <c r="AA17" i="46"/>
  <c r="S16"/>
  <c r="E45" i="62" s="1"/>
  <c r="S17" i="46"/>
  <c r="L23" i="10"/>
  <c r="S6" i="58"/>
  <c r="S7" s="1"/>
  <c r="E18" i="69"/>
  <c r="I21" i="46"/>
  <c r="D18" i="62" s="1"/>
  <c r="X80" i="24"/>
  <c r="O33" i="74" s="1"/>
  <c r="AE80" i="24"/>
  <c r="R33" i="74" s="1"/>
  <c r="Q19" i="54"/>
  <c r="M19"/>
  <c r="X78" i="24"/>
  <c r="O32" i="74" s="1"/>
  <c r="AE78" i="24"/>
  <c r="R32" i="74" s="1"/>
  <c r="I57" i="58"/>
  <c r="G72" i="62" s="1"/>
  <c r="I58" i="58"/>
  <c r="G73" i="62" s="1"/>
  <c r="I20" i="54"/>
  <c r="I19"/>
  <c r="Q10"/>
  <c r="Q14"/>
  <c r="Q6"/>
  <c r="M8"/>
  <c r="I15" i="60"/>
  <c r="I57"/>
  <c r="I21"/>
  <c r="I63"/>
  <c r="Q18" i="46"/>
  <c r="E15" i="62" s="1"/>
  <c r="K58" i="46"/>
  <c r="Y15" i="60"/>
  <c r="I56"/>
  <c r="Y18" i="46"/>
  <c r="F15" i="62" s="1"/>
  <c r="Q15" i="60"/>
  <c r="E178" i="62" s="1"/>
  <c r="Y14" i="60"/>
  <c r="I22"/>
  <c r="Q22"/>
  <c r="E185" i="62" s="1"/>
  <c r="Q6" i="56"/>
  <c r="Q8"/>
  <c r="Q6" i="61"/>
  <c r="Q12"/>
  <c r="Q16"/>
  <c r="Q18"/>
  <c r="Q20"/>
  <c r="Q21"/>
  <c r="Q23"/>
  <c r="S24"/>
  <c r="Q24"/>
  <c r="M6"/>
  <c r="M9"/>
  <c r="M12"/>
  <c r="M14"/>
  <c r="M16"/>
  <c r="M17"/>
  <c r="M18"/>
  <c r="M20"/>
  <c r="M21"/>
  <c r="M22"/>
  <c r="M23"/>
  <c r="O24"/>
  <c r="M24"/>
  <c r="Q9"/>
  <c r="Q14"/>
  <c r="Q17"/>
  <c r="Q22"/>
  <c r="I17"/>
  <c r="I20"/>
  <c r="I21"/>
  <c r="Q22" i="54"/>
  <c r="M22"/>
  <c r="K49" i="46"/>
  <c r="K50" s="1"/>
  <c r="K51" s="1"/>
  <c r="I49"/>
  <c r="G7" i="62" s="1"/>
  <c r="AA6" i="46"/>
  <c r="Y6"/>
  <c r="F5" i="62" s="1"/>
  <c r="S6" i="46"/>
  <c r="Q6"/>
  <c r="E5" i="62" s="1"/>
  <c r="S9" i="46"/>
  <c r="Q9"/>
  <c r="E7" i="62" s="1"/>
  <c r="AA9" i="46"/>
  <c r="Y9"/>
  <c r="F7" i="62" s="1"/>
  <c r="M14" i="54"/>
  <c r="M18"/>
  <c r="M20"/>
  <c r="M22" i="56"/>
  <c r="L21" i="119" s="1"/>
  <c r="M6" i="54"/>
  <c r="N36" i="74"/>
  <c r="AE36" s="1"/>
  <c r="AQ36" s="1"/>
  <c r="Q14" i="56"/>
  <c r="Q14" i="119" s="1"/>
  <c r="Q36" i="74"/>
  <c r="AG36" s="1"/>
  <c r="AS36" s="1"/>
  <c r="Q87" i="24"/>
  <c r="S87" s="1"/>
  <c r="L15" i="119"/>
  <c r="X87" i="24"/>
  <c r="Z87" s="1"/>
  <c r="P37" i="74" s="1"/>
  <c r="AF37" s="1"/>
  <c r="AR37" s="1"/>
  <c r="Q15" i="56"/>
  <c r="Q15" i="119" s="1"/>
  <c r="AE87" i="24"/>
  <c r="M21" i="56"/>
  <c r="L19" i="119" s="1"/>
  <c r="J87" i="24"/>
  <c r="L87" s="1"/>
  <c r="M12" i="54"/>
  <c r="M15"/>
  <c r="M16"/>
  <c r="M21"/>
  <c r="N42" i="74"/>
  <c r="AE42" s="1"/>
  <c r="AQ42" s="1"/>
  <c r="Q8" i="54"/>
  <c r="M14" i="56"/>
  <c r="L14" i="119" s="1"/>
  <c r="M10" i="54"/>
  <c r="Q12"/>
  <c r="Q15"/>
  <c r="Q16"/>
  <c r="Q18"/>
  <c r="Q20"/>
  <c r="Q21"/>
  <c r="M16" i="56"/>
  <c r="L16" i="119" s="1"/>
  <c r="Q16" i="56"/>
  <c r="Q16" i="119" s="1"/>
  <c r="L20"/>
  <c r="N41" i="74"/>
  <c r="AE41" s="1"/>
  <c r="AQ41" s="1"/>
  <c r="Q10" i="60"/>
  <c r="E173" i="62" s="1"/>
  <c r="Q12" i="60"/>
  <c r="E175" i="62" s="1"/>
  <c r="Y10" i="60"/>
  <c r="Y12"/>
  <c r="I52"/>
  <c r="AA8" i="58"/>
  <c r="AA9" s="1"/>
  <c r="Y8"/>
  <c r="F60" i="62" s="1"/>
  <c r="D84"/>
  <c r="Q32" i="58"/>
  <c r="E83" i="62" s="1"/>
  <c r="M32" i="54"/>
  <c r="F81" i="62"/>
  <c r="Q30" i="54"/>
  <c r="G79" i="62"/>
  <c r="Q37" i="58"/>
  <c r="E88" i="62" s="1"/>
  <c r="M37" i="54"/>
  <c r="I31" i="120"/>
  <c r="I33" i="56"/>
  <c r="Q27" i="60"/>
  <c r="M29" i="56"/>
  <c r="Y27" i="60"/>
  <c r="Q29" i="56"/>
  <c r="S8" i="58"/>
  <c r="S9" s="1"/>
  <c r="Q8"/>
  <c r="E60" i="62" s="1"/>
  <c r="K50" i="58"/>
  <c r="K51" s="1"/>
  <c r="I50"/>
  <c r="G65" i="62" s="1"/>
  <c r="Q26" i="58"/>
  <c r="E77" i="62" s="1"/>
  <c r="M26" i="54"/>
  <c r="I64" i="58"/>
  <c r="G77" i="62" s="1"/>
  <c r="D78"/>
  <c r="I27" i="54"/>
  <c r="Q29" i="58"/>
  <c r="E80" i="62" s="1"/>
  <c r="M29" i="54"/>
  <c r="Y27" i="58"/>
  <c r="F78" i="62" s="1"/>
  <c r="Q27" i="54"/>
  <c r="I67" i="58"/>
  <c r="G80" i="62" s="1"/>
  <c r="Q36" i="58"/>
  <c r="E87" i="62" s="1"/>
  <c r="M36" i="54"/>
  <c r="Y30" i="60"/>
  <c r="Q32" i="56"/>
  <c r="S10" i="58"/>
  <c r="S11" s="1"/>
  <c r="Q10"/>
  <c r="E63" i="62" s="1"/>
  <c r="Y12" i="58"/>
  <c r="F65" i="62" s="1"/>
  <c r="D83"/>
  <c r="I32" i="54"/>
  <c r="D79" i="62"/>
  <c r="I28" i="54"/>
  <c r="E81" i="62"/>
  <c r="M30" i="54"/>
  <c r="E84" i="62"/>
  <c r="Y32" i="58"/>
  <c r="F83" i="62" s="1"/>
  <c r="Q32" i="54"/>
  <c r="Y28" i="58"/>
  <c r="F79" i="62" s="1"/>
  <c r="Q28" i="54"/>
  <c r="I68" i="58"/>
  <c r="G81" i="62" s="1"/>
  <c r="G84"/>
  <c r="I37" i="58"/>
  <c r="D88" i="62" s="1"/>
  <c r="F88"/>
  <c r="I29" i="60"/>
  <c r="I31" i="56"/>
  <c r="I33" i="60"/>
  <c r="I35" i="56"/>
  <c r="Q29" i="60"/>
  <c r="M31" i="56"/>
  <c r="Q33" i="60"/>
  <c r="M35" i="56"/>
  <c r="Y29" i="60"/>
  <c r="Q31" i="56"/>
  <c r="Y33" i="60"/>
  <c r="Q35" i="56"/>
  <c r="I71" i="60"/>
  <c r="Q17" i="56"/>
  <c r="Q17" i="119" s="1"/>
  <c r="AA6" i="58"/>
  <c r="AA7" s="1"/>
  <c r="Y6"/>
  <c r="F57" i="62" s="1"/>
  <c r="K48" i="58"/>
  <c r="K49" s="1"/>
  <c r="I48"/>
  <c r="G63" i="62" s="1"/>
  <c r="D81"/>
  <c r="I30" i="54"/>
  <c r="Q28" i="58"/>
  <c r="E79" i="62" s="1"/>
  <c r="M28" i="54"/>
  <c r="F84" i="62"/>
  <c r="I70" i="58"/>
  <c r="G83" i="62" s="1"/>
  <c r="I75" i="58"/>
  <c r="G88" i="62" s="1"/>
  <c r="I29" i="56"/>
  <c r="Q31" i="60"/>
  <c r="Q31" i="122" s="1"/>
  <c r="M33" i="56"/>
  <c r="Y31" i="60"/>
  <c r="Y31" i="122" s="1"/>
  <c r="Q33" i="56"/>
  <c r="I69" i="60"/>
  <c r="I73"/>
  <c r="I73" i="122" s="1"/>
  <c r="AA10" i="58"/>
  <c r="AA11" s="1"/>
  <c r="Y10"/>
  <c r="F63" i="62" s="1"/>
  <c r="I31" i="58"/>
  <c r="D82" i="62" s="1"/>
  <c r="I31" i="54"/>
  <c r="Y31" i="58"/>
  <c r="F82" i="62" s="1"/>
  <c r="Q31" i="54"/>
  <c r="G87" i="62"/>
  <c r="I30" i="60"/>
  <c r="I32" i="56"/>
  <c r="Q30" i="60"/>
  <c r="M32" i="56"/>
  <c r="E195" i="62"/>
  <c r="K44" i="58"/>
  <c r="K45" s="1"/>
  <c r="I44"/>
  <c r="G57" i="62" s="1"/>
  <c r="K46" i="58"/>
  <c r="K47" s="1"/>
  <c r="I46"/>
  <c r="G60" i="62" s="1"/>
  <c r="S12" i="58"/>
  <c r="S13" s="1"/>
  <c r="Q12"/>
  <c r="E65" i="62" s="1"/>
  <c r="D77"/>
  <c r="Y26" i="58"/>
  <c r="F77" i="62" s="1"/>
  <c r="Q26" i="54"/>
  <c r="I29" i="58"/>
  <c r="D80" i="62" s="1"/>
  <c r="Q31" i="58"/>
  <c r="E82" i="62" s="1"/>
  <c r="M31" i="54"/>
  <c r="Q27" i="58"/>
  <c r="E78" i="62" s="1"/>
  <c r="M27" i="54"/>
  <c r="Y29" i="58"/>
  <c r="F80" i="62" s="1"/>
  <c r="Q29" i="54"/>
  <c r="I69" i="58"/>
  <c r="G82" i="62" s="1"/>
  <c r="I65" i="58"/>
  <c r="G78" i="62" s="1"/>
  <c r="I36" i="58"/>
  <c r="D87" i="62" s="1"/>
  <c r="Y36" i="58"/>
  <c r="F87" i="62" s="1"/>
  <c r="Q36" i="54"/>
  <c r="I28" i="60"/>
  <c r="I30" i="56"/>
  <c r="Q28" i="60"/>
  <c r="M30" i="56"/>
  <c r="M34"/>
  <c r="Y28" i="60"/>
  <c r="Q30" i="56"/>
  <c r="Q34"/>
  <c r="I70" i="60"/>
  <c r="M17" i="56"/>
  <c r="L17" i="119" s="1"/>
  <c r="I50" i="60"/>
  <c r="Y6"/>
  <c r="L6" i="10"/>
  <c r="L7" s="1"/>
  <c r="L8" s="1"/>
  <c r="L9"/>
  <c r="L10" s="1"/>
  <c r="L11" s="1"/>
  <c r="I9" i="46"/>
  <c r="D7" i="62" s="1"/>
  <c r="L24" i="10"/>
  <c r="K24" i="46" s="1"/>
  <c r="X86" i="10"/>
  <c r="Z86" s="1"/>
  <c r="AA14" i="122" s="1"/>
  <c r="AE86" i="10"/>
  <c r="AG86" s="1"/>
  <c r="K56" i="122" s="1"/>
  <c r="P86" i="10"/>
  <c r="Q14" i="122" s="1"/>
  <c r="I60" i="46"/>
  <c r="G17" i="62" s="1"/>
  <c r="I62" i="46"/>
  <c r="G19" i="62" s="1"/>
  <c r="Y20" i="58"/>
  <c r="F73" i="62" s="1"/>
  <c r="Y20" i="46"/>
  <c r="F17" i="62" s="1"/>
  <c r="Y21" i="46"/>
  <c r="F18" i="62" s="1"/>
  <c r="Y22" i="46"/>
  <c r="F19" i="62" s="1"/>
  <c r="Q19" i="58"/>
  <c r="E72" i="62" s="1"/>
  <c r="Q20" i="58"/>
  <c r="E73" i="62" s="1"/>
  <c r="Y18" i="58"/>
  <c r="F71" i="62" s="1"/>
  <c r="Q20" i="46"/>
  <c r="E17" i="62" s="1"/>
  <c r="Q22" i="46"/>
  <c r="E19" i="62" s="1"/>
  <c r="J55" i="10"/>
  <c r="Q21" i="122"/>
  <c r="U21" s="1"/>
  <c r="W21" s="1"/>
  <c r="Y21"/>
  <c r="AC21" s="1"/>
  <c r="AE21" s="1"/>
  <c r="I54" i="121" l="1"/>
  <c r="M54" s="1"/>
  <c r="O54" s="1"/>
  <c r="AG88" i="24"/>
  <c r="AG80"/>
  <c r="K8" i="115" s="1"/>
  <c r="W8" i="119" s="1"/>
  <c r="AG78" i="24"/>
  <c r="AG79" s="1"/>
  <c r="Z88"/>
  <c r="P38" i="74" s="1"/>
  <c r="AF38" s="1"/>
  <c r="AR38" s="1"/>
  <c r="Z86" i="24"/>
  <c r="P36" i="74" s="1"/>
  <c r="AF36" s="1"/>
  <c r="AR36" s="1"/>
  <c r="Z84" i="24"/>
  <c r="Z85" s="1"/>
  <c r="Z80"/>
  <c r="Z81" s="1"/>
  <c r="Z78"/>
  <c r="Z79" s="1"/>
  <c r="S86"/>
  <c r="J71" i="7"/>
  <c r="Q91" i="10"/>
  <c r="S91" s="1"/>
  <c r="S19" i="120" s="1"/>
  <c r="Q19" i="60"/>
  <c r="Q19" i="122"/>
  <c r="U19" s="1"/>
  <c r="W19" s="1"/>
  <c r="J60" i="7"/>
  <c r="K60"/>
  <c r="Q91" i="24"/>
  <c r="K61" i="122"/>
  <c r="K15" i="121"/>
  <c r="AS7" i="60"/>
  <c r="E182" i="62"/>
  <c r="J93" i="24"/>
  <c r="I21" i="115"/>
  <c r="AE93" i="24"/>
  <c r="I19" i="115"/>
  <c r="G127" i="69" s="1"/>
  <c r="AE91" i="24"/>
  <c r="I63" i="122"/>
  <c r="M63" s="1"/>
  <c r="O63" s="1"/>
  <c r="I61"/>
  <c r="M61" s="1"/>
  <c r="O61" s="1"/>
  <c r="Y19"/>
  <c r="AC19" s="1"/>
  <c r="AE19" s="1"/>
  <c r="I21"/>
  <c r="M21" s="1"/>
  <c r="O21" s="1"/>
  <c r="J93" i="10"/>
  <c r="L93" s="1"/>
  <c r="Q93" i="24"/>
  <c r="S93"/>
  <c r="AA19" i="122"/>
  <c r="AA18"/>
  <c r="J42" i="7"/>
  <c r="S21" i="121"/>
  <c r="Q18"/>
  <c r="U18" s="1"/>
  <c r="W18" s="1"/>
  <c r="F216" i="62"/>
  <c r="Q20" i="121"/>
  <c r="U20" s="1"/>
  <c r="W20" s="1"/>
  <c r="J91" i="10"/>
  <c r="L91" s="1"/>
  <c r="K19" i="120" s="1"/>
  <c r="I58" i="121"/>
  <c r="I69" i="122"/>
  <c r="I60" i="121"/>
  <c r="I71" i="122"/>
  <c r="Y26" i="121"/>
  <c r="Y29" i="122"/>
  <c r="Q26" i="121"/>
  <c r="Q29" i="122"/>
  <c r="I26" i="121"/>
  <c r="I29" i="122"/>
  <c r="I59" i="121"/>
  <c r="I70" i="122"/>
  <c r="Q25" i="121"/>
  <c r="Q28" i="122"/>
  <c r="I25" i="121"/>
  <c r="I28" i="122"/>
  <c r="Q27" i="121"/>
  <c r="Q30" i="122"/>
  <c r="I27" i="121"/>
  <c r="I30" i="122"/>
  <c r="S16" i="60"/>
  <c r="S16" i="122"/>
  <c r="AA16" i="60"/>
  <c r="AA16" i="122"/>
  <c r="S12" i="121"/>
  <c r="S13" s="1"/>
  <c r="S12" i="122"/>
  <c r="S13" s="1"/>
  <c r="K65" i="120"/>
  <c r="K64" i="122"/>
  <c r="Y25" i="121"/>
  <c r="Y28" i="122"/>
  <c r="Y30" i="121"/>
  <c r="Y33" i="122"/>
  <c r="Q30" i="121"/>
  <c r="Q33" i="122"/>
  <c r="I30" i="121"/>
  <c r="I33" i="122"/>
  <c r="Y27" i="121"/>
  <c r="Y30" i="122"/>
  <c r="Y24" i="121"/>
  <c r="Y27" i="122"/>
  <c r="Q24" i="121"/>
  <c r="Q27" i="122"/>
  <c r="K58" i="60"/>
  <c r="K58" i="122"/>
  <c r="AA12" i="121"/>
  <c r="AA13" s="1"/>
  <c r="AA12" i="122"/>
  <c r="AA13" s="1"/>
  <c r="S10" i="121"/>
  <c r="S11" s="1"/>
  <c r="S10" i="122"/>
  <c r="S11" s="1"/>
  <c r="K42" i="121"/>
  <c r="K43" s="1"/>
  <c r="K50" i="122"/>
  <c r="K51" s="1"/>
  <c r="K40" i="121"/>
  <c r="K41" s="1"/>
  <c r="K48" i="122"/>
  <c r="K49" s="1"/>
  <c r="AA10" i="121"/>
  <c r="AA11" s="1"/>
  <c r="AA10" i="122"/>
  <c r="AA11" s="1"/>
  <c r="J91" i="24"/>
  <c r="K36" i="74"/>
  <c r="AC36" s="1"/>
  <c r="AO36" s="1"/>
  <c r="K54" i="58"/>
  <c r="G103" i="62" s="1"/>
  <c r="P32" i="74"/>
  <c r="AF32" s="1"/>
  <c r="AR32" s="1"/>
  <c r="P33"/>
  <c r="AF33" s="1"/>
  <c r="AR33" s="1"/>
  <c r="R43"/>
  <c r="I22" i="115"/>
  <c r="V21" i="119" s="1"/>
  <c r="I16" i="46"/>
  <c r="D13" i="62" s="1"/>
  <c r="J59" i="10"/>
  <c r="L59" s="1"/>
  <c r="K22" i="58" s="1"/>
  <c r="M64" i="120"/>
  <c r="O64" s="1"/>
  <c r="Z91" i="24"/>
  <c r="Z93"/>
  <c r="J58" i="10"/>
  <c r="L58" s="1"/>
  <c r="K21" i="58" s="1"/>
  <c r="D108" i="62" s="1"/>
  <c r="I60" i="58"/>
  <c r="Q24" i="10"/>
  <c r="S24" s="1"/>
  <c r="S24" i="46" s="1"/>
  <c r="Q24"/>
  <c r="Q59" i="10"/>
  <c r="S22" i="58" s="1"/>
  <c r="Q22"/>
  <c r="X24" i="10"/>
  <c r="Z24" s="1"/>
  <c r="AA24" i="46" s="1"/>
  <c r="Y24"/>
  <c r="AA22" i="58"/>
  <c r="Y22"/>
  <c r="K41" i="74"/>
  <c r="AC41" s="1"/>
  <c r="AO41" s="1"/>
  <c r="AE24" i="10"/>
  <c r="AG24" s="1"/>
  <c r="K64" i="46" s="1"/>
  <c r="I64"/>
  <c r="H16" i="112"/>
  <c r="G16"/>
  <c r="Q21" i="121"/>
  <c r="U21" s="1"/>
  <c r="W21" s="1"/>
  <c r="K63" i="7"/>
  <c r="Y21" i="121"/>
  <c r="AC21" s="1"/>
  <c r="AE21" s="1"/>
  <c r="I55"/>
  <c r="I21"/>
  <c r="L94" i="10"/>
  <c r="J63" i="7"/>
  <c r="O43" i="74"/>
  <c r="I14" i="121"/>
  <c r="Y21" i="120"/>
  <c r="AC21" s="1"/>
  <c r="AE21" s="1"/>
  <c r="Y20" i="121"/>
  <c r="AC20" s="1"/>
  <c r="AE20" s="1"/>
  <c r="Q14" i="120"/>
  <c r="Y18" i="121"/>
  <c r="AC18" s="1"/>
  <c r="AE18" s="1"/>
  <c r="I21" i="120"/>
  <c r="M21" s="1"/>
  <c r="O21" s="1"/>
  <c r="I20" i="121"/>
  <c r="I10" i="120"/>
  <c r="I10" i="121"/>
  <c r="I8" i="120"/>
  <c r="I8" i="121"/>
  <c r="I15" i="120"/>
  <c r="I52" i="121"/>
  <c r="M52" s="1"/>
  <c r="O52" s="1"/>
  <c r="I18"/>
  <c r="M18" s="1"/>
  <c r="O18" s="1"/>
  <c r="I14" i="120"/>
  <c r="I12"/>
  <c r="I12" i="121"/>
  <c r="I6" i="120"/>
  <c r="I6" i="121"/>
  <c r="AA14" i="120"/>
  <c r="K63"/>
  <c r="K54" i="121"/>
  <c r="I73" i="120"/>
  <c r="K64"/>
  <c r="K55" i="121"/>
  <c r="K56" i="120"/>
  <c r="Y31"/>
  <c r="AA22"/>
  <c r="AA21" i="121"/>
  <c r="K52" i="120"/>
  <c r="K53" s="1"/>
  <c r="K44" i="121"/>
  <c r="K45" s="1"/>
  <c r="AA8"/>
  <c r="AA9" s="1"/>
  <c r="AA15" i="120"/>
  <c r="AA6" i="121"/>
  <c r="AA7" s="1"/>
  <c r="K54" i="120"/>
  <c r="K55" s="1"/>
  <c r="K46" i="121"/>
  <c r="K47" s="1"/>
  <c r="K57" i="120"/>
  <c r="S8" i="121"/>
  <c r="S9" s="1"/>
  <c r="S15" i="120"/>
  <c r="L127" i="10"/>
  <c r="J86"/>
  <c r="L86" s="1"/>
  <c r="Q21" i="120"/>
  <c r="U21" s="1"/>
  <c r="W21" s="1"/>
  <c r="I23" i="61"/>
  <c r="K42" i="74"/>
  <c r="AC42" s="1"/>
  <c r="AO42" s="1"/>
  <c r="I22" i="61"/>
  <c r="D21" i="69" s="1"/>
  <c r="K43" i="74"/>
  <c r="AC43" s="1"/>
  <c r="AO43" s="1"/>
  <c r="K38"/>
  <c r="AC38" s="1"/>
  <c r="AO38" s="1"/>
  <c r="AA12" i="120"/>
  <c r="AA13" s="1"/>
  <c r="S10"/>
  <c r="S11" s="1"/>
  <c r="AA10"/>
  <c r="AA11" s="1"/>
  <c r="S12"/>
  <c r="S13" s="1"/>
  <c r="J13" i="7"/>
  <c r="G5" i="112"/>
  <c r="S22" i="120"/>
  <c r="G24" i="112"/>
  <c r="J34" i="7"/>
  <c r="K49"/>
  <c r="K47"/>
  <c r="M53"/>
  <c r="M51"/>
  <c r="J86" i="24"/>
  <c r="J55" i="7"/>
  <c r="J57"/>
  <c r="J19"/>
  <c r="I12" i="61"/>
  <c r="D11" i="69" s="1"/>
  <c r="J9" i="7"/>
  <c r="J126" i="10"/>
  <c r="K7" i="117"/>
  <c r="H24" i="119" s="1"/>
  <c r="K6" i="117"/>
  <c r="H23" i="119" s="1"/>
  <c r="L23" i="24"/>
  <c r="I15" i="74" s="1"/>
  <c r="L17" i="24"/>
  <c r="I9" i="74" s="1"/>
  <c r="L16" i="24"/>
  <c r="K16" i="61" s="1"/>
  <c r="K12" i="58"/>
  <c r="K13" s="1"/>
  <c r="L50" i="10"/>
  <c r="AA8" i="120"/>
  <c r="AA9" s="1"/>
  <c r="Z81" i="10"/>
  <c r="K50" i="120"/>
  <c r="K51" s="1"/>
  <c r="AG81" i="10"/>
  <c r="S8" i="120"/>
  <c r="S9" s="1"/>
  <c r="S81" i="10"/>
  <c r="AA6" i="120"/>
  <c r="AA7" s="1"/>
  <c r="Z79" i="10"/>
  <c r="K48" i="120"/>
  <c r="K49" s="1"/>
  <c r="AG79" i="10"/>
  <c r="J88" i="24"/>
  <c r="S12" i="46"/>
  <c r="E41" i="62" s="1"/>
  <c r="S13" i="10"/>
  <c r="AA12" i="46"/>
  <c r="F41" i="62" s="1"/>
  <c r="Z13" i="10"/>
  <c r="K52" i="46"/>
  <c r="K53" s="1"/>
  <c r="AG13" i="10"/>
  <c r="S14" i="46"/>
  <c r="E43" i="62" s="1"/>
  <c r="S15" i="10"/>
  <c r="AA14" i="46"/>
  <c r="F43" i="62" s="1"/>
  <c r="Z15" i="10"/>
  <c r="K54" i="46"/>
  <c r="K55" s="1"/>
  <c r="AG15" i="10"/>
  <c r="K46" i="46"/>
  <c r="K47" s="1"/>
  <c r="K48" s="1"/>
  <c r="G38" i="62" s="1"/>
  <c r="AG7" i="10"/>
  <c r="AG8" s="1"/>
  <c r="L12" i="24"/>
  <c r="L13" s="1"/>
  <c r="G123" i="69"/>
  <c r="V15" i="119"/>
  <c r="G122" i="69"/>
  <c r="V14" i="119"/>
  <c r="G124" i="69"/>
  <c r="V16" i="119"/>
  <c r="Q6"/>
  <c r="Q20"/>
  <c r="Q8"/>
  <c r="Q19"/>
  <c r="Q18"/>
  <c r="J87" i="10"/>
  <c r="L87" s="1"/>
  <c r="K15" i="122" s="1"/>
  <c r="I46" i="46"/>
  <c r="G5" i="62" s="1"/>
  <c r="I14" i="60"/>
  <c r="D177" i="62" s="1"/>
  <c r="I10" i="60"/>
  <c r="D173" i="62" s="1"/>
  <c r="J88" i="10"/>
  <c r="L88" s="1"/>
  <c r="I16" i="61"/>
  <c r="S33" i="74"/>
  <c r="AH33" s="1"/>
  <c r="AT33" s="1"/>
  <c r="K15" i="115"/>
  <c r="S37" i="74"/>
  <c r="AH37" s="1"/>
  <c r="AT37" s="1"/>
  <c r="K20" i="114"/>
  <c r="G107" i="69" s="1"/>
  <c r="S28" i="74"/>
  <c r="AH28" s="1"/>
  <c r="AT28" s="1"/>
  <c r="K18" i="114"/>
  <c r="G105" i="69" s="1"/>
  <c r="S26" i="74"/>
  <c r="AH26" s="1"/>
  <c r="AT26" s="1"/>
  <c r="K22" i="115"/>
  <c r="W21" i="119" s="1"/>
  <c r="S43" i="74"/>
  <c r="AH43" s="1"/>
  <c r="AT43" s="1"/>
  <c r="S32"/>
  <c r="AH32" s="1"/>
  <c r="AT32" s="1"/>
  <c r="K21" i="114"/>
  <c r="G108" i="69" s="1"/>
  <c r="S29" i="74"/>
  <c r="AH29" s="1"/>
  <c r="AT29" s="1"/>
  <c r="K19" i="114"/>
  <c r="G106" i="69" s="1"/>
  <c r="S27" i="74"/>
  <c r="AH27" s="1"/>
  <c r="AT27" s="1"/>
  <c r="K14" i="115"/>
  <c r="S36" i="74"/>
  <c r="AH36" s="1"/>
  <c r="AT36" s="1"/>
  <c r="K16" i="115"/>
  <c r="S38" i="74"/>
  <c r="AH38" s="1"/>
  <c r="AT38" s="1"/>
  <c r="K15" i="114"/>
  <c r="G102" i="69" s="1"/>
  <c r="S23" i="74"/>
  <c r="AH23" s="1"/>
  <c r="AT23" s="1"/>
  <c r="I5"/>
  <c r="Y28" i="120"/>
  <c r="I71"/>
  <c r="Y33"/>
  <c r="Y29"/>
  <c r="E194" i="62"/>
  <c r="Q33" i="120"/>
  <c r="E190" i="62"/>
  <c r="Q29" i="120"/>
  <c r="Y30"/>
  <c r="Y27"/>
  <c r="E188" i="62"/>
  <c r="Q27" i="120"/>
  <c r="V19" i="119"/>
  <c r="V18"/>
  <c r="V20"/>
  <c r="G114" i="69"/>
  <c r="I70" i="120"/>
  <c r="E189" i="62"/>
  <c r="Q28" i="120"/>
  <c r="E191" i="62"/>
  <c r="Q30" i="120"/>
  <c r="I69"/>
  <c r="E192" i="62"/>
  <c r="Q31" i="120"/>
  <c r="I12" i="115"/>
  <c r="V12" i="119" s="1"/>
  <c r="AG82" i="24"/>
  <c r="I10" i="115"/>
  <c r="V10" i="119" s="1"/>
  <c r="G163" i="69"/>
  <c r="G116"/>
  <c r="L94" i="24"/>
  <c r="I43" i="74" s="1"/>
  <c r="G43" i="112"/>
  <c r="L86" i="24"/>
  <c r="I36" i="74" s="1"/>
  <c r="L51" i="24"/>
  <c r="I22" i="74" s="1"/>
  <c r="I33" i="120"/>
  <c r="I30"/>
  <c r="I29"/>
  <c r="I28"/>
  <c r="I27"/>
  <c r="L88" i="24"/>
  <c r="I38" i="74" s="1"/>
  <c r="I6" i="56"/>
  <c r="G6" i="119" s="1"/>
  <c r="I42" i="74"/>
  <c r="R41"/>
  <c r="R40"/>
  <c r="R42"/>
  <c r="I14" i="54"/>
  <c r="D69" i="69" s="1"/>
  <c r="G42" i="112"/>
  <c r="L93" i="24"/>
  <c r="X82"/>
  <c r="O34" i="74" s="1"/>
  <c r="L40"/>
  <c r="AE84" i="24"/>
  <c r="R35" i="74" s="1"/>
  <c r="AE82" i="24"/>
  <c r="R34" i="74" s="1"/>
  <c r="I16" i="54"/>
  <c r="D71" i="69" s="1"/>
  <c r="I14" i="56"/>
  <c r="G14" i="119" s="1"/>
  <c r="H37" i="74"/>
  <c r="AA37" s="1"/>
  <c r="AM37" s="1"/>
  <c r="I37"/>
  <c r="Q37"/>
  <c r="AG37" s="1"/>
  <c r="AS37" s="1"/>
  <c r="R37"/>
  <c r="N37"/>
  <c r="AE37" s="1"/>
  <c r="AQ37" s="1"/>
  <c r="O37"/>
  <c r="K37"/>
  <c r="AC37" s="1"/>
  <c r="AO37" s="1"/>
  <c r="L37"/>
  <c r="H29"/>
  <c r="AA29" s="1"/>
  <c r="AM29" s="1"/>
  <c r="I29"/>
  <c r="H27"/>
  <c r="AA27" s="1"/>
  <c r="AM27" s="1"/>
  <c r="I27"/>
  <c r="H23"/>
  <c r="AA23" s="1"/>
  <c r="AM23" s="1"/>
  <c r="I23"/>
  <c r="H12"/>
  <c r="AA12" s="1"/>
  <c r="AM12" s="1"/>
  <c r="I12"/>
  <c r="H13"/>
  <c r="AA13" s="1"/>
  <c r="AM13" s="1"/>
  <c r="I13"/>
  <c r="Q28"/>
  <c r="AG28" s="1"/>
  <c r="AS28" s="1"/>
  <c r="R28"/>
  <c r="Q26"/>
  <c r="AG26" s="1"/>
  <c r="AS26" s="1"/>
  <c r="R26"/>
  <c r="N29"/>
  <c r="AE29" s="1"/>
  <c r="AQ29" s="1"/>
  <c r="O29"/>
  <c r="N27"/>
  <c r="AE27" s="1"/>
  <c r="AQ27" s="1"/>
  <c r="O27"/>
  <c r="Q23"/>
  <c r="AG23" s="1"/>
  <c r="AS23" s="1"/>
  <c r="R23"/>
  <c r="K28"/>
  <c r="AC28" s="1"/>
  <c r="AO28" s="1"/>
  <c r="L28"/>
  <c r="K26"/>
  <c r="AC26" s="1"/>
  <c r="AO26" s="1"/>
  <c r="L26"/>
  <c r="H6"/>
  <c r="AA6" s="1"/>
  <c r="AM6" s="1"/>
  <c r="H36"/>
  <c r="AA36" s="1"/>
  <c r="AM36" s="1"/>
  <c r="H28"/>
  <c r="AA28" s="1"/>
  <c r="AM28" s="1"/>
  <c r="I28"/>
  <c r="H22"/>
  <c r="AA22" s="1"/>
  <c r="AM22" s="1"/>
  <c r="H14"/>
  <c r="AA14" s="1"/>
  <c r="AM14" s="1"/>
  <c r="I14"/>
  <c r="H15"/>
  <c r="AA15" s="1"/>
  <c r="AM15" s="1"/>
  <c r="Q29"/>
  <c r="AG29" s="1"/>
  <c r="AS29" s="1"/>
  <c r="R29"/>
  <c r="Q27"/>
  <c r="AG27" s="1"/>
  <c r="AS27" s="1"/>
  <c r="R27"/>
  <c r="N28"/>
  <c r="AE28" s="1"/>
  <c r="AQ28" s="1"/>
  <c r="O28"/>
  <c r="N26"/>
  <c r="AE26" s="1"/>
  <c r="AQ26" s="1"/>
  <c r="O26"/>
  <c r="K23"/>
  <c r="AC23" s="1"/>
  <c r="AO23" s="1"/>
  <c r="L23"/>
  <c r="K29"/>
  <c r="AC29" s="1"/>
  <c r="AO29" s="1"/>
  <c r="L29"/>
  <c r="K27"/>
  <c r="AC27" s="1"/>
  <c r="AO27" s="1"/>
  <c r="L27"/>
  <c r="N23"/>
  <c r="AE23" s="1"/>
  <c r="AQ23" s="1"/>
  <c r="O23"/>
  <c r="H10"/>
  <c r="AA10" s="1"/>
  <c r="AM10" s="1"/>
  <c r="I10"/>
  <c r="P41"/>
  <c r="AF41" s="1"/>
  <c r="AR41" s="1"/>
  <c r="G30" i="112"/>
  <c r="J53" i="24"/>
  <c r="L53" s="1"/>
  <c r="I10" i="58"/>
  <c r="D63" i="62" s="1"/>
  <c r="H38" i="74"/>
  <c r="AA38" s="1"/>
  <c r="AM38" s="1"/>
  <c r="I16" i="56"/>
  <c r="G38" i="74"/>
  <c r="Z38" s="1"/>
  <c r="AL38" s="1"/>
  <c r="I8" i="58"/>
  <c r="D60" i="62" s="1"/>
  <c r="I19" i="58"/>
  <c r="D72" i="62" s="1"/>
  <c r="I20" i="58"/>
  <c r="D73" i="62" s="1"/>
  <c r="I6" i="58"/>
  <c r="D57" i="62" s="1"/>
  <c r="P35" i="74"/>
  <c r="AF35" s="1"/>
  <c r="AR35" s="1"/>
  <c r="M34"/>
  <c r="AD34" s="1"/>
  <c r="AP34" s="1"/>
  <c r="I54" i="46"/>
  <c r="G11" i="62" s="1"/>
  <c r="P42" i="74"/>
  <c r="AF42" s="1"/>
  <c r="AR42" s="1"/>
  <c r="P40"/>
  <c r="AF40" s="1"/>
  <c r="AR40" s="1"/>
  <c r="Y12" i="46"/>
  <c r="F9" i="62" s="1"/>
  <c r="M19" i="56"/>
  <c r="E127" i="69" s="1"/>
  <c r="I14" i="46"/>
  <c r="D11" i="62" s="1"/>
  <c r="L18" i="10"/>
  <c r="K18" i="46" s="1"/>
  <c r="I18"/>
  <c r="D15" i="62" s="1"/>
  <c r="L91" i="24"/>
  <c r="J40" i="74"/>
  <c r="AB40" s="1"/>
  <c r="AN40" s="1"/>
  <c r="O10" i="56"/>
  <c r="Q14" i="46"/>
  <c r="E11" i="62" s="1"/>
  <c r="N40" i="74"/>
  <c r="AE40" s="1"/>
  <c r="AQ40" s="1"/>
  <c r="S19" i="56"/>
  <c r="F160" i="69" s="1"/>
  <c r="M43" i="74"/>
  <c r="AD43" s="1"/>
  <c r="AP43" s="1"/>
  <c r="G26"/>
  <c r="Z26" s="1"/>
  <c r="AL26" s="1"/>
  <c r="J33"/>
  <c r="AB33" s="1"/>
  <c r="AN33" s="1"/>
  <c r="J78" i="24"/>
  <c r="L78" s="1"/>
  <c r="L79" s="1"/>
  <c r="I19" i="56"/>
  <c r="J14" i="24"/>
  <c r="L14" s="1"/>
  <c r="L15" s="1"/>
  <c r="I52" i="46"/>
  <c r="G9" i="62" s="1"/>
  <c r="Y14" i="46"/>
  <c r="F11" i="62" s="1"/>
  <c r="J32" i="74"/>
  <c r="AB32" s="1"/>
  <c r="AN32" s="1"/>
  <c r="J80" i="24"/>
  <c r="Q12" i="46"/>
  <c r="E9" i="62" s="1"/>
  <c r="G7" i="74"/>
  <c r="Z7" s="1"/>
  <c r="AL7" s="1"/>
  <c r="AA22" i="60"/>
  <c r="K64"/>
  <c r="I12"/>
  <c r="D175" i="62" s="1"/>
  <c r="H9" i="74"/>
  <c r="AA9" s="1"/>
  <c r="AM9" s="1"/>
  <c r="H8"/>
  <c r="AA8" s="1"/>
  <c r="AM8" s="1"/>
  <c r="N33"/>
  <c r="AE33" s="1"/>
  <c r="AQ33" s="1"/>
  <c r="G42"/>
  <c r="Z42" s="1"/>
  <c r="AL42" s="1"/>
  <c r="Q33"/>
  <c r="AG33" s="1"/>
  <c r="AS33" s="1"/>
  <c r="N32"/>
  <c r="AE32" s="1"/>
  <c r="AQ32" s="1"/>
  <c r="G32"/>
  <c r="Z32" s="1"/>
  <c r="AL32" s="1"/>
  <c r="G35"/>
  <c r="Z35" s="1"/>
  <c r="AL35" s="1"/>
  <c r="G43"/>
  <c r="Z43" s="1"/>
  <c r="AL43" s="1"/>
  <c r="Q40"/>
  <c r="AG40" s="1"/>
  <c r="AS40" s="1"/>
  <c r="G34"/>
  <c r="Z34" s="1"/>
  <c r="AL34" s="1"/>
  <c r="G33"/>
  <c r="Z33" s="1"/>
  <c r="AL33" s="1"/>
  <c r="Q42"/>
  <c r="AG42" s="1"/>
  <c r="AS42" s="1"/>
  <c r="Q41"/>
  <c r="AG41" s="1"/>
  <c r="AS41" s="1"/>
  <c r="Q32"/>
  <c r="AG32" s="1"/>
  <c r="AS32" s="1"/>
  <c r="G41"/>
  <c r="Z41" s="1"/>
  <c r="AL41" s="1"/>
  <c r="G40"/>
  <c r="Z40" s="1"/>
  <c r="AL40" s="1"/>
  <c r="G20" i="119"/>
  <c r="G6" i="74"/>
  <c r="Z6" s="1"/>
  <c r="AL6" s="1"/>
  <c r="I8" i="56"/>
  <c r="G8" i="119" s="1"/>
  <c r="I35" i="74"/>
  <c r="G24"/>
  <c r="Z24" s="1"/>
  <c r="AL24" s="1"/>
  <c r="S22" i="54"/>
  <c r="O22"/>
  <c r="M6" i="56"/>
  <c r="Q80" i="24"/>
  <c r="L33" i="74" s="1"/>
  <c r="O15" i="56"/>
  <c r="I9" i="61"/>
  <c r="J59" i="24"/>
  <c r="L59" s="1"/>
  <c r="J6"/>
  <c r="I14" i="61"/>
  <c r="J55" i="24"/>
  <c r="I22" i="46"/>
  <c r="D19" i="62" s="1"/>
  <c r="J84" i="10"/>
  <c r="L84" s="1"/>
  <c r="I16" i="58"/>
  <c r="D69" i="62" s="1"/>
  <c r="H5" i="74"/>
  <c r="AA5" s="1"/>
  <c r="AM5" s="1"/>
  <c r="Q22" i="56"/>
  <c r="Q78" i="24"/>
  <c r="L32" i="74" s="1"/>
  <c r="E134" i="69"/>
  <c r="F89"/>
  <c r="E140"/>
  <c r="D84"/>
  <c r="F80"/>
  <c r="D80"/>
  <c r="E79"/>
  <c r="D137"/>
  <c r="D86"/>
  <c r="F67"/>
  <c r="E76"/>
  <c r="E129"/>
  <c r="E73"/>
  <c r="F13"/>
  <c r="E63"/>
  <c r="F65"/>
  <c r="D75"/>
  <c r="E84"/>
  <c r="E81"/>
  <c r="D122"/>
  <c r="F76"/>
  <c r="F70"/>
  <c r="F63"/>
  <c r="E67"/>
  <c r="E61"/>
  <c r="E75"/>
  <c r="F16"/>
  <c r="F19"/>
  <c r="F5"/>
  <c r="F69"/>
  <c r="D74"/>
  <c r="F129"/>
  <c r="F138"/>
  <c r="E138"/>
  <c r="D138"/>
  <c r="F79"/>
  <c r="E136"/>
  <c r="E135"/>
  <c r="F85"/>
  <c r="E86"/>
  <c r="D81"/>
  <c r="E133"/>
  <c r="F83"/>
  <c r="E85"/>
  <c r="E124"/>
  <c r="F71"/>
  <c r="E70"/>
  <c r="D123"/>
  <c r="E123"/>
  <c r="F21"/>
  <c r="F20"/>
  <c r="F11"/>
  <c r="M8" i="56"/>
  <c r="L8" i="119" s="1"/>
  <c r="D79" i="69"/>
  <c r="F84"/>
  <c r="D125"/>
  <c r="E139"/>
  <c r="F90"/>
  <c r="F81"/>
  <c r="E83"/>
  <c r="D85"/>
  <c r="E89"/>
  <c r="E82"/>
  <c r="E90"/>
  <c r="F75"/>
  <c r="F123"/>
  <c r="E130"/>
  <c r="F17"/>
  <c r="F114"/>
  <c r="F74"/>
  <c r="F86"/>
  <c r="D83"/>
  <c r="F125"/>
  <c r="E125"/>
  <c r="F82"/>
  <c r="E80"/>
  <c r="F137"/>
  <c r="E137"/>
  <c r="F124"/>
  <c r="F73"/>
  <c r="E65"/>
  <c r="E122"/>
  <c r="E71"/>
  <c r="F122"/>
  <c r="D70"/>
  <c r="E69"/>
  <c r="F8"/>
  <c r="F22"/>
  <c r="F15"/>
  <c r="F116"/>
  <c r="F61"/>
  <c r="I18" i="54"/>
  <c r="I22"/>
  <c r="I21" i="56"/>
  <c r="E99" i="62"/>
  <c r="G91"/>
  <c r="F99"/>
  <c r="E94"/>
  <c r="G97"/>
  <c r="G94"/>
  <c r="F97"/>
  <c r="E97"/>
  <c r="G99"/>
  <c r="F94"/>
  <c r="E91"/>
  <c r="F91"/>
  <c r="I59" i="58"/>
  <c r="G74" i="62" s="1"/>
  <c r="I54" i="58"/>
  <c r="G69" i="62" s="1"/>
  <c r="I52" i="58"/>
  <c r="G67" i="62" s="1"/>
  <c r="Y16" i="58"/>
  <c r="F69" i="62" s="1"/>
  <c r="Y14" i="58"/>
  <c r="F67" i="62" s="1"/>
  <c r="Q18" i="58"/>
  <c r="E71" i="62" s="1"/>
  <c r="Q15" i="58"/>
  <c r="E68" i="62" s="1"/>
  <c r="I56" i="58"/>
  <c r="G71" i="62" s="1"/>
  <c r="I53" i="58"/>
  <c r="G68" i="62" s="1"/>
  <c r="Y21" i="58"/>
  <c r="F74" i="62" s="1"/>
  <c r="Y15" i="58"/>
  <c r="F68" i="62" s="1"/>
  <c r="Q21" i="58"/>
  <c r="E74" i="62" s="1"/>
  <c r="Q16" i="58"/>
  <c r="E69" i="62" s="1"/>
  <c r="Q14" i="58"/>
  <c r="E67" i="62" s="1"/>
  <c r="L17" i="10"/>
  <c r="K17" i="46" s="1"/>
  <c r="I64" i="60"/>
  <c r="G185" i="62" s="1"/>
  <c r="Q21" i="46"/>
  <c r="E18" i="62" s="1"/>
  <c r="I22" i="56"/>
  <c r="I17" i="46"/>
  <c r="D14" i="62" s="1"/>
  <c r="I19" i="60"/>
  <c r="Q17" i="46"/>
  <c r="E14" i="62" s="1"/>
  <c r="Y22" i="60"/>
  <c r="F185" i="62" s="1"/>
  <c r="Y17" i="46"/>
  <c r="F14" i="62" s="1"/>
  <c r="I57" i="46"/>
  <c r="G14" i="62" s="1"/>
  <c r="I21" i="54"/>
  <c r="I63" i="46"/>
  <c r="G20" i="62" s="1"/>
  <c r="Q16" i="46"/>
  <c r="E13" i="62" s="1"/>
  <c r="Y16" i="46"/>
  <c r="F13" i="62" s="1"/>
  <c r="G13"/>
  <c r="Q23" i="46"/>
  <c r="E20" i="62" s="1"/>
  <c r="I23" i="46"/>
  <c r="D20" i="62" s="1"/>
  <c r="Y23" i="46"/>
  <c r="F20" i="62" s="1"/>
  <c r="I18" i="58"/>
  <c r="D71" i="62" s="1"/>
  <c r="L55" i="10"/>
  <c r="K18" i="58" s="1"/>
  <c r="E39" i="62"/>
  <c r="S10" i="46"/>
  <c r="S11" s="1"/>
  <c r="E40" i="62" s="1"/>
  <c r="AA15" i="46"/>
  <c r="E37" i="62"/>
  <c r="S7" i="46"/>
  <c r="S8" s="1"/>
  <c r="E38" i="62" s="1"/>
  <c r="F37"/>
  <c r="AA7" i="46"/>
  <c r="AA8" s="1"/>
  <c r="F38" i="62" s="1"/>
  <c r="F39"/>
  <c r="AA10" i="46"/>
  <c r="AA11" s="1"/>
  <c r="F40" i="62" s="1"/>
  <c r="G43"/>
  <c r="S15" i="46"/>
  <c r="AA13"/>
  <c r="F42" i="62" s="1"/>
  <c r="G42"/>
  <c r="G39"/>
  <c r="G40"/>
  <c r="I12" i="58"/>
  <c r="D65" i="62" s="1"/>
  <c r="S19" i="54"/>
  <c r="O19"/>
  <c r="Y19" i="58"/>
  <c r="F72" i="62" s="1"/>
  <c r="L43" i="10"/>
  <c r="L44" s="1"/>
  <c r="K20" i="54"/>
  <c r="L53" i="10"/>
  <c r="S18" i="46"/>
  <c r="E47" i="62" s="1"/>
  <c r="K57" i="58"/>
  <c r="Q6"/>
  <c r="E57" i="62" s="1"/>
  <c r="E13" i="69"/>
  <c r="D16"/>
  <c r="E22"/>
  <c r="E17"/>
  <c r="E15"/>
  <c r="E11"/>
  <c r="E5"/>
  <c r="E74"/>
  <c r="E16"/>
  <c r="E8"/>
  <c r="D22"/>
  <c r="D20"/>
  <c r="E20"/>
  <c r="D19"/>
  <c r="D15"/>
  <c r="E21"/>
  <c r="E19"/>
  <c r="D139"/>
  <c r="F140"/>
  <c r="D140"/>
  <c r="F134"/>
  <c r="D134"/>
  <c r="F135"/>
  <c r="D135"/>
  <c r="D136"/>
  <c r="F139"/>
  <c r="F136"/>
  <c r="D133"/>
  <c r="F133"/>
  <c r="L21" i="10"/>
  <c r="K21" i="46" s="1"/>
  <c r="K58" i="58"/>
  <c r="I8" i="60"/>
  <c r="D170" i="62" s="1"/>
  <c r="L56" i="10"/>
  <c r="K19" i="58" s="1"/>
  <c r="D106" i="62" s="1"/>
  <c r="G195"/>
  <c r="F195"/>
  <c r="G192"/>
  <c r="G191"/>
  <c r="G194"/>
  <c r="G188"/>
  <c r="G189"/>
  <c r="G190"/>
  <c r="F194"/>
  <c r="F192"/>
  <c r="F191"/>
  <c r="F188"/>
  <c r="F189"/>
  <c r="F190"/>
  <c r="D192"/>
  <c r="D188"/>
  <c r="D191"/>
  <c r="D194"/>
  <c r="D189"/>
  <c r="D190"/>
  <c r="D195"/>
  <c r="G184"/>
  <c r="G170"/>
  <c r="G178"/>
  <c r="G173"/>
  <c r="G177"/>
  <c r="G175"/>
  <c r="F175"/>
  <c r="F177"/>
  <c r="F178"/>
  <c r="F173"/>
  <c r="F167"/>
  <c r="D185"/>
  <c r="D178"/>
  <c r="D184"/>
  <c r="AA18" i="46"/>
  <c r="F47" i="62" s="1"/>
  <c r="I58" i="46"/>
  <c r="G15" i="62" s="1"/>
  <c r="Y21" i="60"/>
  <c r="I6"/>
  <c r="J78" i="10"/>
  <c r="L78" s="1"/>
  <c r="K6" i="122" s="1"/>
  <c r="K7" s="1"/>
  <c r="AA12" i="60"/>
  <c r="AA13" s="1"/>
  <c r="S22"/>
  <c r="AA15"/>
  <c r="K15"/>
  <c r="I61"/>
  <c r="G182" i="62" s="1"/>
  <c r="K52" i="60"/>
  <c r="K53" s="1"/>
  <c r="S10"/>
  <c r="AA14"/>
  <c r="K57"/>
  <c r="Q14"/>
  <c r="E177" i="62" s="1"/>
  <c r="S19" i="60"/>
  <c r="E217" i="62" s="1"/>
  <c r="K22" i="60"/>
  <c r="K63"/>
  <c r="S15"/>
  <c r="E213" i="62" s="1"/>
  <c r="Q21" i="60"/>
  <c r="Y19"/>
  <c r="K56"/>
  <c r="K54"/>
  <c r="K55" s="1"/>
  <c r="J80" i="10"/>
  <c r="L80" s="1"/>
  <c r="K8" i="122" s="1"/>
  <c r="K9" s="1"/>
  <c r="S6" i="56"/>
  <c r="S8"/>
  <c r="G52" i="62"/>
  <c r="G101"/>
  <c r="E103"/>
  <c r="G102"/>
  <c r="D102"/>
  <c r="F46"/>
  <c r="G47"/>
  <c r="G108"/>
  <c r="E102"/>
  <c r="F52"/>
  <c r="D107"/>
  <c r="G46"/>
  <c r="E46"/>
  <c r="E108"/>
  <c r="D101"/>
  <c r="E101"/>
  <c r="E52"/>
  <c r="K22" i="61"/>
  <c r="K20"/>
  <c r="S17"/>
  <c r="S9"/>
  <c r="O23"/>
  <c r="O21"/>
  <c r="O18"/>
  <c r="O16"/>
  <c r="O12"/>
  <c r="O6"/>
  <c r="S23"/>
  <c r="S20"/>
  <c r="S16"/>
  <c r="S6"/>
  <c r="K21"/>
  <c r="K18"/>
  <c r="S22"/>
  <c r="S14"/>
  <c r="O22"/>
  <c r="O20"/>
  <c r="O17"/>
  <c r="O14"/>
  <c r="O9"/>
  <c r="S21"/>
  <c r="S18"/>
  <c r="S12"/>
  <c r="S21" i="46"/>
  <c r="G98" i="62"/>
  <c r="G100"/>
  <c r="E100"/>
  <c r="E98"/>
  <c r="F98"/>
  <c r="F100"/>
  <c r="K14" i="56"/>
  <c r="H14" i="119" s="1"/>
  <c r="M20"/>
  <c r="S16" i="56"/>
  <c r="R16" i="119" s="1"/>
  <c r="S20" i="54"/>
  <c r="S15"/>
  <c r="S12"/>
  <c r="S13" s="1"/>
  <c r="K21"/>
  <c r="S6"/>
  <c r="O21" i="56"/>
  <c r="M19" i="119" s="1"/>
  <c r="S10" i="54"/>
  <c r="S11" s="1"/>
  <c r="K15"/>
  <c r="O18"/>
  <c r="M12" i="56"/>
  <c r="L12" i="119" s="1"/>
  <c r="S21" i="56"/>
  <c r="O16"/>
  <c r="M16" i="119" s="1"/>
  <c r="S21" i="54"/>
  <c r="S16"/>
  <c r="S14"/>
  <c r="O10"/>
  <c r="O11" s="1"/>
  <c r="O14" i="56"/>
  <c r="M14" i="119" s="1"/>
  <c r="O21" i="54"/>
  <c r="O16"/>
  <c r="O12"/>
  <c r="O13" s="1"/>
  <c r="O8"/>
  <c r="S14" i="56"/>
  <c r="R14" i="119" s="1"/>
  <c r="O22" i="56"/>
  <c r="M21" i="119" s="1"/>
  <c r="O20" i="54"/>
  <c r="O14"/>
  <c r="M10" i="56"/>
  <c r="L10" i="119" s="1"/>
  <c r="S18" i="54"/>
  <c r="S8"/>
  <c r="O15"/>
  <c r="K15" i="56"/>
  <c r="H15" i="119" s="1"/>
  <c r="S15" i="56"/>
  <c r="R15" i="119" s="1"/>
  <c r="O6" i="54"/>
  <c r="Q10" i="56"/>
  <c r="Q12"/>
  <c r="Q8" i="60"/>
  <c r="E170" i="62" s="1"/>
  <c r="I48" i="60"/>
  <c r="Y8"/>
  <c r="AA14" i="58"/>
  <c r="AA19"/>
  <c r="AA21"/>
  <c r="AA16"/>
  <c r="S18"/>
  <c r="K56"/>
  <c r="AA15"/>
  <c r="AA8" i="60"/>
  <c r="AA9" s="1"/>
  <c r="K50"/>
  <c r="K51" s="1"/>
  <c r="I12" i="46"/>
  <c r="D9" i="62" s="1"/>
  <c r="L12" i="10"/>
  <c r="I6" i="46"/>
  <c r="D5" i="62" s="1"/>
  <c r="K22" i="46"/>
  <c r="K6"/>
  <c r="K61"/>
  <c r="AA22"/>
  <c r="S20"/>
  <c r="AA20"/>
  <c r="K14"/>
  <c r="S22"/>
  <c r="AA21"/>
  <c r="K60"/>
  <c r="K62"/>
  <c r="K16"/>
  <c r="D45" i="62" s="1"/>
  <c r="K9" i="46"/>
  <c r="K23"/>
  <c r="L20" i="10"/>
  <c r="I20" i="46"/>
  <c r="D17" i="62" s="1"/>
  <c r="AA21" i="122"/>
  <c r="J99" i="10"/>
  <c r="L99" s="1"/>
  <c r="S21" i="122"/>
  <c r="Q86" i="10"/>
  <c r="S86" s="1"/>
  <c r="S14" i="122" s="1"/>
  <c r="J82" i="10"/>
  <c r="L82" s="1"/>
  <c r="S19" i="58"/>
  <c r="S20"/>
  <c r="K10"/>
  <c r="K11" s="1"/>
  <c r="K8"/>
  <c r="K9" s="1"/>
  <c r="AG84" i="24" l="1"/>
  <c r="AG81"/>
  <c r="K6" i="115"/>
  <c r="W6" i="119" s="1"/>
  <c r="Z82" i="24"/>
  <c r="Z83" s="1"/>
  <c r="S80"/>
  <c r="S81" s="1"/>
  <c r="S78"/>
  <c r="S79" s="1"/>
  <c r="K21" i="122"/>
  <c r="K20" i="121"/>
  <c r="G147" i="69"/>
  <c r="K14" i="121"/>
  <c r="AS6" i="60"/>
  <c r="F182" i="62"/>
  <c r="D182"/>
  <c r="E184"/>
  <c r="G18" i="119"/>
  <c r="D127" i="69"/>
  <c r="K21" i="60"/>
  <c r="K21" i="120"/>
  <c r="K19" i="122"/>
  <c r="K19" i="60"/>
  <c r="D217" i="62" s="1"/>
  <c r="E216"/>
  <c r="S19" i="122"/>
  <c r="S18"/>
  <c r="M21" i="121"/>
  <c r="O21" s="1"/>
  <c r="M55"/>
  <c r="O55" s="1"/>
  <c r="S18"/>
  <c r="M20"/>
  <c r="O20" s="1"/>
  <c r="S20"/>
  <c r="K14" i="60"/>
  <c r="D212" i="62" s="1"/>
  <c r="K14" i="122"/>
  <c r="K22" i="120"/>
  <c r="K22" i="122"/>
  <c r="K10" i="121"/>
  <c r="K11" s="1"/>
  <c r="K10" i="122"/>
  <c r="K11" s="1"/>
  <c r="K12" i="121"/>
  <c r="K13" s="1"/>
  <c r="K12" i="122"/>
  <c r="K13" s="1"/>
  <c r="K18" i="121"/>
  <c r="K16" i="60"/>
  <c r="D214" i="62" s="1"/>
  <c r="K16" i="122"/>
  <c r="K14" i="54"/>
  <c r="K23" i="61"/>
  <c r="G130" i="69"/>
  <c r="AG93" i="24"/>
  <c r="AG91"/>
  <c r="O19" i="56"/>
  <c r="K17" i="61"/>
  <c r="S13" i="46"/>
  <c r="E42" i="62" s="1"/>
  <c r="Z94" i="24"/>
  <c r="P43" i="74" s="1"/>
  <c r="AF43" s="1"/>
  <c r="AR43" s="1"/>
  <c r="K21" i="121"/>
  <c r="R23" i="119"/>
  <c r="K8" i="121"/>
  <c r="K9" s="1"/>
  <c r="S14" i="120"/>
  <c r="AA18" i="121"/>
  <c r="AA21" i="120"/>
  <c r="AA20" i="121"/>
  <c r="K15" i="120"/>
  <c r="K52" i="121"/>
  <c r="K6"/>
  <c r="K7" s="1"/>
  <c r="K14" i="120"/>
  <c r="L126" i="10"/>
  <c r="K12" i="61"/>
  <c r="G41" i="62"/>
  <c r="G37"/>
  <c r="S10" i="56"/>
  <c r="R10" i="119" s="1"/>
  <c r="P34" i="74"/>
  <c r="AF34" s="1"/>
  <c r="AR34" s="1"/>
  <c r="I6"/>
  <c r="I8"/>
  <c r="K7" i="115"/>
  <c r="W7" i="119" s="1"/>
  <c r="G149" i="69"/>
  <c r="K9" i="115"/>
  <c r="W9" i="119" s="1"/>
  <c r="S21" i="120"/>
  <c r="K10"/>
  <c r="K11" s="1"/>
  <c r="K12"/>
  <c r="K13" s="1"/>
  <c r="R24" i="119"/>
  <c r="AL24" s="1"/>
  <c r="D186" i="69" s="1"/>
  <c r="K40" i="74"/>
  <c r="AC40" s="1"/>
  <c r="AO40" s="1"/>
  <c r="K8" i="120"/>
  <c r="K9" s="1"/>
  <c r="L81" i="10"/>
  <c r="K6" i="120"/>
  <c r="K7" s="1"/>
  <c r="L79" i="10"/>
  <c r="AL23" i="119"/>
  <c r="D185" i="69" s="1"/>
  <c r="AG85" i="24"/>
  <c r="AG83"/>
  <c r="K12" i="46"/>
  <c r="K13" s="1"/>
  <c r="D42" i="62" s="1"/>
  <c r="L13" i="10"/>
  <c r="G157" i="69"/>
  <c r="W16" i="119"/>
  <c r="G155" i="69"/>
  <c r="W14" i="119"/>
  <c r="AL14" s="1"/>
  <c r="D176" i="69" s="1"/>
  <c r="G156"/>
  <c r="W15" i="119"/>
  <c r="Q12"/>
  <c r="S9" i="56"/>
  <c r="R9" i="119" s="1"/>
  <c r="R8"/>
  <c r="G21"/>
  <c r="G19"/>
  <c r="Q21"/>
  <c r="R18"/>
  <c r="S11" i="56"/>
  <c r="R11" i="119" s="1"/>
  <c r="L18"/>
  <c r="D124" i="69"/>
  <c r="G16" i="119"/>
  <c r="Q10"/>
  <c r="R20"/>
  <c r="R19"/>
  <c r="S7" i="56"/>
  <c r="R7" i="119" s="1"/>
  <c r="R6"/>
  <c r="E156" i="69"/>
  <c r="M15" i="119"/>
  <c r="E114" i="69"/>
  <c r="L6" i="119"/>
  <c r="O11" i="56"/>
  <c r="M11" i="119" s="1"/>
  <c r="M10"/>
  <c r="K10" i="115"/>
  <c r="S34" i="74"/>
  <c r="AH34" s="1"/>
  <c r="AT34" s="1"/>
  <c r="K12" i="115"/>
  <c r="S35" i="74"/>
  <c r="AH35" s="1"/>
  <c r="AT35" s="1"/>
  <c r="S41"/>
  <c r="AH41" s="1"/>
  <c r="AT41" s="1"/>
  <c r="S42"/>
  <c r="AH42" s="1"/>
  <c r="AT42" s="1"/>
  <c r="S40"/>
  <c r="AH40" s="1"/>
  <c r="AT40" s="1"/>
  <c r="G118" i="69"/>
  <c r="G120"/>
  <c r="G129"/>
  <c r="L80" i="24"/>
  <c r="K8" i="56" s="1"/>
  <c r="I32" i="74"/>
  <c r="L55" i="24"/>
  <c r="I26" i="74" s="1"/>
  <c r="L6" i="24"/>
  <c r="K6" i="61" s="1"/>
  <c r="K10" i="56"/>
  <c r="I34" i="74"/>
  <c r="H24"/>
  <c r="AA24" s="1"/>
  <c r="AM24" s="1"/>
  <c r="I24"/>
  <c r="H7"/>
  <c r="AA7" s="1"/>
  <c r="AM7" s="1"/>
  <c r="I7"/>
  <c r="K16" i="56"/>
  <c r="K16" i="58"/>
  <c r="D103" i="62" s="1"/>
  <c r="S11" i="60"/>
  <c r="E209" i="62" s="1"/>
  <c r="K16" i="54"/>
  <c r="D103" i="69" s="1"/>
  <c r="K12" i="56"/>
  <c r="D120" i="69"/>
  <c r="D114"/>
  <c r="D116"/>
  <c r="D118"/>
  <c r="K34" i="74"/>
  <c r="AC34" s="1"/>
  <c r="AO34" s="1"/>
  <c r="N34"/>
  <c r="AE34" s="1"/>
  <c r="AQ34" s="1"/>
  <c r="K35"/>
  <c r="AC35" s="1"/>
  <c r="AO35" s="1"/>
  <c r="K32"/>
  <c r="AC32" s="1"/>
  <c r="AO32" s="1"/>
  <c r="K33"/>
  <c r="AC33" s="1"/>
  <c r="AO33" s="1"/>
  <c r="H42"/>
  <c r="AA42" s="1"/>
  <c r="AM42" s="1"/>
  <c r="Q34"/>
  <c r="AG34" s="1"/>
  <c r="AS34" s="1"/>
  <c r="N35"/>
  <c r="AE35" s="1"/>
  <c r="AQ35" s="1"/>
  <c r="Q35"/>
  <c r="AG35" s="1"/>
  <c r="AS35" s="1"/>
  <c r="H35"/>
  <c r="AA35" s="1"/>
  <c r="AM35" s="1"/>
  <c r="I40"/>
  <c r="H33"/>
  <c r="AA33" s="1"/>
  <c r="AM33" s="1"/>
  <c r="H34"/>
  <c r="AA34" s="1"/>
  <c r="AM34" s="1"/>
  <c r="H32"/>
  <c r="AA32" s="1"/>
  <c r="AM32" s="1"/>
  <c r="H43"/>
  <c r="AA43" s="1"/>
  <c r="AM43" s="1"/>
  <c r="H4"/>
  <c r="AA4" s="1"/>
  <c r="AM4" s="1"/>
  <c r="Q43"/>
  <c r="AG43" s="1"/>
  <c r="AS43" s="1"/>
  <c r="H26"/>
  <c r="AA26" s="1"/>
  <c r="AM26" s="1"/>
  <c r="N43"/>
  <c r="AE43" s="1"/>
  <c r="AQ43" s="1"/>
  <c r="S22" i="56"/>
  <c r="R21" i="119" s="1"/>
  <c r="O8" i="56"/>
  <c r="O6"/>
  <c r="D8" i="69"/>
  <c r="D13"/>
  <c r="K14" i="61"/>
  <c r="K22" i="54"/>
  <c r="K9" i="61"/>
  <c r="F130" i="69"/>
  <c r="K12" i="60"/>
  <c r="E118" i="69"/>
  <c r="E108"/>
  <c r="F157"/>
  <c r="F118"/>
  <c r="E163"/>
  <c r="E120"/>
  <c r="F102"/>
  <c r="F55"/>
  <c r="S7" i="61"/>
  <c r="S8" s="1"/>
  <c r="F53" i="69"/>
  <c r="S10" i="61"/>
  <c r="S11" s="1"/>
  <c r="D76" i="69"/>
  <c r="D130"/>
  <c r="D129"/>
  <c r="E116"/>
  <c r="E103"/>
  <c r="D101"/>
  <c r="E157"/>
  <c r="F162"/>
  <c r="D102"/>
  <c r="E162"/>
  <c r="D107"/>
  <c r="F106"/>
  <c r="F105"/>
  <c r="S7" i="54"/>
  <c r="D155" i="69"/>
  <c r="F120"/>
  <c r="F156"/>
  <c r="E102"/>
  <c r="E101"/>
  <c r="F103"/>
  <c r="F51"/>
  <c r="D156"/>
  <c r="S9" i="54"/>
  <c r="E107" i="69"/>
  <c r="F155"/>
  <c r="E155"/>
  <c r="F101"/>
  <c r="F108"/>
  <c r="E105"/>
  <c r="D108"/>
  <c r="F107"/>
  <c r="S13" i="61"/>
  <c r="F54" i="69"/>
  <c r="S15" i="61"/>
  <c r="F49" i="69"/>
  <c r="F56"/>
  <c r="F50"/>
  <c r="E106"/>
  <c r="D73"/>
  <c r="F149"/>
  <c r="F147"/>
  <c r="E93"/>
  <c r="O7" i="54"/>
  <c r="E95" i="69"/>
  <c r="O9" i="54"/>
  <c r="K6" i="58"/>
  <c r="K7" s="1"/>
  <c r="D94" i="62"/>
  <c r="D95"/>
  <c r="D97"/>
  <c r="D5" i="69"/>
  <c r="E47"/>
  <c r="O15" i="61"/>
  <c r="D45" i="69"/>
  <c r="K13" i="61"/>
  <c r="E45" i="69"/>
  <c r="O13" i="61"/>
  <c r="E42" i="69"/>
  <c r="O10" i="61"/>
  <c r="O11" s="1"/>
  <c r="E39" i="69"/>
  <c r="O7" i="61"/>
  <c r="O8" s="1"/>
  <c r="D39" i="62"/>
  <c r="K10" i="46"/>
  <c r="K11" s="1"/>
  <c r="D40" i="62" s="1"/>
  <c r="D37"/>
  <c r="K7" i="46"/>
  <c r="K8" s="1"/>
  <c r="D38" i="62" s="1"/>
  <c r="D43"/>
  <c r="K15" i="46"/>
  <c r="D44" i="62" s="1"/>
  <c r="E97" i="69"/>
  <c r="E99"/>
  <c r="K19" i="54"/>
  <c r="D220" i="62"/>
  <c r="E50" i="69"/>
  <c r="F39"/>
  <c r="E54"/>
  <c r="D50"/>
  <c r="D55"/>
  <c r="F93"/>
  <c r="F45"/>
  <c r="E53"/>
  <c r="F47"/>
  <c r="D51"/>
  <c r="D56"/>
  <c r="E51"/>
  <c r="E56"/>
  <c r="D53"/>
  <c r="F97"/>
  <c r="E55"/>
  <c r="D49"/>
  <c r="D54"/>
  <c r="E49"/>
  <c r="F42"/>
  <c r="F95"/>
  <c r="F99"/>
  <c r="D17"/>
  <c r="E208" i="62"/>
  <c r="G213"/>
  <c r="G212"/>
  <c r="G211"/>
  <c r="G210"/>
  <c r="G208"/>
  <c r="G219"/>
  <c r="G167"/>
  <c r="F212"/>
  <c r="F213"/>
  <c r="F170"/>
  <c r="F220"/>
  <c r="F184"/>
  <c r="F205"/>
  <c r="F210"/>
  <c r="E220"/>
  <c r="D167"/>
  <c r="D213"/>
  <c r="D219"/>
  <c r="G220"/>
  <c r="K10" i="60"/>
  <c r="K11" s="1"/>
  <c r="K8"/>
  <c r="K9" s="1"/>
  <c r="K6"/>
  <c r="K7" s="1"/>
  <c r="S14"/>
  <c r="E212" i="62" s="1"/>
  <c r="AA19" i="60"/>
  <c r="F217" i="62" s="1"/>
  <c r="S21" i="60"/>
  <c r="AA21"/>
  <c r="K61"/>
  <c r="G217" i="62" s="1"/>
  <c r="K6" i="56"/>
  <c r="D105" i="62"/>
  <c r="G205"/>
  <c r="F106"/>
  <c r="E44"/>
  <c r="D99"/>
  <c r="E105"/>
  <c r="E93"/>
  <c r="E92"/>
  <c r="E50"/>
  <c r="E106"/>
  <c r="D47"/>
  <c r="D46"/>
  <c r="G50"/>
  <c r="G106"/>
  <c r="G107"/>
  <c r="F50"/>
  <c r="D51"/>
  <c r="F102"/>
  <c r="F103"/>
  <c r="F44"/>
  <c r="F108"/>
  <c r="F93"/>
  <c r="F92"/>
  <c r="F96"/>
  <c r="F95"/>
  <c r="G93"/>
  <c r="G92"/>
  <c r="G44"/>
  <c r="D50"/>
  <c r="E107"/>
  <c r="D52"/>
  <c r="G51"/>
  <c r="E51"/>
  <c r="F51"/>
  <c r="G105"/>
  <c r="F101"/>
  <c r="E96"/>
  <c r="E95"/>
  <c r="G96"/>
  <c r="G95"/>
  <c r="E49"/>
  <c r="G49"/>
  <c r="F49"/>
  <c r="D100"/>
  <c r="D98"/>
  <c r="O12" i="56"/>
  <c r="S12"/>
  <c r="K48" i="60"/>
  <c r="K49" s="1"/>
  <c r="AA10"/>
  <c r="AA11" s="1"/>
  <c r="S12"/>
  <c r="S13" s="1"/>
  <c r="S8"/>
  <c r="S9" s="1"/>
  <c r="AA18" i="58"/>
  <c r="AA6" i="60"/>
  <c r="AA7" s="1"/>
  <c r="AA20" i="58"/>
  <c r="K20" i="46"/>
  <c r="M18" i="119" l="1"/>
  <c r="E160" i="69"/>
  <c r="K19" i="115"/>
  <c r="G160" i="69" s="1"/>
  <c r="K21" i="115"/>
  <c r="W20" i="119" s="1"/>
  <c r="G150" i="69"/>
  <c r="G148"/>
  <c r="D41" i="62"/>
  <c r="AL15" i="119"/>
  <c r="D177" i="69" s="1"/>
  <c r="I33" i="74"/>
  <c r="L81" i="24"/>
  <c r="I4" i="74"/>
  <c r="L7" i="24"/>
  <c r="L8" s="1"/>
  <c r="W18" i="119"/>
  <c r="G162" i="69"/>
  <c r="W19" i="119"/>
  <c r="K13" i="115"/>
  <c r="W13" i="119" s="1"/>
  <c r="W12"/>
  <c r="G151" i="69"/>
  <c r="W10" i="119"/>
  <c r="K9" i="56"/>
  <c r="H9" i="119" s="1"/>
  <c r="H8"/>
  <c r="H20"/>
  <c r="K13" i="56"/>
  <c r="H13" i="119" s="1"/>
  <c r="H12"/>
  <c r="D157" i="69"/>
  <c r="H16" i="119"/>
  <c r="AL16" s="1"/>
  <c r="D178" i="69" s="1"/>
  <c r="K11" i="56"/>
  <c r="D152" i="69" s="1"/>
  <c r="H10" i="119"/>
  <c r="O13" i="56"/>
  <c r="M13" i="119" s="1"/>
  <c r="M12"/>
  <c r="O9" i="56"/>
  <c r="M9" i="119" s="1"/>
  <c r="M8"/>
  <c r="S13" i="56"/>
  <c r="R13" i="119" s="1"/>
  <c r="R12"/>
  <c r="K7" i="56"/>
  <c r="H7" i="119" s="1"/>
  <c r="H6"/>
  <c r="O7" i="56"/>
  <c r="M7" i="119" s="1"/>
  <c r="M6"/>
  <c r="K11" i="115"/>
  <c r="W11" i="119" s="1"/>
  <c r="G153" i="69"/>
  <c r="K18" i="54"/>
  <c r="D105" i="69" s="1"/>
  <c r="K21" i="56"/>
  <c r="D162" i="69" s="1"/>
  <c r="I41" i="74"/>
  <c r="D92" i="62"/>
  <c r="K13" i="60"/>
  <c r="D211" i="62" s="1"/>
  <c r="E205"/>
  <c r="E206"/>
  <c r="K19" i="56"/>
  <c r="D153" i="69"/>
  <c r="D151"/>
  <c r="D149"/>
  <c r="F163"/>
  <c r="H41" i="74"/>
  <c r="AA41" s="1"/>
  <c r="AM41" s="1"/>
  <c r="E149" i="69"/>
  <c r="H40" i="74"/>
  <c r="AA40" s="1"/>
  <c r="AM40" s="1"/>
  <c r="K22" i="56"/>
  <c r="H21" i="119" s="1"/>
  <c r="AL21" s="1"/>
  <c r="D183" i="69" s="1"/>
  <c r="D39"/>
  <c r="D47"/>
  <c r="E147"/>
  <c r="K15" i="61"/>
  <c r="D48" i="69" s="1"/>
  <c r="D42"/>
  <c r="K10" i="61"/>
  <c r="K11" s="1"/>
  <c r="K7"/>
  <c r="K8" s="1"/>
  <c r="D210" i="62"/>
  <c r="F150" i="69"/>
  <c r="F48"/>
  <c r="E100"/>
  <c r="E98"/>
  <c r="F44"/>
  <c r="E96"/>
  <c r="F148"/>
  <c r="D106"/>
  <c r="E94"/>
  <c r="F98"/>
  <c r="F46"/>
  <c r="F100"/>
  <c r="F41"/>
  <c r="D91" i="62"/>
  <c r="D147" i="69"/>
  <c r="F153"/>
  <c r="F151"/>
  <c r="E46"/>
  <c r="F96"/>
  <c r="F94"/>
  <c r="E48"/>
  <c r="E151"/>
  <c r="E153"/>
  <c r="D46"/>
  <c r="E41"/>
  <c r="E44"/>
  <c r="G209" i="62"/>
  <c r="G206"/>
  <c r="F202"/>
  <c r="F206"/>
  <c r="F219"/>
  <c r="F211"/>
  <c r="E219"/>
  <c r="D208"/>
  <c r="G214"/>
  <c r="D205"/>
  <c r="D202"/>
  <c r="E214"/>
  <c r="F214"/>
  <c r="F105"/>
  <c r="E211"/>
  <c r="E210"/>
  <c r="F208"/>
  <c r="F107"/>
  <c r="G202"/>
  <c r="D49"/>
  <c r="D96"/>
  <c r="D93"/>
  <c r="H18" i="119" l="1"/>
  <c r="AL18" s="1"/>
  <c r="D180" i="69" s="1"/>
  <c r="D160"/>
  <c r="AL10" i="119"/>
  <c r="D172" i="69" s="1"/>
  <c r="AL20" i="119"/>
  <c r="D182" i="69" s="1"/>
  <c r="E150"/>
  <c r="E148"/>
  <c r="G152"/>
  <c r="G154"/>
  <c r="H11" i="119"/>
  <c r="AL11" s="1"/>
  <c r="D173" i="69" s="1"/>
  <c r="AL7" i="119"/>
  <c r="D169" i="69" s="1"/>
  <c r="AL13" i="119"/>
  <c r="D175" i="69" s="1"/>
  <c r="AL9" i="119"/>
  <c r="D171" i="69" s="1"/>
  <c r="H19" i="119"/>
  <c r="AL19" s="1"/>
  <c r="D181" i="69" s="1"/>
  <c r="AL6" i="119"/>
  <c r="D168" i="69" s="1"/>
  <c r="AL12" i="119"/>
  <c r="D174" i="69" s="1"/>
  <c r="AL8" i="119"/>
  <c r="D170" i="69" s="1"/>
  <c r="D154"/>
  <c r="D163"/>
  <c r="D150"/>
  <c r="D41"/>
  <c r="D44"/>
  <c r="E152"/>
  <c r="D148"/>
  <c r="F152"/>
  <c r="F154"/>
  <c r="E154"/>
  <c r="G207" i="62"/>
  <c r="G203"/>
  <c r="F209"/>
  <c r="F203"/>
  <c r="F207"/>
  <c r="D204"/>
  <c r="D209"/>
  <c r="D203"/>
  <c r="D206"/>
  <c r="E207"/>
  <c r="G204" l="1"/>
  <c r="F204"/>
  <c r="D207"/>
  <c r="I79" i="46" l="1"/>
  <c r="G34" i="62" s="1"/>
  <c r="AD38" i="24"/>
  <c r="P37"/>
  <c r="Q38" i="46"/>
  <c r="E33" i="62" s="1"/>
  <c r="I39" i="46"/>
  <c r="D34" i="62" s="1"/>
  <c r="I38" i="24"/>
  <c r="AR38"/>
  <c r="Y79" i="46"/>
  <c r="I34" i="62" s="1"/>
  <c r="AK37" i="24"/>
  <c r="I37"/>
  <c r="P38"/>
  <c r="M39" i="61"/>
  <c r="Q78" i="46"/>
  <c r="H33" i="62" s="1"/>
  <c r="I78" i="46"/>
  <c r="G33" i="62" s="1"/>
  <c r="AD37" i="24"/>
  <c r="Q39" i="61"/>
  <c r="W38" i="24"/>
  <c r="Y39" i="46"/>
  <c r="F34" i="62" s="1"/>
  <c r="Y78" i="46"/>
  <c r="I33" i="62" s="1"/>
  <c r="AR37" i="24"/>
  <c r="M38" i="61"/>
  <c r="AK38" i="24"/>
  <c r="Q79" i="46"/>
  <c r="H34" i="62" s="1"/>
  <c r="Q38" i="61"/>
  <c r="Y38" i="46"/>
  <c r="F33" i="62" s="1"/>
  <c r="W37" i="24"/>
  <c r="Q39" i="46"/>
  <c r="E34" i="62" s="1"/>
  <c r="I38" i="46"/>
  <c r="D33" i="62" s="1"/>
  <c r="I39" i="61"/>
  <c r="N17" i="74" l="1"/>
  <c r="AE17" s="1"/>
  <c r="AQ17" s="1"/>
  <c r="R16"/>
  <c r="N16"/>
  <c r="AE16" s="1"/>
  <c r="AQ16" s="1"/>
  <c r="T17"/>
  <c r="AI17" s="1"/>
  <c r="AU17" s="1"/>
  <c r="U17"/>
  <c r="W16"/>
  <c r="AK16" s="1"/>
  <c r="AW16" s="1"/>
  <c r="X16"/>
  <c r="T16"/>
  <c r="AI16" s="1"/>
  <c r="AU16" s="1"/>
  <c r="U16"/>
  <c r="W17"/>
  <c r="AK17" s="1"/>
  <c r="AW17" s="1"/>
  <c r="X17"/>
  <c r="Q17"/>
  <c r="AG17" s="1"/>
  <c r="AS17" s="1"/>
  <c r="R17"/>
  <c r="Q16"/>
  <c r="AG16" s="1"/>
  <c r="AS16" s="1"/>
  <c r="V16"/>
  <c r="AJ16" s="1"/>
  <c r="AV16" s="1"/>
  <c r="V17"/>
  <c r="AJ17" s="1"/>
  <c r="AV17" s="1"/>
  <c r="P16"/>
  <c r="AF16" s="1"/>
  <c r="AR16" s="1"/>
  <c r="S16"/>
  <c r="AH16" s="1"/>
  <c r="AT16" s="1"/>
  <c r="M17"/>
  <c r="AD17" s="1"/>
  <c r="AP17" s="1"/>
  <c r="J17"/>
  <c r="AB17" s="1"/>
  <c r="AN17" s="1"/>
  <c r="J16"/>
  <c r="AB16" s="1"/>
  <c r="AN16" s="1"/>
  <c r="M16"/>
  <c r="AD16" s="1"/>
  <c r="AP16" s="1"/>
  <c r="S17"/>
  <c r="AH17" s="1"/>
  <c r="AT17" s="1"/>
  <c r="G16"/>
  <c r="Z16" s="1"/>
  <c r="AL16" s="1"/>
  <c r="G17"/>
  <c r="Z17" s="1"/>
  <c r="AL17" s="1"/>
  <c r="P17"/>
  <c r="AF17" s="1"/>
  <c r="AR17" s="1"/>
  <c r="F35" i="69"/>
  <c r="E35"/>
  <c r="E36"/>
  <c r="D36"/>
  <c r="F36"/>
  <c r="D35"/>
  <c r="W120" i="24"/>
  <c r="R44" i="74"/>
  <c r="P120" i="24"/>
  <c r="I121"/>
  <c r="AR120"/>
  <c r="AK121"/>
  <c r="P121"/>
  <c r="N44" i="74" l="1"/>
  <c r="AE44" s="1"/>
  <c r="AQ44" s="1"/>
  <c r="T45"/>
  <c r="AI45" s="1"/>
  <c r="AU45" s="1"/>
  <c r="U45"/>
  <c r="W44"/>
  <c r="AK44" s="1"/>
  <c r="AW44" s="1"/>
  <c r="X44"/>
  <c r="T44"/>
  <c r="AI44" s="1"/>
  <c r="AU44" s="1"/>
  <c r="Q43" i="115"/>
  <c r="I143" i="69" s="1"/>
  <c r="Q45" i="74"/>
  <c r="AG45" s="1"/>
  <c r="AS45" s="1"/>
  <c r="M44" i="115"/>
  <c r="H144" i="69" s="1"/>
  <c r="V44" i="74"/>
  <c r="AJ44" s="1"/>
  <c r="AV44" s="1"/>
  <c r="V45"/>
  <c r="AJ45" s="1"/>
  <c r="AV45" s="1"/>
  <c r="J44"/>
  <c r="AB44" s="1"/>
  <c r="AN44" s="1"/>
  <c r="G44"/>
  <c r="Z44" s="1"/>
  <c r="AL44" s="1"/>
  <c r="P44"/>
  <c r="AF44" s="1"/>
  <c r="AR44" s="1"/>
  <c r="S45"/>
  <c r="AH45" s="1"/>
  <c r="AT45" s="1"/>
  <c r="P45"/>
  <c r="AF45" s="1"/>
  <c r="AR45" s="1"/>
  <c r="M44"/>
  <c r="AD44" s="1"/>
  <c r="AP44" s="1"/>
  <c r="M45"/>
  <c r="AD45" s="1"/>
  <c r="AP45" s="1"/>
  <c r="J45"/>
  <c r="AB45" s="1"/>
  <c r="AN45" s="1"/>
  <c r="G45"/>
  <c r="Z45" s="1"/>
  <c r="AL45" s="1"/>
  <c r="S44"/>
  <c r="AH44" s="1"/>
  <c r="AT44" s="1"/>
  <c r="Q83" i="60"/>
  <c r="Q83" i="122" s="1"/>
  <c r="I83" i="60"/>
  <c r="I83" i="122" s="1"/>
  <c r="Y40" i="60"/>
  <c r="Y40" i="122" s="1"/>
  <c r="Q41" i="60"/>
  <c r="Q41" i="122" s="1"/>
  <c r="Q82" i="60"/>
  <c r="Q82" i="122" s="1"/>
  <c r="Y82" i="60"/>
  <c r="Y82" i="122" s="1"/>
  <c r="Q40" i="60"/>
  <c r="Q40" i="122" s="1"/>
  <c r="I44" i="56"/>
  <c r="D144" i="69" s="1"/>
  <c r="I43" i="56"/>
  <c r="D143" i="69" s="1"/>
  <c r="I40" i="60"/>
  <c r="I40" i="122" s="1"/>
  <c r="I41" i="60"/>
  <c r="I41" i="122" s="1"/>
  <c r="I82" i="60"/>
  <c r="Y83"/>
  <c r="Y83" i="122" s="1"/>
  <c r="M44" i="56"/>
  <c r="Y41" i="60"/>
  <c r="Y41" i="122" s="1"/>
  <c r="Q43" i="56"/>
  <c r="M43"/>
  <c r="I82" i="120" l="1"/>
  <c r="I82" i="122"/>
  <c r="G198" i="62"/>
  <c r="I198"/>
  <c r="Y82" i="120"/>
  <c r="E199" i="62"/>
  <c r="Q41" i="120"/>
  <c r="G199" i="62"/>
  <c r="I83" i="120"/>
  <c r="F199" i="62"/>
  <c r="Y41" i="120"/>
  <c r="I199" i="62"/>
  <c r="Y83" i="120"/>
  <c r="E198" i="62"/>
  <c r="Q40" i="120"/>
  <c r="H198" i="62"/>
  <c r="Q82" i="120"/>
  <c r="F198" i="62"/>
  <c r="Y40" i="120"/>
  <c r="H199" i="62"/>
  <c r="Q83" i="120"/>
  <c r="D199" i="62"/>
  <c r="I41" i="120"/>
  <c r="D198" i="62"/>
  <c r="I40" i="120"/>
  <c r="F144" i="69"/>
  <c r="E144"/>
  <c r="E143"/>
  <c r="F143"/>
  <c r="Q17" i="58" l="1"/>
  <c r="E70" i="62" s="1"/>
  <c r="I17" i="58"/>
  <c r="D70" i="62" s="1"/>
  <c r="Y17" i="58"/>
  <c r="F70" i="62" s="1"/>
  <c r="Q55" i="58"/>
  <c r="H70" i="62" s="1"/>
  <c r="G70"/>
  <c r="Q17" i="54"/>
  <c r="F72" i="69" s="1"/>
  <c r="Y55" i="58"/>
  <c r="I70" i="62" s="1"/>
  <c r="M17" i="54"/>
  <c r="E72" i="69" s="1"/>
  <c r="D72"/>
  <c r="S25" i="74" l="1"/>
  <c r="AH25" s="1"/>
  <c r="AT25" s="1"/>
  <c r="P25"/>
  <c r="AF25" s="1"/>
  <c r="AR25" s="1"/>
  <c r="J25"/>
  <c r="AB25" s="1"/>
  <c r="AN25" s="1"/>
  <c r="V25"/>
  <c r="AJ25" s="1"/>
  <c r="AV25" s="1"/>
  <c r="G25"/>
  <c r="Z25" s="1"/>
  <c r="AL25" s="1"/>
  <c r="M25"/>
  <c r="AD25" s="1"/>
  <c r="AP25" s="1"/>
  <c r="D18" i="69"/>
  <c r="D16" i="62"/>
  <c r="G11" i="74" l="1"/>
  <c r="Z11" s="1"/>
  <c r="AL11" s="1"/>
</calcChain>
</file>

<file path=xl/comments1.xml><?xml version="1.0" encoding="utf-8"?>
<comments xmlns="http://schemas.openxmlformats.org/spreadsheetml/2006/main">
  <authors>
    <author>CXUser</author>
  </authors>
  <commentList>
    <comment ref="AN34" authorId="0">
      <text>
        <r>
          <rPr>
            <b/>
            <sz val="9"/>
            <color indexed="81"/>
            <rFont val="Tahoma"/>
          </rPr>
          <t>CXUser:</t>
        </r>
        <r>
          <rPr>
            <sz val="9"/>
            <color indexed="81"/>
            <rFont val="Tahoma"/>
          </rPr>
          <t xml:space="preserve">
chô gia nhiêt</t>
        </r>
      </text>
    </comment>
  </commentList>
</comments>
</file>

<file path=xl/comments2.xml><?xml version="1.0" encoding="utf-8"?>
<comments xmlns="http://schemas.openxmlformats.org/spreadsheetml/2006/main">
  <authors>
    <author>CXUser</author>
  </authors>
  <commentList>
    <comment ref="AI1" authorId="0">
      <text>
        <r>
          <rPr>
            <b/>
            <sz val="9"/>
            <color indexed="81"/>
            <rFont val="Tahoma"/>
            <family val="2"/>
          </rPr>
          <t>FILE ĐÚNG THEO HALO</t>
        </r>
      </text>
    </comment>
  </commentList>
</comments>
</file>

<file path=xl/comments3.xml><?xml version="1.0" encoding="utf-8"?>
<comments xmlns="http://schemas.openxmlformats.org/spreadsheetml/2006/main">
  <authors>
    <author>CXUser</author>
  </authors>
  <commentList>
    <comment ref="AI1" authorId="0">
      <text>
        <r>
          <rPr>
            <b/>
            <sz val="14"/>
            <color indexed="81"/>
            <rFont val="Tahoma"/>
            <family val="2"/>
          </rPr>
          <t>MÀU JASCO</t>
        </r>
      </text>
    </comment>
  </commentList>
</comments>
</file>

<file path=xl/sharedStrings.xml><?xml version="1.0" encoding="utf-8"?>
<sst xmlns="http://schemas.openxmlformats.org/spreadsheetml/2006/main" count="17382" uniqueCount="1685">
  <si>
    <t>NaOH</t>
    <phoneticPr fontId="7"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</si>
  <si>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</si>
  <si>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</si>
  <si>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</si>
  <si>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</si>
  <si>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</si>
  <si>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</si>
  <si>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</si>
  <si>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</si>
  <si>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</si>
  <si>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</si>
  <si>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</si>
  <si>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</si>
  <si>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</si>
  <si>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</si>
  <si>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</si>
  <si>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</si>
  <si>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</si>
  <si>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</si>
  <si>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</si>
  <si>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</si>
  <si>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</si>
  <si>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</si>
  <si>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</si>
  <si>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</si>
  <si>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</si>
  <si>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</si>
  <si>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</si>
  <si>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</si>
  <si>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</si>
  <si>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</si>
  <si>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</si>
  <si>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</si>
  <si>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</si>
  <si>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</si>
  <si>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</si>
  <si>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</si>
  <si>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</si>
  <si>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</si>
  <si>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</si>
  <si>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</si>
  <si>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</si>
  <si>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</si>
  <si>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</si>
  <si>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</si>
  <si>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</si>
  <si>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pcs</t>
  </si>
  <si>
    <t>\</t>
  </si>
  <si>
    <t>ml/KAH</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</si>
  <si>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</si>
  <si>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</si>
  <si>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</si>
  <si>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</si>
  <si>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</si>
  <si>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</si>
  <si>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</si>
  <si>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</si>
  <si>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</si>
  <si>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</si>
  <si>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</si>
  <si>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</si>
  <si>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</si>
  <si>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</si>
  <si>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</si>
  <si>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</si>
  <si>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</si>
  <si>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</si>
  <si>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</si>
  <si>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</si>
  <si>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</si>
  <si>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</si>
  <si>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</si>
  <si>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</si>
  <si>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</si>
  <si>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</si>
  <si>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</si>
  <si>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</si>
  <si>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</si>
  <si>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</si>
  <si>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</si>
  <si>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NaOH (26-37)
氫氧化鈉</t>
  </si>
  <si>
    <t>Zn  鋅 (26-37)
(1 pcs Zn=25kg)</t>
  </si>
  <si>
    <t>Nồng độ acid loãng (12)
稀酸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</si>
  <si>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</si>
  <si>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</si>
  <si>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</si>
  <si>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</si>
  <si>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</si>
  <si>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</si>
  <si>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</si>
  <si>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</si>
  <si>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</si>
  <si>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</si>
  <si>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</si>
  <si>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</si>
  <si>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</si>
  <si>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</si>
  <si>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</si>
  <si>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</si>
  <si>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</si>
  <si>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</si>
  <si>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</si>
  <si>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</si>
  <si>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</si>
  <si>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</si>
  <si>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</si>
  <si>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</si>
  <si>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</si>
  <si>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</si>
  <si>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</si>
  <si>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</si>
  <si>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</si>
  <si>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</si>
  <si>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</si>
  <si>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</si>
  <si>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</si>
  <si>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Zn</t>
  </si>
  <si>
    <t>Nhiệt độ bồn xi Zn-Niken
 Zn-Niken 鍍鋅槽溫度</t>
  </si>
  <si>
    <t>Zn (bồn Zn-Niken)</t>
  </si>
  <si>
    <t>NaOH (bồn Zn-Niken)</t>
  </si>
  <si>
    <t>PH</t>
  </si>
  <si>
    <t>Nhiệt độ bồn màu Cr2O3 (Niken)
三價鉻 溫度</t>
  </si>
  <si>
    <t>鋅鎳合金電鍍槽
Zn-Niken Plating</t>
  </si>
  <si>
    <t xml:space="preserve"> Noàng ñoä   Cr2O3 (Niken)
三價鉻</t>
  </si>
  <si>
    <t>Đơn vị
單位</t>
  </si>
  <si>
    <t>tiêu chuẩn khống chế để bổ sung</t>
  </si>
  <si>
    <t>L.Yen</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</si>
  <si>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</si>
  <si>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</si>
  <si>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</si>
  <si>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</si>
  <si>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</si>
  <si>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</si>
  <si>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</si>
  <si>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</si>
  <si>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</si>
  <si>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</si>
  <si>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</si>
  <si>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</si>
  <si>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</si>
  <si>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</si>
  <si>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</si>
  <si>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</si>
  <si>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</si>
  <si>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</si>
  <si>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</si>
  <si>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</si>
  <si>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</si>
  <si>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HNO</t>
    </r>
    <r>
      <rPr>
        <vertAlign val="subscript"/>
        <sz val="12"/>
        <rFont val="Times New Roman"/>
        <family val="1"/>
      </rPr>
      <t xml:space="preserve">3 </t>
    </r>
    <r>
      <rPr>
        <sz val="12"/>
        <rFont val="Times New Roman"/>
        <family val="1"/>
      </rPr>
      <t xml:space="preserve"> (42)
硝酸濃度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</si>
  <si>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</si>
  <si>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</si>
  <si>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</si>
  <si>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</si>
  <si>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</si>
  <si>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</si>
  <si>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</si>
  <si>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</si>
  <si>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</si>
  <si>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</si>
  <si>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</si>
  <si>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</si>
  <si>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</si>
  <si>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</si>
  <si>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</si>
  <si>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</si>
  <si>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</si>
  <si>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</si>
  <si>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</si>
  <si>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</si>
  <si>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</si>
  <si>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</si>
  <si>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</si>
  <si>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</si>
  <si>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</si>
  <si>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</si>
  <si>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</si>
  <si>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</si>
  <si>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</si>
  <si>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</si>
  <si>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</si>
  <si>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</si>
  <si>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</si>
  <si>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</si>
  <si>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</si>
  <si>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</si>
  <si>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</si>
  <si>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</si>
  <si>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</si>
  <si>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</si>
  <si>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</si>
  <si>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</si>
  <si>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</si>
  <si>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 xml:space="preserve">Zn-Niken Plating-        NaOH </t>
  </si>
  <si>
    <t>Zn-Niken Plating-          Zn</t>
  </si>
  <si>
    <t>Cr2O3   三價鉻Ni-       PH</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</si>
  <si>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</si>
  <si>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</si>
  <si>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</si>
  <si>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</si>
  <si>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</si>
  <si>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</si>
  <si>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</si>
  <si>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</si>
  <si>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</si>
  <si>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</si>
  <si>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</si>
  <si>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</si>
  <si>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</si>
  <si>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</si>
  <si>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</si>
  <si>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</si>
  <si>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</si>
  <si>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</si>
  <si>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</si>
  <si>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</si>
  <si>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</si>
  <si>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</si>
  <si>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</si>
  <si>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</si>
  <si>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</si>
  <si>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 xml:space="preserve">pha mới máy G: 200 lít dẻo +5 lít bóng </t>
  </si>
  <si>
    <t xml:space="preserve">chất bóng: </t>
  </si>
  <si>
    <t>lít</t>
  </si>
  <si>
    <t xml:space="preserve">chất dẻo: </t>
  </si>
  <si>
    <t>Haïng muïc kieåm tra bôm thuoác töï ñoäng 藥液自動添加</t>
  </si>
  <si>
    <t>XT</t>
  </si>
  <si>
    <t>chất mềm (250 base)
開缸劑</t>
  </si>
  <si>
    <t>chaát boùng (250 brightener)
光亮劑</t>
  </si>
  <si>
    <t>300-360</t>
  </si>
  <si>
    <t>30-50</t>
  </si>
  <si>
    <t>CT-21A</t>
  </si>
  <si>
    <t>CT-21B</t>
  </si>
  <si>
    <t>EC-508A</t>
  </si>
  <si>
    <t>EC-508B</t>
  </si>
  <si>
    <t>Nồng độ   Cr2O3 （K)
三價鉻
FINIDIP 124</t>
  </si>
  <si>
    <t>開缸劑
250 Base</t>
  </si>
  <si>
    <t>光亮劑
250 Brightener</t>
  </si>
  <si>
    <t>ml/1000AH</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</si>
  <si>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</si>
  <si>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</si>
  <si>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</si>
  <si>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</si>
  <si>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</si>
  <si>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</si>
  <si>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</si>
  <si>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</si>
  <si>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</si>
  <si>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</si>
  <si>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</si>
  <si>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</si>
  <si>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</si>
  <si>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</si>
  <si>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</si>
  <si>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</si>
  <si>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</si>
  <si>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</si>
  <si>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</si>
  <si>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</si>
  <si>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</si>
  <si>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</si>
  <si>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</si>
  <si>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</si>
  <si>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</si>
  <si>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</si>
  <si>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</si>
  <si>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</si>
  <si>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</si>
  <si>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</si>
  <si>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</si>
  <si>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</si>
  <si>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</si>
  <si>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</si>
  <si>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</si>
  <si>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</si>
  <si>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</si>
  <si>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</si>
  <si>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</si>
  <si>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</si>
  <si>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</si>
  <si>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</si>
  <si>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</si>
  <si>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</si>
  <si>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</si>
  <si>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</si>
  <si>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</si>
  <si>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</si>
  <si>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</si>
  <si>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</si>
  <si>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</si>
  <si>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</si>
  <si>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</si>
  <si>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</si>
  <si>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</si>
  <si>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</si>
  <si>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</si>
  <si>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</si>
  <si>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</si>
  <si>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</si>
  <si>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</si>
  <si>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</si>
  <si>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</si>
  <si>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</si>
  <si>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</si>
  <si>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</si>
  <si>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</si>
  <si>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</si>
  <si>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</si>
  <si>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</si>
  <si>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</si>
  <si>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XTNI-NAOH</t>
  </si>
  <si>
    <t>XTNI-CR3PH</t>
  </si>
  <si>
    <t>XTNI-TEMBX</t>
  </si>
  <si>
    <t>XT-TEMCR3NI</t>
  </si>
  <si>
    <t>XT-TEMBX</t>
  </si>
  <si>
    <t>1E-TEMBX</t>
  </si>
  <si>
    <t>1F-TEMBX</t>
  </si>
  <si>
    <t>Hạng mục kiểm tra nồng độ
化驗檢查項目</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</si>
  <si>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</si>
  <si>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</si>
  <si>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</si>
  <si>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</si>
  <si>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</si>
  <si>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</si>
  <si>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</si>
  <si>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</si>
  <si>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</si>
  <si>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</si>
  <si>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</si>
  <si>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</si>
  <si>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</si>
  <si>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</si>
  <si>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</si>
  <si>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</si>
  <si>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</si>
  <si>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</si>
  <si>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</si>
  <si>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</si>
  <si>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</si>
  <si>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</si>
  <si>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</si>
  <si>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</si>
  <si>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</si>
  <si>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</si>
  <si>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</si>
  <si>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</si>
  <si>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</si>
  <si>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</si>
  <si>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</si>
  <si>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</si>
  <si>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</si>
  <si>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</si>
  <si>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</si>
  <si>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</si>
  <si>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</si>
  <si>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</si>
  <si>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</si>
  <si>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</si>
  <si>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</si>
  <si>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</si>
  <si>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</si>
  <si>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</si>
  <si>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</si>
  <si>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</si>
  <si>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</si>
  <si>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</si>
  <si>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</si>
  <si>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</si>
  <si>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</si>
  <si>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</si>
  <si>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</si>
  <si>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</si>
  <si>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</si>
  <si>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</si>
  <si>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</si>
  <si>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</si>
  <si>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</si>
  <si>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</si>
  <si>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</si>
  <si>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</si>
  <si>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</si>
  <si>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</si>
  <si>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</si>
  <si>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</si>
  <si>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</si>
  <si>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</si>
  <si>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</si>
  <si>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</si>
  <si>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</si>
  <si>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</si>
  <si>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</si>
  <si>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</si>
  <si>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</si>
  <si>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</si>
  <si>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</si>
  <si>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</si>
  <si>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</si>
  <si>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</si>
  <si>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</si>
  <si>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</si>
  <si>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</si>
  <si>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</si>
  <si>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</si>
  <si>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</si>
  <si>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09:00</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</si>
  <si>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</si>
  <si>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</si>
  <si>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</si>
  <si>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</si>
  <si>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</si>
  <si>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</si>
  <si>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</si>
  <si>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</si>
  <si>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</si>
  <si>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</si>
  <si>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</si>
  <si>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</si>
  <si>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</si>
  <si>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</si>
  <si>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</si>
  <si>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</si>
  <si>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</si>
  <si>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</si>
  <si>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</si>
  <si>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</si>
  <si>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</si>
  <si>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</si>
  <si>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</si>
  <si>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</si>
  <si>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</si>
  <si>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</si>
  <si>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</si>
  <si>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</si>
  <si>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</si>
  <si>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</si>
  <si>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</si>
  <si>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</si>
  <si>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</si>
  <si>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</si>
  <si>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</si>
  <si>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</si>
  <si>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</si>
  <si>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</si>
  <si>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</si>
  <si>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</si>
  <si>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</si>
  <si>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</si>
  <si>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</si>
  <si>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</si>
  <si>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</si>
  <si>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</si>
  <si>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</si>
  <si>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</si>
  <si>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</si>
  <si>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</si>
  <si>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</si>
  <si>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</si>
  <si>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</si>
  <si>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</si>
  <si>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</si>
  <si>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</si>
  <si>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</si>
  <si>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</si>
  <si>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</si>
  <si>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</si>
  <si>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</si>
  <si>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</si>
  <si>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</si>
  <si>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</si>
  <si>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</si>
  <si>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</si>
  <si>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</si>
  <si>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生產線別：XI ĐEN - epoxy</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</si>
  <si>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</si>
  <si>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</si>
  <si>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</si>
  <si>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</si>
  <si>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</si>
  <si>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</si>
  <si>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</si>
  <si>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</si>
  <si>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</si>
  <si>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</si>
  <si>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</si>
  <si>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</si>
  <si>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</si>
  <si>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</si>
  <si>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</si>
  <si>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</si>
  <si>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</si>
  <si>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</si>
  <si>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</si>
  <si>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</si>
  <si>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</si>
  <si>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</si>
  <si>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</si>
  <si>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</si>
  <si>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</si>
  <si>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</si>
  <si>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</si>
  <si>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</si>
  <si>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</si>
  <si>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</si>
  <si>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</si>
  <si>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</si>
  <si>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</si>
  <si>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</si>
  <si>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</si>
  <si>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</si>
  <si>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</si>
  <si>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</si>
  <si>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</si>
  <si>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</si>
  <si>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</si>
  <si>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</si>
  <si>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</si>
  <si>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</si>
  <si>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</si>
  <si>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</si>
  <si>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</si>
  <si>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</si>
  <si>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</si>
  <si>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</si>
  <si>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</si>
  <si>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</si>
  <si>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</si>
  <si>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</si>
  <si>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</si>
  <si>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</si>
  <si>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</si>
  <si>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</si>
  <si>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</si>
  <si>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</si>
  <si>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</si>
  <si>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</si>
  <si>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</si>
  <si>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</si>
  <si>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</si>
  <si>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</si>
  <si>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</si>
  <si>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</si>
  <si>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</si>
  <si>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</si>
  <si>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</si>
  <si>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</si>
  <si>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</si>
  <si>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</si>
  <si>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</si>
  <si>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</si>
  <si>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</si>
  <si>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</si>
  <si>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</si>
  <si>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DC-GAY07</t>
  </si>
  <si>
    <t xml:space="preserve"> 染色Màu- Gey-07</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</si>
  <si>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</si>
  <si>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</si>
  <si>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</si>
  <si>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</si>
  <si>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</si>
  <si>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</si>
  <si>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</si>
  <si>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</si>
  <si>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</si>
  <si>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</si>
  <si>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</si>
  <si>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</si>
  <si>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</si>
  <si>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</si>
  <si>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</si>
  <si>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</si>
  <si>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</si>
  <si>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</si>
  <si>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</si>
  <si>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</si>
  <si>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</si>
  <si>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</si>
  <si>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</si>
  <si>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</si>
  <si>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</si>
  <si>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</si>
  <si>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</si>
  <si>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</si>
  <si>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</si>
  <si>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</si>
  <si>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</si>
  <si>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</si>
  <si>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</si>
  <si>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</si>
  <si>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</si>
  <si>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</si>
  <si>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</si>
  <si>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</si>
  <si>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8" type="noConversion"/>
  </si>
  <si>
    <t>Yen</t>
    <phoneticPr fontId="8" type="noConversion"/>
  </si>
  <si>
    <t>NO</t>
    <phoneticPr fontId="8"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</si>
  <si>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</si>
  <si>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</si>
  <si>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</si>
  <si>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</si>
  <si>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</si>
  <si>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</si>
  <si>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8" type="noConversion"/>
  </si>
  <si>
    <t>Noàng ñoä  axit HCl (1)</t>
  </si>
  <si>
    <t>%</t>
    <phoneticPr fontId="8" type="noConversion"/>
  </si>
  <si>
    <t>10~15%  
(12.5%)</t>
  </si>
  <si>
    <t>+</t>
    <phoneticPr fontId="8" type="noConversion"/>
  </si>
  <si>
    <t>IS18</t>
    <phoneticPr fontId="8" type="noConversion"/>
  </si>
  <si>
    <t>Noàng ñoä  axit HCl (2)</t>
  </si>
  <si>
    <r>
      <t xml:space="preserve">Muối axit Phosphoric 1
</t>
    </r>
    <r>
      <rPr>
        <sz val="9"/>
        <rFont val="細明體"/>
        <family val="3"/>
        <charset val="136"/>
      </rPr>
      <t>磷酸鹽 1</t>
    </r>
  </si>
  <si>
    <t>Tổng chua TA 
40~60 (50)</t>
  </si>
  <si>
    <t>+</t>
    <phoneticPr fontId="8" type="noConversion"/>
  </si>
  <si>
    <t>kg</t>
    <phoneticPr fontId="8" type="noConversion"/>
  </si>
  <si>
    <t>IS16</t>
    <phoneticPr fontId="8" type="noConversion"/>
  </si>
  <si>
    <t>tỷ lệ axit
5.2~7.8 (6.5)</t>
  </si>
  <si>
    <t>IS14</t>
    <phoneticPr fontId="8" type="noConversion"/>
  </si>
  <si>
    <t>Fe phaân ly
&lt;0.4</t>
  </si>
  <si>
    <r>
      <t xml:space="preserve">Muối axit Phosphoric 2
</t>
    </r>
    <r>
      <rPr>
        <sz val="9"/>
        <rFont val="細明體"/>
        <family val="3"/>
        <charset val="136"/>
      </rPr>
      <t>磷酸鹽 2</t>
    </r>
    <r>
      <rPr>
        <sz val="11"/>
        <color theme="1"/>
        <rFont val="Calibri"/>
        <family val="2"/>
        <scheme val="minor"/>
      </rPr>
      <t/>
    </r>
  </si>
  <si>
    <r>
      <t xml:space="preserve">xaø boâng boâi trôn
</t>
    </r>
    <r>
      <rPr>
        <sz val="9"/>
        <rFont val="細明體"/>
        <family val="3"/>
        <charset val="136"/>
      </rPr>
      <t>潤滑皂</t>
    </r>
  </si>
  <si>
    <t>+</t>
    <phoneticPr fontId="8" type="noConversion"/>
  </si>
  <si>
    <t>kg</t>
    <phoneticPr fontId="8" type="noConversion"/>
  </si>
  <si>
    <t>pH</t>
    <phoneticPr fontId="8" type="noConversion"/>
  </si>
  <si>
    <t>8.5~10</t>
  </si>
  <si>
    <r>
      <t xml:space="preserve">Haïng muïc kieåm tra nhieät ñoä </t>
    </r>
    <r>
      <rPr>
        <sz val="9"/>
        <rFont val="細明體"/>
        <family val="3"/>
        <charset val="136"/>
      </rPr>
      <t>檢查溫度</t>
    </r>
  </si>
  <si>
    <t>No</t>
    <phoneticPr fontId="8"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</si>
  <si>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</si>
  <si>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</si>
  <si>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</si>
  <si>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</si>
  <si>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</si>
  <si>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</si>
  <si>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</si>
  <si>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8" type="noConversion"/>
  </si>
  <si>
    <t>NO</t>
    <phoneticPr fontId="8" type="noConversion"/>
  </si>
  <si>
    <t>Q3-CXVN
-PC01-</t>
    <phoneticPr fontId="8" type="noConversion"/>
  </si>
  <si>
    <t>IS18</t>
    <phoneticPr fontId="8" type="noConversion"/>
  </si>
  <si>
    <t>IS19</t>
  </si>
  <si>
    <r>
      <t xml:space="preserve">Muối axit Phosphoric 
</t>
    </r>
    <r>
      <rPr>
        <sz val="9"/>
        <rFont val="細明體"/>
        <family val="3"/>
        <charset val="136"/>
      </rPr>
      <t>磷酸鹽</t>
    </r>
  </si>
  <si>
    <t>IS16</t>
    <phoneticPr fontId="8" type="noConversion"/>
  </si>
  <si>
    <t>IS14</t>
    <phoneticPr fontId="8" type="noConversion"/>
  </si>
  <si>
    <t>+</t>
    <phoneticPr fontId="8" type="noConversion"/>
  </si>
  <si>
    <t>kg</t>
    <phoneticPr fontId="8" type="noConversion"/>
  </si>
  <si>
    <t>No</t>
    <phoneticPr fontId="8" type="noConversion"/>
  </si>
  <si>
    <r>
      <t xml:space="preserve">laäp bieåu
 </t>
    </r>
    <r>
      <rPr>
        <sz val="11"/>
        <rFont val="細明體"/>
        <family val="3"/>
        <charset val="136"/>
      </rPr>
      <t>作成</t>
    </r>
  </si>
  <si>
    <t>Yen</t>
    <phoneticPr fontId="8" type="noConversion"/>
  </si>
  <si>
    <t>NO</t>
    <phoneticPr fontId="8"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</si>
  <si>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</si>
  <si>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</si>
  <si>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</si>
  <si>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</si>
  <si>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</si>
  <si>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</si>
  <si>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8" type="noConversion"/>
  </si>
  <si>
    <r>
      <t xml:space="preserve">Khử dầu
</t>
    </r>
    <r>
      <rPr>
        <sz val="10"/>
        <rFont val="細明體"/>
        <family val="3"/>
        <charset val="136"/>
      </rPr>
      <t>脫脂</t>
    </r>
  </si>
  <si>
    <t>Point</t>
    <phoneticPr fontId="8" type="noConversion"/>
  </si>
  <si>
    <t>+</t>
    <phoneticPr fontId="8" type="noConversion"/>
  </si>
  <si>
    <t>kg</t>
    <phoneticPr fontId="8" type="noConversion"/>
  </si>
  <si>
    <t>PC01-IS18</t>
    <phoneticPr fontId="8" type="noConversion"/>
  </si>
  <si>
    <t xml:space="preserve">Rua acid </t>
    <phoneticPr fontId="8" type="noConversion"/>
  </si>
  <si>
    <t>%</t>
    <phoneticPr fontId="8" type="noConversion"/>
  </si>
  <si>
    <t>+</t>
    <phoneticPr fontId="8" type="noConversion"/>
  </si>
  <si>
    <t>L</t>
    <phoneticPr fontId="8" type="noConversion"/>
  </si>
  <si>
    <t>PC01-IS15</t>
    <phoneticPr fontId="8" type="noConversion"/>
  </si>
  <si>
    <r>
      <t xml:space="preserve">Muối axit Phosphoric  </t>
    </r>
    <r>
      <rPr>
        <sz val="10"/>
        <rFont val="細明體"/>
        <family val="3"/>
        <charset val="136"/>
      </rPr>
      <t>磷酸鹽</t>
    </r>
  </si>
  <si>
    <t>PC01-IS16</t>
    <phoneticPr fontId="8" type="noConversion"/>
  </si>
  <si>
    <t>PC01-IS14</t>
    <phoneticPr fontId="8" type="noConversion"/>
  </si>
  <si>
    <r>
      <t xml:space="preserve">Xà bông
</t>
    </r>
    <r>
      <rPr>
        <sz val="10"/>
        <rFont val="細明體"/>
        <family val="3"/>
        <charset val="136"/>
      </rPr>
      <t>潤滑皂</t>
    </r>
  </si>
  <si>
    <t>PC01-IS22</t>
    <phoneticPr fontId="8" type="noConversion"/>
  </si>
  <si>
    <t>pH</t>
    <phoneticPr fontId="8" type="noConversion"/>
  </si>
  <si>
    <r>
      <t xml:space="preserve">Haïng muïc kieåm tra nhieät ñoä </t>
    </r>
    <r>
      <rPr>
        <sz val="14"/>
        <rFont val="細明體"/>
        <family val="3"/>
        <charset val="136"/>
      </rPr>
      <t>檢查溫度</t>
    </r>
  </si>
  <si>
    <t>No</t>
    <phoneticPr fontId="8"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</si>
  <si>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</si>
  <si>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</si>
  <si>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</si>
  <si>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</si>
  <si>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</si>
  <si>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</si>
  <si>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</si>
  <si>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</si>
  <si>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</si>
  <si>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</si>
  <si>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</si>
  <si>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8" type="noConversion"/>
  </si>
  <si>
    <t>kg</t>
    <phoneticPr fontId="8" type="noConversion"/>
  </si>
  <si>
    <t>%</t>
    <phoneticPr fontId="8" type="noConversion"/>
  </si>
  <si>
    <t>L</t>
    <phoneticPr fontId="8" type="noConversion"/>
  </si>
  <si>
    <r>
      <t xml:space="preserve">Muối axit Phosphoric  
</t>
    </r>
    <r>
      <rPr>
        <sz val="10"/>
        <rFont val="細明體"/>
        <family val="3"/>
        <charset val="136"/>
      </rPr>
      <t>磷酸鹽</t>
    </r>
  </si>
  <si>
    <t>Point</t>
    <phoneticPr fontId="8" type="noConversion"/>
  </si>
  <si>
    <t>pH</t>
    <phoneticPr fontId="8" type="noConversion"/>
  </si>
  <si>
    <t>No</t>
    <phoneticPr fontId="8" type="noConversion"/>
  </si>
  <si>
    <r>
      <t xml:space="preserve">Muối axit Phosphoric 
</t>
    </r>
    <r>
      <rPr>
        <sz val="10"/>
        <rFont val="細明體"/>
        <family val="3"/>
        <charset val="136"/>
      </rPr>
      <t>磷酸鹽</t>
    </r>
  </si>
  <si>
    <t>Q3-CXVN-</t>
    <phoneticPr fontId="8" type="noConversion"/>
  </si>
  <si>
    <t>PC01-IS15</t>
    <phoneticPr fontId="8" type="noConversion"/>
  </si>
  <si>
    <r>
      <t xml:space="preserve">Muối axit Phosphoric  (1)
</t>
    </r>
    <r>
      <rPr>
        <sz val="10"/>
        <rFont val="細明體"/>
        <family val="3"/>
        <charset val="136"/>
      </rPr>
      <t>磷酸鹽</t>
    </r>
  </si>
  <si>
    <t>PC01-IS16</t>
    <phoneticPr fontId="8" type="noConversion"/>
  </si>
  <si>
    <t>PC01-IS14</t>
    <phoneticPr fontId="8" type="noConversion"/>
  </si>
  <si>
    <r>
      <t>Muối axit Phosphoric  (2)
磷酸鹽</t>
    </r>
    <r>
      <rPr>
        <sz val="9"/>
        <rFont val="細明體"/>
        <family val="3"/>
        <charset val="136"/>
      </rPr>
      <t/>
    </r>
  </si>
  <si>
    <t>PC01-IS18</t>
    <phoneticPr fontId="8"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</si>
  <si>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</si>
  <si>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</si>
  <si>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</si>
  <si>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</si>
  <si>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</si>
  <si>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</si>
  <si>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</si>
  <si>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</si>
  <si>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</si>
  <si>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</si>
  <si>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</si>
  <si>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</si>
  <si>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</si>
  <si>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</si>
  <si>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</si>
  <si>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</si>
  <si>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</si>
  <si>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</si>
  <si>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</si>
  <si>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</si>
  <si>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1"/>
        <rFont val="細明體"/>
        <family val="3"/>
        <charset val="136"/>
      </rPr>
      <t>封孔</t>
    </r>
    <r>
      <rPr>
        <sz val="11"/>
        <rFont val="VNI-Times"/>
      </rPr>
      <t xml:space="preserve"> ñoùng loã 1 (HK-101A1)</t>
    </r>
  </si>
  <si>
    <r>
      <rPr>
        <sz val="11"/>
        <rFont val="細明體"/>
        <family val="3"/>
        <charset val="136"/>
      </rPr>
      <t>烘乾</t>
    </r>
    <r>
      <rPr>
        <sz val="11"/>
        <rFont val="VNI-Times"/>
      </rPr>
      <t xml:space="preserve"> maùy saáy</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</si>
  <si>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</si>
  <si>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</si>
  <si>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</si>
  <si>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</si>
  <si>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</si>
  <si>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</si>
  <si>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</si>
  <si>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</si>
  <si>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</si>
  <si>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</si>
  <si>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</si>
  <si>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</si>
  <si>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</si>
  <si>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</si>
  <si>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</si>
  <si>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</si>
  <si>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</si>
  <si>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</si>
  <si>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</si>
  <si>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</si>
  <si>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</si>
  <si>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</si>
  <si>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</si>
  <si>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</si>
  <si>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</si>
  <si>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</si>
  <si>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</si>
  <si>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</si>
  <si>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</si>
  <si>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</si>
  <si>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</si>
  <si>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</si>
  <si>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</si>
  <si>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</si>
  <si>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</si>
  <si>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</si>
  <si>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</si>
  <si>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</si>
  <si>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t>Haïng muïc
 kieåm tra noàng ñoä 
化驗檢查項目</t>
  </si>
  <si>
    <t>Noàng ñoä  axit HCl</t>
  </si>
  <si>
    <t>15~32%
(23.5%)</t>
  </si>
  <si>
    <t>Muối axit Phosphoric 1
磷酸鹽 1</t>
  </si>
  <si>
    <r>
      <t>Muối axit Phosphoric 2
磷酸鹽 2</t>
    </r>
    <r>
      <rPr>
        <sz val="11"/>
        <color theme="1"/>
        <rFont val="Calibri"/>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</si>
  <si>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</si>
  <si>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</si>
  <si>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</si>
  <si>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</si>
  <si>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</si>
  <si>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</si>
  <si>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</si>
  <si>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</si>
  <si>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</si>
  <si>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</si>
  <si>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</si>
  <si>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</si>
  <si>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</si>
  <si>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</si>
  <si>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</si>
  <si>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</si>
  <si>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</si>
  <si>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</si>
  <si>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</si>
  <si>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</si>
  <si>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</si>
  <si>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</si>
  <si>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</si>
  <si>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</si>
  <si>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</si>
  <si>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</si>
  <si>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</si>
  <si>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</si>
  <si>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</si>
  <si>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</si>
  <si>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</si>
  <si>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</si>
  <si>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</si>
  <si>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</si>
  <si>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</si>
  <si>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</si>
  <si>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</si>
  <si>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</si>
  <si>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</si>
  <si>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</si>
  <si>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</si>
  <si>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</si>
  <si>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</si>
  <si>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</si>
  <si>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</si>
  <si>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</si>
  <si>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</si>
  <si>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</si>
  <si>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</si>
  <si>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</si>
  <si>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</si>
  <si>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</si>
  <si>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</si>
  <si>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</si>
  <si>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</si>
  <si>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</si>
  <si>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</si>
  <si>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</si>
  <si>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</si>
  <si>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</si>
  <si>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2. XL-1F kh</t>
  </si>
  <si>
    <t>1. XL-1E kh</t>
  </si>
  <si>
    <t>XM.GUI MAIL</t>
  </si>
  <si>
    <t>ED-XI DEN</t>
  </si>
  <si>
    <t>R.FILE GOC</t>
  </si>
  <si>
    <t>1.xi den</t>
  </si>
  <si>
    <t>2.RL E</t>
  </si>
  <si>
    <t>5.ML</t>
  </si>
  <si>
    <t>XM.FILE GOC</t>
  </si>
  <si>
    <t>XM.chart 1</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</si>
  <si>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</si>
  <si>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</si>
  <si>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</si>
  <si>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</si>
  <si>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</si>
  <si>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</si>
  <si>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</si>
  <si>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</si>
  <si>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</si>
  <si>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</si>
  <si>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</si>
  <si>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</si>
  <si>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</si>
  <si>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</si>
  <si>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</si>
  <si>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</si>
  <si>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</si>
  <si>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</si>
  <si>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</si>
  <si>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</si>
  <si>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</si>
  <si>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</si>
  <si>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</si>
  <si>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</si>
  <si>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</si>
  <si>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</si>
  <si>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</si>
  <si>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</si>
  <si>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7" type="noConversion"/>
  </si>
  <si>
    <t xml:space="preserve">Rua acid </t>
    <phoneticPr fontId="7" type="noConversion"/>
  </si>
  <si>
    <r>
      <t xml:space="preserve">BẢNG KIỂM TRA DUNG DỊCH MUỐI AXIT PHOSPHORIC   _ RL-F
XỬ LÝ LỚP VỎ BÊN NGOÀI  </t>
    </r>
    <r>
      <rPr>
        <b/>
        <sz val="12"/>
        <rFont val="細明體"/>
        <family val="3"/>
        <charset val="136"/>
      </rPr>
      <t>磷酸鹽皮膜處理液管理表</t>
    </r>
    <phoneticPr fontId="7" type="noConversion"/>
  </si>
  <si>
    <r>
      <t xml:space="preserve">Keát quaû kieåm tra
</t>
    </r>
    <r>
      <rPr>
        <sz val="9"/>
        <rFont val="細明體"/>
        <family val="3"/>
        <charset val="136"/>
      </rPr>
      <t>檢查結果</t>
    </r>
    <r>
      <rPr>
        <sz val="9"/>
        <rFont val="VNI-Times"/>
      </rPr>
      <t xml:space="preserve"> (RL-F)</t>
    </r>
    <phoneticPr fontId="7" type="noConversion"/>
  </si>
  <si>
    <t>+</t>
    <phoneticPr fontId="8" type="noConversion"/>
  </si>
  <si>
    <t>kg</t>
    <phoneticPr fontId="8" type="noConversion"/>
  </si>
  <si>
    <t>L</t>
    <phoneticPr fontId="8" type="noConversion"/>
  </si>
  <si>
    <r>
      <t xml:space="preserve">Khử dầu 
</t>
    </r>
    <r>
      <rPr>
        <sz val="10"/>
        <rFont val="細明體"/>
        <family val="3"/>
        <charset val="136"/>
      </rPr>
      <t>脫脂</t>
    </r>
    <phoneticPr fontId="7" type="noConversion"/>
  </si>
  <si>
    <r>
      <t xml:space="preserve">Muối axit Phosphoric 
</t>
    </r>
    <r>
      <rPr>
        <sz val="10"/>
        <rFont val="細明體"/>
        <family val="3"/>
        <charset val="136"/>
      </rPr>
      <t>磷酸鹽</t>
    </r>
    <r>
      <rPr>
        <sz val="9"/>
        <rFont val="細明體"/>
        <family val="3"/>
        <charset val="136"/>
      </rPr>
      <t/>
    </r>
    <phoneticPr fontId="7" type="noConversion"/>
  </si>
  <si>
    <r>
      <t xml:space="preserve">Khử dầu 
</t>
    </r>
    <r>
      <rPr>
        <sz val="10"/>
        <rFont val="細明體"/>
        <family val="3"/>
        <charset val="136"/>
      </rPr>
      <t>脫脂</t>
    </r>
    <phoneticPr fontId="7" type="noConversion"/>
  </si>
  <si>
    <t>IMPORT</t>
    <phoneticPr fontId="7" type="noConversion"/>
  </si>
  <si>
    <t>RLF-HCL1</t>
  </si>
  <si>
    <t>RLF-KD</t>
  </si>
  <si>
    <t>RLF-PP1TA</t>
  </si>
  <si>
    <t>RLF-PP1AX</t>
  </si>
  <si>
    <t>RLF-PP1PL</t>
  </si>
  <si>
    <t>RLF-XB</t>
  </si>
  <si>
    <t>RLF-XBPH</t>
  </si>
  <si>
    <t>1</t>
    <phoneticPr fontId="7" type="noConversion"/>
  </si>
  <si>
    <t>2</t>
    <phoneticPr fontId="7" type="noConversion"/>
  </si>
  <si>
    <t>3</t>
    <phoneticPr fontId="7" type="noConversion"/>
  </si>
  <si>
    <t>4</t>
    <phoneticPr fontId="7" type="noConversion"/>
  </si>
  <si>
    <t>5</t>
    <phoneticPr fontId="7" type="noConversion"/>
  </si>
  <si>
    <t>6</t>
    <phoneticPr fontId="7" type="noConversion"/>
  </si>
  <si>
    <t>7</t>
    <phoneticPr fontId="7" type="noConversion"/>
  </si>
  <si>
    <t>8</t>
    <phoneticPr fontId="7" type="noConversion"/>
  </si>
  <si>
    <t>khoảng thời gian
 Import</t>
    <phoneticPr fontId="7" type="noConversion"/>
  </si>
  <si>
    <r>
      <t>THỜI GIAN IMPORT CÁC CHUY</t>
    </r>
    <r>
      <rPr>
        <sz val="11"/>
        <color theme="1"/>
        <rFont val="細明體"/>
        <family val="3"/>
        <charset val="136"/>
      </rPr>
      <t>Ề</t>
    </r>
    <r>
      <rPr>
        <sz val="11"/>
        <color theme="1"/>
        <rFont val="Times New Roman"/>
        <family val="1"/>
      </rPr>
      <t>N</t>
    </r>
    <phoneticPr fontId="179" type="noConversion"/>
  </si>
  <si>
    <r>
      <t>chuy</t>
    </r>
    <r>
      <rPr>
        <sz val="11"/>
        <color theme="1"/>
        <rFont val="細明體"/>
        <family val="3"/>
        <charset val="136"/>
      </rPr>
      <t>ề</t>
    </r>
    <r>
      <rPr>
        <sz val="11"/>
        <color theme="1"/>
        <rFont val="Times New Roman"/>
        <family val="1"/>
      </rPr>
      <t>n</t>
    </r>
    <phoneticPr fontId="179" type="noConversion"/>
  </si>
  <si>
    <t>THỜI GIAN</t>
    <phoneticPr fontId="179" type="noConversion"/>
  </si>
  <si>
    <t>XI MẠ</t>
    <phoneticPr fontId="179" type="noConversion"/>
  </si>
  <si>
    <t>XL-001E</t>
    <phoneticPr fontId="179" type="noConversion"/>
  </si>
  <si>
    <t>8:15-8:45</t>
    <phoneticPr fontId="179" type="noConversion"/>
  </si>
  <si>
    <t>10:15-10:45</t>
    <phoneticPr fontId="179" type="noConversion"/>
  </si>
  <si>
    <t>15:00-15:30</t>
    <phoneticPr fontId="179" type="noConversion"/>
  </si>
  <si>
    <t>20:15-20:45</t>
    <phoneticPr fontId="179" type="noConversion"/>
  </si>
  <si>
    <t>22:15-22:45</t>
    <phoneticPr fontId="179" type="noConversion"/>
  </si>
  <si>
    <t>2:30-3:00</t>
    <phoneticPr fontId="179" type="noConversion"/>
  </si>
  <si>
    <t>4:30-5:00</t>
    <phoneticPr fontId="179" type="noConversion"/>
  </si>
  <si>
    <t>XL-001F</t>
    <phoneticPr fontId="179" type="noConversion"/>
  </si>
  <si>
    <t>XI TREO</t>
    <phoneticPr fontId="179" type="noConversion"/>
  </si>
  <si>
    <t>XT-001C</t>
    <phoneticPr fontId="179" type="noConversion"/>
  </si>
  <si>
    <t>RỬA LiỆU</t>
    <phoneticPr fontId="179" type="noConversion"/>
  </si>
  <si>
    <t>RL-E</t>
    <phoneticPr fontId="179" type="noConversion"/>
  </si>
  <si>
    <t>16:30-17:00</t>
    <phoneticPr fontId="179" type="noConversion"/>
  </si>
  <si>
    <t>RL-F</t>
    <phoneticPr fontId="179" type="noConversion"/>
  </si>
  <si>
    <t>RL-C</t>
    <phoneticPr fontId="179" type="noConversion"/>
  </si>
  <si>
    <t>DƯƠNG CỰC</t>
    <phoneticPr fontId="179" type="noConversion"/>
  </si>
  <si>
    <t>DC</t>
    <phoneticPr fontId="179" type="noConversion"/>
  </si>
  <si>
    <t>XI ĐEN</t>
    <phoneticPr fontId="179" type="noConversion"/>
  </si>
  <si>
    <t>XD</t>
    <phoneticPr fontId="179" type="noConversion"/>
  </si>
  <si>
    <t>tg import</t>
    <phoneticPr fontId="7"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</si>
  <si>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7" type="noConversion"/>
  </si>
  <si>
    <t>RL-G</t>
    <phoneticPr fontId="7" type="noConversion"/>
  </si>
  <si>
    <t>RL-F</t>
    <phoneticPr fontId="7" type="noConversion"/>
  </si>
  <si>
    <t>KHU DAU</t>
    <phoneticPr fontId="7" type="noConversion"/>
  </si>
  <si>
    <t>KHU DAU</t>
    <phoneticPr fontId="7" type="noConversion"/>
  </si>
  <si>
    <t>RL-G</t>
    <phoneticPr fontId="7" type="noConversion"/>
  </si>
  <si>
    <t>RL-F</t>
    <phoneticPr fontId="7"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</si>
  <si>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7" type="noConversion"/>
  </si>
  <si>
    <r>
      <t xml:space="preserve">Keát quaû kieåm tra
</t>
    </r>
    <r>
      <rPr>
        <sz val="10"/>
        <rFont val="細明體"/>
        <family val="3"/>
        <charset val="136"/>
      </rPr>
      <t>檢查結果</t>
    </r>
    <r>
      <rPr>
        <sz val="10"/>
        <rFont val="VNI-Times"/>
      </rPr>
      <t xml:space="preserve"> </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</si>
  <si>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</si>
  <si>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</si>
  <si>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r>
      <rPr>
        <sz val="9"/>
        <rFont val="VNI-Times"/>
      </rPr>
      <t xml:space="preserve"> (RL-E)</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</si>
  <si>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</si>
  <si>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</si>
  <si>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</si>
  <si>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</si>
  <si>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7" type="noConversion"/>
  </si>
  <si>
    <t>RLG-KD</t>
  </si>
  <si>
    <t>RLG-HCL1</t>
  </si>
  <si>
    <t>RLG-HCL1</t>
    <phoneticPr fontId="7" type="noConversion"/>
  </si>
  <si>
    <t>RLG-XB</t>
  </si>
  <si>
    <t>RLG-XBPH</t>
  </si>
  <si>
    <t>RLG-PPTA</t>
  </si>
  <si>
    <t>RLG-PPTA</t>
    <phoneticPr fontId="7" type="noConversion"/>
  </si>
  <si>
    <t>RLG-PPAX</t>
  </si>
  <si>
    <t>RLG-PPPL</t>
  </si>
  <si>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</si>
  <si>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</si>
  <si>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t>KQ bổ sung sau 1H</t>
    <phoneticPr fontId="7" type="noConversion"/>
  </si>
  <si>
    <t xml:space="preserve">濃度 </t>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</si>
  <si>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</si>
  <si>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</si>
  <si>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rPr>
        <sz val="11"/>
        <color rgb="FF0000FF"/>
        <rFont val="細明體"/>
        <family val="3"/>
        <charset val="136"/>
      </rPr>
      <t>濃度</t>
    </r>
    <r>
      <rPr>
        <sz val="11"/>
        <color rgb="FF0000FF"/>
        <rFont val="Times New Roman"/>
        <family val="1"/>
      </rPr>
      <t xml:space="preserve"> </t>
    </r>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</si>
  <si>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</si>
  <si>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</si>
  <si>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</si>
  <si>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</si>
  <si>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</si>
  <si>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7"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</si>
  <si>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</si>
  <si>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</si>
  <si>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</si>
  <si>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</si>
  <si>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</si>
  <si>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</si>
  <si>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</si>
  <si>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</si>
  <si>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</si>
  <si>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</si>
  <si>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</si>
  <si>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</si>
  <si>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</si>
  <si>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</si>
  <si>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</si>
  <si>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</si>
  <si>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</si>
  <si>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</si>
  <si>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</si>
  <si>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</si>
  <si>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</si>
  <si>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</si>
  <si>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</si>
  <si>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7" type="noConversion"/>
  </si>
  <si>
    <t>8.5~10</t>
    <phoneticPr fontId="7" type="noConversion"/>
  </si>
  <si>
    <t>5~15
(10)</t>
    <phoneticPr fontId="7" type="noConversion"/>
  </si>
  <si>
    <t>\</t>
    <phoneticPr fontId="7" type="noConversion"/>
  </si>
  <si>
    <t>\</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</si>
  <si>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</si>
  <si>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</si>
  <si>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</si>
  <si>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</si>
  <si>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</si>
  <si>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</si>
  <si>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</si>
  <si>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</si>
  <si>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kg</t>
    <phoneticPr fontId="7" type="noConversion"/>
  </si>
  <si>
    <t>CT-21A: 25kg/CT-21B: 5-10Lit</t>
    <phoneticPr fontId="7" type="noConversion"/>
  </si>
  <si>
    <t>EC-508A: 25kg/EC-508B:4-10Lit</t>
    <phoneticPr fontId="7"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</si>
  <si>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7" type="noConversion"/>
  </si>
  <si>
    <t>kg</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</si>
  <si>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</si>
  <si>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</si>
  <si>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t>
    <phoneticPr fontId="7" type="noConversion"/>
  </si>
  <si>
    <t>CHCl*VHCl=CNaOH*VNaOH</t>
  </si>
  <si>
    <t>CM=(10*C%*D)/M</t>
  </si>
  <si>
    <t>CNaOH=1N</t>
  </si>
  <si>
    <t>VHCl=1</t>
  </si>
  <si>
    <t>M=36.5</t>
  </si>
  <si>
    <t>=&gt;C%=(VNaOH*CNaOH*M)/(VHCl*10*D)</t>
  </si>
  <si>
    <t>CÁCH TÍNH</t>
    <phoneticPr fontId="7" type="noConversion"/>
  </si>
  <si>
    <t>D=1.16</t>
    <phoneticPr fontId="7" type="noConversion"/>
  </si>
  <si>
    <t xml:space="preserve">             =(VNaOH*1*36.5)/(1*10*1.16)</t>
    <phoneticPr fontId="7" type="noConversion"/>
  </si>
  <si>
    <t>PP HÓA NGHIỆM</t>
    <phoneticPr fontId="7"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</si>
  <si>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</si>
  <si>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7" type="noConversion"/>
  </si>
  <si>
    <r>
      <t>D:\2. Data hoa nghiem\1. PP HÓA NGHIỆM CÁC BỒN-XLBM\HCL-</t>
    </r>
    <r>
      <rPr>
        <u/>
        <sz val="12"/>
        <color theme="10"/>
        <rFont val="Times New Roman"/>
        <family val="1"/>
      </rPr>
      <t>đ</t>
    </r>
    <r>
      <rPr>
        <u/>
        <sz val="12"/>
        <color theme="10"/>
        <rFont val="新細明體"/>
        <family val="1"/>
        <charset val="136"/>
      </rPr>
      <t>ặc, loãng-XM.pdf</t>
    </r>
  </si>
  <si>
    <t>D:\2. Data hoa nghiem\1. PP HÓA NGHIỆM CÁC BỒN-XLBM\HCL hoạt hóa-xt,xm.pdf</t>
  </si>
  <si>
    <t>D:\2. Data hoa nghiem\1. PP HÓA NGHIỆM CÁC BỒN-XLBM\HCL đặc, loãng-XT.pdf</t>
  </si>
  <si>
    <t>D:\2. Data hoa nghiem\1. PP HÓA NGHIỆM CÁC BỒN-XLBM\JASCO-CR3+XT,XL-1E.pdf</t>
  </si>
  <si>
    <t>D:\2. Data hoa nghiem\1. PP HÓA NGHIỆM CÁC BỒN-XLBM\JASCO-XB,ĐG-XL-1E.pdf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</si>
  <si>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</si>
  <si>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</si>
  <si>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</si>
  <si>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</si>
  <si>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</si>
  <si>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</si>
  <si>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</si>
  <si>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</si>
  <si>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</si>
  <si>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</si>
  <si>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</si>
  <si>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7" type="noConversion"/>
  </si>
  <si>
    <t>25.09.2022 XT tất cả đổi hóa chất Halo</t>
    <phoneticPr fontId="7" type="noConversion"/>
  </si>
  <si>
    <t>MÀU NIKEN-PH</t>
    <phoneticPr fontId="7" type="noConversion"/>
  </si>
  <si>
    <t>Rua acid (1)</t>
    <phoneticPr fontId="8" type="noConversion"/>
  </si>
  <si>
    <t>pH                     8~10</t>
    <phoneticPr fontId="8" type="noConversion"/>
  </si>
  <si>
    <t>RUA LIEU  G</t>
    <phoneticPr fontId="8" type="noConversion"/>
  </si>
  <si>
    <t>khu dau</t>
    <phoneticPr fontId="8" type="noConversion"/>
  </si>
  <si>
    <t>RUA LIEU  F</t>
    <phoneticPr fontId="8" type="noConversion"/>
  </si>
  <si>
    <t>MANG LOA</t>
    <phoneticPr fontId="8" type="noConversion"/>
  </si>
  <si>
    <t>xà bông 1</t>
    <phoneticPr fontId="8" type="noConversion"/>
  </si>
  <si>
    <t>HNO3</t>
    <phoneticPr fontId="8" type="noConversion"/>
  </si>
  <si>
    <t>đóng lỗ 1 (HK-101A1)</t>
    <phoneticPr fontId="8" type="noConversion"/>
  </si>
  <si>
    <t>đóng lỗ 2 (HK-101A1)</t>
    <phoneticPr fontId="8" type="noConversion"/>
  </si>
  <si>
    <t>Quy đổi nồng độ acid HCl 32% đậm đặc từ %V/V sang nồng độ %</t>
    <phoneticPr fontId="7"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</si>
  <si>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</si>
  <si>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</si>
  <si>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7" type="noConversion"/>
  </si>
  <si>
    <t>100%V/V</t>
    <phoneticPr fontId="7"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</si>
  <si>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</si>
  <si>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</si>
  <si>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7" type="noConversion"/>
  </si>
  <si>
    <t>30%V/V</t>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</si>
  <si>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</si>
  <si>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7" type="noConversion"/>
  </si>
  <si>
    <r>
      <t xml:space="preserve">HCl Đặc </t>
    </r>
    <r>
      <rPr>
        <sz val="11"/>
        <rFont val="細明體"/>
        <family val="3"/>
        <charset val="136"/>
      </rPr>
      <t>濃酸洗</t>
    </r>
    <phoneticPr fontId="7" type="noConversion"/>
  </si>
  <si>
    <t>60%V/V</t>
    <phoneticPr fontId="7" type="noConversion"/>
  </si>
  <si>
    <t>100%V/V</t>
    <phoneticPr fontId="7" type="noConversion"/>
  </si>
  <si>
    <r>
      <t>HCl Loãng</t>
    </r>
    <r>
      <rPr>
        <sz val="11"/>
        <rFont val="細明體"/>
        <family val="3"/>
        <charset val="136"/>
      </rPr>
      <t>弱酸洗</t>
    </r>
    <phoneticPr fontId="7" type="noConversion"/>
  </si>
  <si>
    <t>HCl hoat hoa</t>
    <phoneticPr fontId="7" type="noConversion"/>
  </si>
  <si>
    <r>
      <t>HNO</t>
    </r>
    <r>
      <rPr>
        <vertAlign val="subscript"/>
        <sz val="11"/>
        <rFont val="VNI-Times"/>
      </rPr>
      <t>3</t>
    </r>
    <r>
      <rPr>
        <sz val="11"/>
        <rFont val="VNI-Times"/>
      </rPr>
      <t xml:space="preserve"> </t>
    </r>
    <r>
      <rPr>
        <sz val="11"/>
        <rFont val="細明體"/>
        <family val="3"/>
        <charset val="136"/>
      </rPr>
      <t>硝酸中和</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</si>
  <si>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</si>
  <si>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</si>
  <si>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r>
      <t>Xà bông (2)</t>
    </r>
    <r>
      <rPr>
        <sz val="11"/>
        <rFont val="細明體"/>
        <family val="3"/>
        <charset val="136"/>
      </rPr>
      <t>脫脂</t>
    </r>
  </si>
  <si>
    <r>
      <t>NaOH</t>
    </r>
    <r>
      <rPr>
        <sz val="11"/>
        <rFont val="細明體"/>
        <family val="3"/>
        <charset val="136"/>
      </rPr>
      <t>氫氧化鈉</t>
    </r>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</si>
  <si>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</si>
  <si>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</si>
  <si>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t>Zn</t>
    <phoneticPr fontId="7" type="noConversion"/>
  </si>
  <si>
    <r>
      <t>HNO</t>
    </r>
    <r>
      <rPr>
        <vertAlign val="subscript"/>
        <sz val="11"/>
        <rFont val="VNI-Times"/>
      </rPr>
      <t>3</t>
    </r>
    <r>
      <rPr>
        <sz val="11"/>
        <rFont val="VNI-Times"/>
      </rPr>
      <t xml:space="preserve"> (%)</t>
    </r>
    <phoneticPr fontId="7" type="noConversion"/>
  </si>
  <si>
    <t>Niken (bồn Zn-Niken)</t>
    <phoneticPr fontId="7"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</si>
  <si>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</si>
  <si>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</si>
  <si>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</si>
  <si>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</si>
  <si>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</si>
  <si>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7" type="noConversion"/>
  </si>
  <si>
    <t>RLG-KD</t>
    <phoneticPr fontId="7" type="noConversion"/>
  </si>
  <si>
    <t>RLG-HCL1</t>
    <phoneticPr fontId="7" type="noConversion"/>
  </si>
  <si>
    <t>RLG-PPTA</t>
    <phoneticPr fontId="7" type="noConversion"/>
  </si>
  <si>
    <t>RLG-PPAX</t>
    <phoneticPr fontId="7" type="noConversion"/>
  </si>
  <si>
    <t>RLG-PPPL</t>
    <phoneticPr fontId="7" type="noConversion"/>
  </si>
  <si>
    <t>RLG-XB</t>
    <phoneticPr fontId="7" type="noConversion"/>
  </si>
  <si>
    <t>RLG-XBPH</t>
    <phoneticPr fontId="7" type="noConversion"/>
  </si>
  <si>
    <t>RLG-TEMKD</t>
    <phoneticPr fontId="7" type="noConversion"/>
  </si>
  <si>
    <r>
      <t>55~65</t>
    </r>
    <r>
      <rPr>
        <vertAlign val="superscript"/>
        <sz val="12"/>
        <color theme="1"/>
        <rFont val="Times New Roman"/>
        <family val="1"/>
      </rPr>
      <t>O</t>
    </r>
    <r>
      <rPr>
        <sz val="12"/>
        <color theme="1"/>
        <rFont val="Times New Roman"/>
        <family val="1"/>
      </rPr>
      <t>C</t>
    </r>
  </si>
  <si>
    <t>RLG-TEMPP</t>
    <phoneticPr fontId="7" type="noConversion"/>
  </si>
  <si>
    <t>RLG-XB</t>
    <phoneticPr fontId="7"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</si>
  <si>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</si>
  <si>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</si>
  <si>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</si>
  <si>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</si>
  <si>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</si>
  <si>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</si>
  <si>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</si>
  <si>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</si>
  <si>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</si>
  <si>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</si>
  <si>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</si>
  <si>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</si>
  <si>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</si>
  <si>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</si>
  <si>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t>L</t>
    <phoneticPr fontId="7" type="noConversion"/>
  </si>
  <si>
    <r>
      <rPr>
        <sz val="12"/>
        <color theme="1"/>
        <rFont val="細明體"/>
        <family val="3"/>
        <charset val="136"/>
      </rPr>
      <t>陽極處理槽</t>
    </r>
    <r>
      <rPr>
        <sz val="12"/>
        <color theme="1"/>
        <rFont val="Times New Roman"/>
        <family val="1"/>
      </rPr>
      <t xml:space="preserve">  dương cực  H2SO4 (18)</t>
    </r>
    <phoneticPr fontId="7" type="noConversion"/>
  </si>
  <si>
    <r>
      <rPr>
        <sz val="12"/>
        <color theme="1"/>
        <rFont val="細明體"/>
        <family val="3"/>
        <charset val="136"/>
      </rPr>
      <t>陽極處理槽</t>
    </r>
    <r>
      <rPr>
        <sz val="12"/>
        <color theme="1"/>
        <rFont val="Times New Roman"/>
        <family val="1"/>
      </rPr>
      <t xml:space="preserve"> dương cực Al3+ (18)</t>
    </r>
    <phoneticPr fontId="7" type="noConversion"/>
  </si>
  <si>
    <r>
      <rPr>
        <sz val="12"/>
        <color theme="1"/>
        <rFont val="細明體"/>
        <family val="3"/>
        <charset val="136"/>
      </rPr>
      <t>陽極處理槽</t>
    </r>
    <r>
      <rPr>
        <sz val="12"/>
        <color theme="1"/>
        <rFont val="Times New Roman"/>
        <family val="1"/>
      </rPr>
      <t xml:space="preserve">  dương cực  H2SO4 (19)</t>
    </r>
    <phoneticPr fontId="7" type="noConversion"/>
  </si>
  <si>
    <r>
      <rPr>
        <sz val="12"/>
        <color theme="1"/>
        <rFont val="細明體"/>
        <family val="3"/>
        <charset val="136"/>
      </rPr>
      <t>陽極處理槽</t>
    </r>
    <r>
      <rPr>
        <sz val="12"/>
        <color theme="1"/>
        <rFont val="Times New Roman"/>
        <family val="1"/>
      </rPr>
      <t xml:space="preserve"> dương cực Al3+ (19)</t>
    </r>
    <phoneticPr fontId="7" type="noConversion"/>
  </si>
  <si>
    <r>
      <rPr>
        <sz val="12"/>
        <color theme="1"/>
        <rFont val="細明體"/>
        <family val="3"/>
        <charset val="136"/>
      </rPr>
      <t>陽極處理槽</t>
    </r>
    <r>
      <rPr>
        <sz val="12"/>
        <color theme="1"/>
        <rFont val="Times New Roman"/>
        <family val="1"/>
      </rPr>
      <t xml:space="preserve">  dương cực  H2SO4 (20)</t>
    </r>
    <phoneticPr fontId="7" type="noConversion"/>
  </si>
  <si>
    <r>
      <rPr>
        <sz val="12"/>
        <color theme="1"/>
        <rFont val="細明體"/>
        <family val="3"/>
        <charset val="136"/>
      </rPr>
      <t>陽極處理槽</t>
    </r>
    <r>
      <rPr>
        <sz val="12"/>
        <color theme="1"/>
        <rFont val="Times New Roman"/>
        <family val="1"/>
      </rPr>
      <t xml:space="preserve"> dương cực Al3+ (20)</t>
    </r>
    <phoneticPr fontId="7"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</si>
  <si>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</si>
  <si>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7"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</si>
  <si>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</si>
  <si>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7"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</si>
  <si>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7" type="noConversion"/>
  </si>
  <si>
    <r>
      <t>42~47ºC
(44±2</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</si>
  <si>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</si>
  <si>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7" type="noConversion"/>
  </si>
  <si>
    <r>
      <t>55~65</t>
    </r>
    <r>
      <rPr>
        <vertAlign val="superscript"/>
        <sz val="10"/>
        <color theme="1"/>
        <rFont val="VNI-Times"/>
      </rPr>
      <t>O</t>
    </r>
    <r>
      <rPr>
        <sz val="10"/>
        <color theme="1"/>
        <rFont val="VNI-Times"/>
      </rPr>
      <t>C</t>
    </r>
  </si>
  <si>
    <t>..\..\..\2. Data hoa nghiem\1. PP HÓA NGHIỆM CÁC BỒN-XLBM\JASCO-Phương pháp phân tích ZN-Ni-XT.pdf</t>
  </si>
  <si>
    <r>
      <t xml:space="preserve">chất bóng (250 brightener)
</t>
    </r>
    <r>
      <rPr>
        <sz val="11"/>
        <color theme="1"/>
        <rFont val="細明體"/>
        <family val="3"/>
        <charset val="136"/>
      </rPr>
      <t>光亮劑</t>
    </r>
    <phoneticPr fontId="7"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</si>
  <si>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7"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</si>
  <si>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7" type="noConversion"/>
  </si>
  <si>
    <t>dm</t>
    <phoneticPr fontId="7" type="noConversion"/>
  </si>
  <si>
    <t>90% thể tích bồn</t>
    <phoneticPr fontId="7"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</si>
  <si>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</si>
  <si>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</si>
  <si>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</si>
  <si>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</si>
  <si>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</si>
  <si>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</si>
  <si>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7" type="noConversion"/>
  </si>
  <si>
    <t>1. hàng sạch đã rửa acid</t>
    <phoneticPr fontId="7" type="noConversion"/>
  </si>
  <si>
    <t>2. pha 1,7 lít nước + 300ml niken hóa+ nhúng 11 phút</t>
    <phoneticPr fontId="7" type="noConversion"/>
  </si>
  <si>
    <t>3. xịt +sấy</t>
    <phoneticPr fontId="7" type="noConversion"/>
  </si>
  <si>
    <r>
      <t>thể tích chuy</t>
    </r>
    <r>
      <rPr>
        <sz val="11"/>
        <color rgb="FF0000FF"/>
        <rFont val="新細明體"/>
        <family val="2"/>
        <charset val="134"/>
      </rPr>
      <t>ề</t>
    </r>
    <r>
      <rPr>
        <sz val="11"/>
        <color rgb="FF0000FF"/>
        <rFont val="Times New Roman"/>
        <family val="1"/>
      </rPr>
      <t>n RỬA LiỆU RL-G, RL-F</t>
    </r>
    <phoneticPr fontId="7" type="noConversion"/>
  </si>
  <si>
    <t>khử dầu</t>
    <phoneticPr fontId="7" type="noConversion"/>
  </si>
  <si>
    <t>acid</t>
    <phoneticPr fontId="7" type="noConversion"/>
  </si>
  <si>
    <t>photphas</t>
    <phoneticPr fontId="7" type="noConversion"/>
  </si>
  <si>
    <t>xà bông</t>
    <phoneticPr fontId="7" type="noConversion"/>
  </si>
  <si>
    <t xml:space="preserve">rộng </t>
    <phoneticPr fontId="7" type="noConversion"/>
  </si>
  <si>
    <t>dm</t>
    <phoneticPr fontId="7" type="noConversion"/>
  </si>
  <si>
    <t>dài</t>
    <phoneticPr fontId="7" type="noConversion"/>
  </si>
  <si>
    <t>cao</t>
    <phoneticPr fontId="7"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</si>
  <si>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7" type="noConversion"/>
  </si>
  <si>
    <r>
      <t>thêm chất bóng thì mi</t>
    </r>
    <r>
      <rPr>
        <sz val="11"/>
        <color rgb="FF0000FF"/>
        <rFont val="細明體"/>
        <family val="3"/>
        <charset val="136"/>
      </rPr>
      <t>ế</t>
    </r>
    <r>
      <rPr>
        <sz val="11"/>
        <color rgb="FF0000FF"/>
        <rFont val="Times New Roman"/>
        <family val="1"/>
      </rPr>
      <t>ng hucell độ dày tăng</t>
    </r>
    <phoneticPr fontId="7" type="noConversion"/>
  </si>
  <si>
    <t>kg</t>
    <phoneticPr fontId="7" type="noConversion"/>
  </si>
  <si>
    <t>L</t>
    <phoneticPr fontId="7" type="noConversion"/>
  </si>
  <si>
    <t>* pha mới màu halo xt (nồng độ 6%): 11 thung</t>
    <phoneticPr fontId="7" type="noConversion"/>
  </si>
  <si>
    <t>* pha mới màu jasco xt (nồng độ 12%): 6 thùng 173A+11 thùng 174H</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</si>
  <si>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</si>
  <si>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</si>
  <si>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</si>
  <si>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</si>
  <si>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</si>
  <si>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</si>
  <si>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</si>
  <si>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7" type="noConversion"/>
  </si>
  <si>
    <t>NCC</t>
    <phoneticPr fontId="7" type="noConversion"/>
  </si>
  <si>
    <t>JASCO</t>
    <phoneticPr fontId="7" type="noConversion"/>
  </si>
  <si>
    <t>HALO</t>
    <phoneticPr fontId="7" type="noConversion"/>
  </si>
  <si>
    <t>JASCO</t>
    <phoneticPr fontId="7" type="noConversion"/>
  </si>
  <si>
    <t>NCC</t>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</si>
  <si>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</si>
  <si>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</si>
  <si>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</si>
  <si>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kg</t>
    <phoneticPr fontId="7" type="noConversion"/>
  </si>
  <si>
    <t>+</t>
    <phoneticPr fontId="7" type="noConversion"/>
  </si>
  <si>
    <t>L</t>
    <phoneticPr fontId="7" type="noConversion"/>
  </si>
  <si>
    <t>L</t>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</si>
  <si>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</si>
  <si>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</si>
  <si>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</si>
  <si>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</si>
  <si>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</si>
  <si>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</si>
  <si>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</si>
  <si>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</si>
  <si>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Calibri"/>
        <family val="2"/>
        <scheme val="minor"/>
      </rPr>
      <t/>
    </r>
    <phoneticPr fontId="7" type="noConversion"/>
  </si>
  <si>
    <t>L</t>
    <phoneticPr fontId="7" type="noConversion"/>
  </si>
  <si>
    <t>\</t>
    <phoneticPr fontId="7" type="noConversion"/>
  </si>
  <si>
    <t>8.5~10</t>
    <phoneticPr fontId="7"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</si>
  <si>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</si>
  <si>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</si>
  <si>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7" type="noConversion"/>
  </si>
  <si>
    <t>RLG-PPAX</t>
    <phoneticPr fontId="7" type="noConversion"/>
  </si>
  <si>
    <t>RLG-PPPL</t>
    <phoneticPr fontId="7" type="noConversion"/>
  </si>
  <si>
    <t>RLG-XB</t>
    <phoneticPr fontId="7" type="noConversion"/>
  </si>
  <si>
    <t>RLG-XBPH</t>
    <phoneticPr fontId="7" type="noConversion"/>
  </si>
  <si>
    <t>8.5~10</t>
    <phoneticPr fontId="7" type="noConversion"/>
  </si>
  <si>
    <t>RLG-TEMKD</t>
    <phoneticPr fontId="7" type="noConversion"/>
  </si>
  <si>
    <r>
      <t>55~65</t>
    </r>
    <r>
      <rPr>
        <vertAlign val="superscript"/>
        <sz val="12"/>
        <rFont val="Times New Roman"/>
        <family val="1"/>
      </rPr>
      <t>O</t>
    </r>
    <r>
      <rPr>
        <sz val="12"/>
        <rFont val="Times New Roman"/>
        <family val="1"/>
      </rPr>
      <t>C</t>
    </r>
  </si>
  <si>
    <t>RLG-TEMPP</t>
    <phoneticPr fontId="7" type="noConversion"/>
  </si>
  <si>
    <t>RLG-XB</t>
    <phoneticPr fontId="7"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</si>
  <si>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</si>
  <si>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</si>
  <si>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</si>
  <si>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</si>
  <si>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</si>
  <si>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</si>
  <si>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</si>
  <si>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</si>
  <si>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</si>
  <si>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</si>
  <si>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</si>
  <si>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</si>
  <si>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</si>
  <si>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</si>
  <si>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r>
      <rPr>
        <sz val="12"/>
        <rFont val="細明體"/>
        <family val="3"/>
        <charset val="136"/>
      </rPr>
      <t>陽極處理槽</t>
    </r>
    <r>
      <rPr>
        <sz val="12"/>
        <rFont val="Times New Roman"/>
        <family val="1"/>
      </rPr>
      <t xml:space="preserve">  dương cực  H2SO4 (18)</t>
    </r>
    <phoneticPr fontId="7" type="noConversion"/>
  </si>
  <si>
    <r>
      <rPr>
        <sz val="12"/>
        <rFont val="細明體"/>
        <family val="3"/>
        <charset val="136"/>
      </rPr>
      <t>陽極處理槽</t>
    </r>
    <r>
      <rPr>
        <sz val="12"/>
        <rFont val="Times New Roman"/>
        <family val="1"/>
      </rPr>
      <t xml:space="preserve"> dương cực Al3+ (18)</t>
    </r>
    <phoneticPr fontId="7" type="noConversion"/>
  </si>
  <si>
    <r>
      <rPr>
        <sz val="12"/>
        <rFont val="細明體"/>
        <family val="3"/>
        <charset val="136"/>
      </rPr>
      <t>陽極處理槽</t>
    </r>
    <r>
      <rPr>
        <sz val="12"/>
        <rFont val="Times New Roman"/>
        <family val="1"/>
      </rPr>
      <t xml:space="preserve">  dương cực  H2SO4 (19)</t>
    </r>
    <phoneticPr fontId="7" type="noConversion"/>
  </si>
  <si>
    <r>
      <rPr>
        <sz val="12"/>
        <rFont val="細明體"/>
        <family val="3"/>
        <charset val="136"/>
      </rPr>
      <t>陽極處理槽</t>
    </r>
    <r>
      <rPr>
        <sz val="12"/>
        <rFont val="Times New Roman"/>
        <family val="1"/>
      </rPr>
      <t xml:space="preserve"> dương cực Al3+ (19)</t>
    </r>
    <phoneticPr fontId="7" type="noConversion"/>
  </si>
  <si>
    <r>
      <rPr>
        <sz val="12"/>
        <rFont val="細明體"/>
        <family val="3"/>
        <charset val="136"/>
      </rPr>
      <t>陽極處理槽</t>
    </r>
    <r>
      <rPr>
        <sz val="12"/>
        <rFont val="Times New Roman"/>
        <family val="1"/>
      </rPr>
      <t xml:space="preserve">  dương cực  H2SO4 (20)</t>
    </r>
    <phoneticPr fontId="7" type="noConversion"/>
  </si>
  <si>
    <r>
      <rPr>
        <sz val="12"/>
        <rFont val="細明體"/>
        <family val="3"/>
        <charset val="136"/>
      </rPr>
      <t>陽極處理槽</t>
    </r>
    <r>
      <rPr>
        <sz val="12"/>
        <rFont val="Times New Roman"/>
        <family val="1"/>
      </rPr>
      <t xml:space="preserve"> dương cực Al3+ (20)</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</si>
  <si>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</si>
  <si>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</si>
  <si>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7" type="noConversion"/>
  </si>
  <si>
    <t xml:space="preserve">Type sample </t>
    <phoneticPr fontId="179" type="noConversion"/>
  </si>
  <si>
    <t xml:space="preserve">Test Item </t>
    <phoneticPr fontId="179" type="noConversion"/>
  </si>
  <si>
    <t>Unit</t>
    <phoneticPr fontId="179" type="noConversion"/>
  </si>
  <si>
    <t xml:space="preserve"> Result</t>
    <phoneticPr fontId="179" type="noConversion"/>
  </si>
  <si>
    <r>
      <t>Zn</t>
    </r>
    <r>
      <rPr>
        <vertAlign val="superscript"/>
        <sz val="11"/>
        <color theme="1"/>
        <rFont val="Times New Roman"/>
        <family val="1"/>
      </rPr>
      <t>2+</t>
    </r>
    <phoneticPr fontId="179" type="noConversion"/>
  </si>
  <si>
    <t>g/l</t>
    <phoneticPr fontId="179" type="noConversion"/>
  </si>
  <si>
    <t>NaOH</t>
    <phoneticPr fontId="179"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</si>
  <si>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9" type="noConversion"/>
  </si>
  <si>
    <t>Fe</t>
    <phoneticPr fontId="179" type="noConversion"/>
  </si>
  <si>
    <t>&lt;5</t>
  </si>
  <si>
    <t>ppm</t>
    <phoneticPr fontId="179" type="noConversion"/>
  </si>
  <si>
    <t>Cu</t>
    <phoneticPr fontId="179" type="noConversion"/>
  </si>
  <si>
    <t>Cr</t>
    <phoneticPr fontId="179" type="noConversion"/>
  </si>
  <si>
    <t>Pb</t>
    <phoneticPr fontId="179" type="noConversion"/>
  </si>
  <si>
    <t>Màu K (5U109A)</t>
    <phoneticPr fontId="179" type="noConversion"/>
  </si>
  <si>
    <t>%</t>
    <phoneticPr fontId="179" type="noConversion"/>
  </si>
  <si>
    <t>pH</t>
    <phoneticPr fontId="179" type="noConversion"/>
  </si>
  <si>
    <t>/</t>
    <phoneticPr fontId="179" type="noConversion"/>
  </si>
  <si>
    <t>(2.1±0.1 )</t>
  </si>
  <si>
    <t>Zn</t>
    <phoneticPr fontId="179" type="noConversion"/>
  </si>
  <si>
    <t>Lanthane 318</t>
    <phoneticPr fontId="179" type="noConversion"/>
  </si>
  <si>
    <t>Finidip 124</t>
    <phoneticPr fontId="179" type="noConversion"/>
  </si>
  <si>
    <r>
      <t>Ni</t>
    </r>
    <r>
      <rPr>
        <vertAlign val="superscript"/>
        <sz val="11"/>
        <color theme="1"/>
        <rFont val="Times New Roman"/>
        <family val="1"/>
      </rPr>
      <t>2+</t>
    </r>
    <phoneticPr fontId="179" type="noConversion"/>
  </si>
  <si>
    <t xml:space="preserve"> MẪU GỬI  NHÀ CUNG ỨNG</t>
    <phoneticPr fontId="179" type="noConversion"/>
  </si>
  <si>
    <t>Cr2O3 (TR173AH)</t>
    <phoneticPr fontId="179" type="noConversion"/>
  </si>
  <si>
    <t>&lt;80</t>
    <phoneticPr fontId="179" type="noConversion"/>
  </si>
  <si>
    <r>
      <rPr>
        <sz val="10"/>
        <rFont val="細明體"/>
        <family val="3"/>
        <charset val="136"/>
      </rPr>
      <t>＜</t>
    </r>
    <r>
      <rPr>
        <sz val="10"/>
        <rFont val="Times New Roman"/>
        <family val="1"/>
      </rPr>
      <t>5</t>
    </r>
    <phoneticPr fontId="179" type="noConversion"/>
  </si>
  <si>
    <t>Màu Ni (988C1)</t>
    <phoneticPr fontId="7" type="noConversion"/>
  </si>
  <si>
    <t>Màu Ni (988S1)</t>
    <phoneticPr fontId="7" type="noConversion"/>
  </si>
  <si>
    <t>ml/l</t>
    <phoneticPr fontId="7" type="noConversion"/>
  </si>
  <si>
    <t>50-100</t>
    <phoneticPr fontId="7" type="noConversion"/>
  </si>
  <si>
    <t>15-35</t>
    <phoneticPr fontId="7" type="noConversion"/>
  </si>
  <si>
    <t>Standards</t>
    <phoneticPr fontId="179" type="noConversion"/>
  </si>
  <si>
    <r>
      <rPr>
        <sz val="10"/>
        <rFont val="細明體"/>
        <family val="3"/>
        <charset val="136"/>
      </rPr>
      <t>＜</t>
    </r>
    <r>
      <rPr>
        <sz val="10"/>
        <rFont val="Times New Roman"/>
        <family val="1"/>
      </rPr>
      <t>70g/L</t>
    </r>
    <phoneticPr fontId="179" type="noConversion"/>
  </si>
  <si>
    <t>1-1.8</t>
    <phoneticPr fontId="211" type="noConversion"/>
  </si>
  <si>
    <t>Màu K (5U109A)
 (XL-1E)</t>
    <phoneticPr fontId="179" type="noConversion"/>
  </si>
  <si>
    <t>Akaline Zinc 
(XL-1F)</t>
    <phoneticPr fontId="179" type="noConversion"/>
  </si>
  <si>
    <t>Akaline Zinc 
(XT-0C)</t>
    <phoneticPr fontId="179" type="noConversion"/>
  </si>
  <si>
    <t>Nickel Zinc 
(XT-0C)</t>
    <phoneticPr fontId="179" type="noConversion"/>
  </si>
  <si>
    <t>Màu K (5U109A)
 (XT-0C)</t>
    <phoneticPr fontId="179" type="noConversion"/>
  </si>
  <si>
    <t>Màu Ni 
(XT-0C)</t>
    <phoneticPr fontId="7" type="noConversion"/>
  </si>
  <si>
    <t>NCC</t>
    <phoneticPr fontId="7" type="noConversion"/>
  </si>
  <si>
    <t>HALO</t>
    <phoneticPr fontId="7" type="noConversion"/>
  </si>
  <si>
    <t>JASCO</t>
    <phoneticPr fontId="7" type="noConversion"/>
  </si>
  <si>
    <t>JASCO</t>
    <phoneticPr fontId="7" type="noConversion"/>
  </si>
  <si>
    <t>Màu (K) (Finidip 124)
 (XL-1F)</t>
    <phoneticPr fontId="179" type="noConversion"/>
  </si>
  <si>
    <t>Màu (I) (TR173AH) 
 (XT-0C)</t>
    <phoneticPr fontId="179" type="noConversion"/>
  </si>
  <si>
    <t>Màu (I) (TR173AH) 
(XL-1E)</t>
    <phoneticPr fontId="179" type="noConversion"/>
  </si>
  <si>
    <t>Na2CO3</t>
    <phoneticPr fontId="7" type="noConversion"/>
  </si>
  <si>
    <t>1E</t>
    <phoneticPr fontId="7" type="noConversion"/>
  </si>
  <si>
    <t>1F</t>
    <phoneticPr fontId="7" type="noConversion"/>
  </si>
  <si>
    <t>XT</t>
    <phoneticPr fontId="7" type="noConversion"/>
  </si>
  <si>
    <t>JASCO</t>
    <phoneticPr fontId="7" type="noConversion"/>
  </si>
  <si>
    <t>HALO</t>
    <phoneticPr fontId="7" type="noConversion"/>
  </si>
  <si>
    <t>Akaline Zinc 
(XL-1E)</t>
    <phoneticPr fontId="179" type="noConversion"/>
  </si>
  <si>
    <t>XL-1F</t>
    <phoneticPr fontId="7" type="noConversion"/>
  </si>
  <si>
    <t>XT-0C</t>
    <phoneticPr fontId="7" type="noConversion"/>
  </si>
  <si>
    <t>XL-1E</t>
    <phoneticPr fontId="7"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</si>
  <si>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9" type="noConversion"/>
  </si>
  <si>
    <r>
      <rPr>
        <sz val="10"/>
        <rFont val="細明體"/>
        <family val="3"/>
        <charset val="136"/>
      </rPr>
      <t>＜</t>
    </r>
    <r>
      <rPr>
        <sz val="10"/>
        <rFont val="Times New Roman"/>
        <family val="1"/>
      </rPr>
      <t>70g/L</t>
    </r>
    <phoneticPr fontId="179" type="noConversion"/>
  </si>
  <si>
    <t>g/l</t>
    <phoneticPr fontId="179" type="noConversion"/>
  </si>
  <si>
    <t>\</t>
    <phoneticPr fontId="7" type="noConversion"/>
  </si>
  <si>
    <t>L</t>
    <phoneticPr fontId="7" type="noConversion"/>
  </si>
  <si>
    <r>
      <t xml:space="preserve">Đơn vị
</t>
    </r>
    <r>
      <rPr>
        <sz val="12"/>
        <rFont val="細明體"/>
        <family val="3"/>
        <charset val="136"/>
      </rPr>
      <t>單位</t>
    </r>
    <phoneticPr fontId="7"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</si>
  <si>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</si>
  <si>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CT-21A: 25kg/CT-21B: 7-10L</t>
    <phoneticPr fontId="7" type="noConversion"/>
  </si>
  <si>
    <t>EC-508A: 25kg/EC-508B:6-10L</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</si>
  <si>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</si>
  <si>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</si>
  <si>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t>\</t>
    <phoneticPr fontId="7"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</si>
  <si>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7"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</si>
  <si>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</si>
  <si>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</si>
  <si>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</si>
  <si>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7" type="noConversion"/>
  </si>
  <si>
    <r>
      <t xml:space="preserve">Nhiệt độ điện giải (2)
</t>
    </r>
    <r>
      <rPr>
        <sz val="12"/>
        <rFont val="細明體"/>
        <family val="3"/>
        <charset val="136"/>
      </rPr>
      <t>電解</t>
    </r>
    <r>
      <rPr>
        <sz val="12"/>
        <rFont val="Times New Roman"/>
        <family val="1"/>
      </rPr>
      <t xml:space="preserve"> 2 </t>
    </r>
    <r>
      <rPr>
        <sz val="12"/>
        <rFont val="細明體"/>
        <family val="3"/>
        <charset val="136"/>
      </rPr>
      <t>溫度</t>
    </r>
    <phoneticPr fontId="7" type="noConversion"/>
  </si>
  <si>
    <t xml:space="preserve">Test Item </t>
    <phoneticPr fontId="179" type="noConversion"/>
  </si>
  <si>
    <t>Unit</t>
    <phoneticPr fontId="179"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</si>
  <si>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</si>
  <si>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r>
      <t>0</t>
    </r>
    <r>
      <rPr>
        <sz val="12"/>
        <color rgb="FF0000FF"/>
        <rFont val="Times New Roman"/>
        <family val="1"/>
      </rPr>
      <t>C</t>
    </r>
  </si>
  <si>
    <r>
      <t xml:space="preserve">Nhiệt độ sóng siêu âm
</t>
    </r>
    <r>
      <rPr>
        <sz val="12"/>
        <color theme="1"/>
        <rFont val="細明體"/>
        <family val="3"/>
        <charset val="136"/>
      </rPr>
      <t>超音波水洗槽</t>
    </r>
    <r>
      <rPr>
        <sz val="12"/>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</si>
  <si>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</si>
  <si>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</si>
  <si>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nước nóng siêm âm
</t>
    </r>
    <r>
      <rPr>
        <sz val="12"/>
        <rFont val="細明體"/>
        <family val="3"/>
        <charset val="136"/>
      </rPr>
      <t>超音波熱水洗槽</t>
    </r>
    <r>
      <rPr>
        <sz val="12"/>
        <rFont val="Times New Roman"/>
        <family val="1"/>
      </rPr>
      <t>(39)</t>
    </r>
    <phoneticPr fontId="7" type="noConversion"/>
  </si>
  <si>
    <r>
      <t xml:space="preserve">Nhiệt độ nước nóng siêm âm
</t>
    </r>
    <r>
      <rPr>
        <sz val="11"/>
        <color theme="1"/>
        <rFont val="細明體"/>
        <family val="3"/>
        <charset val="136"/>
      </rPr>
      <t>超音波熱水洗槽</t>
    </r>
    <r>
      <rPr>
        <sz val="11"/>
        <color theme="1"/>
        <rFont val="Times New Roman"/>
        <family val="1"/>
      </rPr>
      <t>(39)</t>
    </r>
    <phoneticPr fontId="7" type="noConversion"/>
  </si>
  <si>
    <r>
      <t xml:space="preserve">Nhiệt </t>
    </r>
    <r>
      <rPr>
        <sz val="11"/>
        <rFont val="BatangChe"/>
        <family val="3"/>
        <charset val="129"/>
      </rPr>
      <t>đ</t>
    </r>
    <r>
      <rPr>
        <sz val="11"/>
        <rFont val="VNI-Times"/>
      </rPr>
      <t xml:space="preserve">ộ bồn màu Cr2O3 
</t>
    </r>
    <r>
      <rPr>
        <sz val="11"/>
        <rFont val="細明體"/>
        <family val="3"/>
        <charset val="136"/>
      </rPr>
      <t>三價鉻</t>
    </r>
    <r>
      <rPr>
        <sz val="11"/>
        <rFont val="VNI-Times"/>
      </rPr>
      <t xml:space="preserve"> </t>
    </r>
    <r>
      <rPr>
        <sz val="11"/>
        <rFont val="細明體"/>
        <family val="3"/>
        <charset val="136"/>
      </rPr>
      <t>溫度</t>
    </r>
    <r>
      <rPr>
        <sz val="11"/>
        <rFont val="VNI-Times"/>
      </rPr>
      <t xml:space="preserve"> </t>
    </r>
    <phoneticPr fontId="7" type="noConversion"/>
  </si>
  <si>
    <t>RL-G</t>
  </si>
  <si>
    <t>RL-F</t>
  </si>
  <si>
    <t>Kg</t>
  </si>
  <si>
    <t>100-200</t>
  </si>
  <si>
    <t>20-50</t>
  </si>
  <si>
    <t>30~50 
(40)</t>
  </si>
  <si>
    <t>160~220
(180)</t>
  </si>
  <si>
    <t>..\..\..\2. Data hoa nghiem\1. PP HÓA NGHIỆM CÁC BỒN-XLBM\NaOH.pdf</t>
  </si>
  <si>
    <t>..\..\..\2. Data hoa nghiem\1. PP HÓA NGHIỆM CÁC BỒN-XLBM\XB,ĐG-1F,XT.pdf</t>
  </si>
  <si>
    <t>..\..\..\2. Data hoa nghiem\1. PP HÓA NGHIỆM CÁC BỒN-XLBM\CR3+-HALO.pdf</t>
  </si>
  <si>
    <t>Giới hạn kiểm soát
管控值</t>
  </si>
  <si>
    <r>
      <t xml:space="preserve">Phạm vi kiểm soát
</t>
    </r>
    <r>
      <rPr>
        <sz val="12"/>
        <rFont val="細明體"/>
        <family val="3"/>
        <charset val="136"/>
      </rPr>
      <t>範圍值</t>
    </r>
  </si>
  <si>
    <t>(1.8±0.1)</t>
  </si>
  <si>
    <t>(2.3±0.1 )</t>
  </si>
  <si>
    <t>(12±2%)</t>
  </si>
  <si>
    <t>(2.0 ±0.2 )</t>
  </si>
  <si>
    <t>(4.3±0.2)</t>
  </si>
  <si>
    <r>
      <t xml:space="preserve">Đơn vị
</t>
    </r>
    <r>
      <rPr>
        <sz val="12"/>
        <rFont val="細明體"/>
        <family val="3"/>
        <charset val="136"/>
      </rPr>
      <t>單位</t>
    </r>
  </si>
  <si>
    <t>Phạm vi kiểm soát
範圍值</t>
  </si>
  <si>
    <r>
      <t xml:space="preserve">Haïng muïc kieåm tra bôm thuoác töï ñoäng </t>
    </r>
    <r>
      <rPr>
        <sz val="16"/>
        <rFont val="標楷體"/>
        <family val="4"/>
        <charset val="136"/>
      </rPr>
      <t>藥液自動添加</t>
    </r>
  </si>
  <si>
    <r>
      <t xml:space="preserve">Haïng muïc kieåm tra nhieät ñoä </t>
    </r>
    <r>
      <rPr>
        <sz val="16"/>
        <rFont val="標楷體"/>
        <family val="4"/>
        <charset val="136"/>
      </rPr>
      <t>檢查溫度</t>
    </r>
  </si>
  <si>
    <t>1.6~2.2</t>
  </si>
  <si>
    <t>2~2.5</t>
  </si>
  <si>
    <t>1.8~2.4</t>
  </si>
  <si>
    <t>2.0~2.4</t>
  </si>
  <si>
    <t>8~16 %</t>
  </si>
  <si>
    <t>3.0-4.5</t>
  </si>
  <si>
    <t>ghi chú: tô màu các ô</t>
  </si>
  <si>
    <t>2. nằm ngoài giới hạn kiểm soát là màu vàng</t>
  </si>
  <si>
    <t>1. nằm ngoài phạm vi kiểm soát là màu cam (cận dưới), xanh (cận trên)</t>
  </si>
  <si>
    <t>(34±2)</t>
  </si>
  <si>
    <t>20~30</t>
  </si>
  <si>
    <t>(60±5)</t>
  </si>
  <si>
    <t>(140±5)</t>
  </si>
  <si>
    <t>(6±0.5)</t>
  </si>
  <si>
    <t>(45±5)</t>
  </si>
  <si>
    <t>(30±5)</t>
  </si>
  <si>
    <t>(6±1)</t>
  </si>
  <si>
    <t>(50±5)</t>
  </si>
  <si>
    <t>(70±5)</t>
  </si>
  <si>
    <t>(10±3)</t>
  </si>
  <si>
    <t>(70±10)</t>
  </si>
  <si>
    <t>(14±2)</t>
  </si>
  <si>
    <t>(22±5)</t>
  </si>
  <si>
    <t>(7.5±1)</t>
  </si>
  <si>
    <t>60~80</t>
  </si>
  <si>
    <t>130 - 150</t>
  </si>
  <si>
    <t xml:space="preserve">12~18 </t>
  </si>
  <si>
    <t>5~15</t>
  </si>
  <si>
    <t>0.5~1.5</t>
  </si>
  <si>
    <t>55~65</t>
  </si>
  <si>
    <t>50~70</t>
  </si>
  <si>
    <t xml:space="preserve">6~10 </t>
  </si>
  <si>
    <t>5~8</t>
  </si>
  <si>
    <t>30-38</t>
  </si>
  <si>
    <t>40~60</t>
  </si>
  <si>
    <t>135~ 145</t>
  </si>
  <si>
    <t>40~50</t>
  </si>
  <si>
    <t>20~40</t>
  </si>
  <si>
    <t>5~6</t>
  </si>
  <si>
    <t>35~45</t>
  </si>
  <si>
    <t>24~28</t>
  </si>
  <si>
    <t>5~10</t>
  </si>
  <si>
    <t>8~12</t>
  </si>
  <si>
    <t>Hiện trường xác nhận
 現場確認</t>
  </si>
  <si>
    <t>3.XT-C TT(CA2)</t>
  </si>
  <si>
    <t>2. XL-1F TT(CA2)</t>
  </si>
  <si>
    <t>1. XL-1E TT(CA2)</t>
  </si>
  <si>
    <t>Ghi chú</t>
  </si>
  <si>
    <t>Trang 1/2</t>
  </si>
  <si>
    <t>Trang 2/2</t>
  </si>
  <si>
    <t>CT-21A: 25kg/CT-21B: 5-10Lit</t>
  </si>
  <si>
    <t>4.ZN-NI tt(CA1)</t>
  </si>
  <si>
    <t>4.ZN-NI tt(CA2)</t>
  </si>
  <si>
    <t>1. XL-1E TT(CA1)</t>
  </si>
  <si>
    <t>2. XL-1F TT(CA1)</t>
  </si>
  <si>
    <t>3.XT-C TT(CA1)</t>
  </si>
  <si>
    <t>PP HÓA NGHIỆM
FILE WORD</t>
  </si>
  <si>
    <t>Nộng độ sau BS 1h
(g/l, %)</t>
  </si>
  <si>
    <t>Màu Niken(Cr2O3)
三價鉻 (JASCO)</t>
  </si>
  <si>
    <t xml:space="preserve">鋅鎳合金電鍍槽
Zn-Niken </t>
  </si>
  <si>
    <r>
      <t xml:space="preserve"> MÀU (I)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 xml:space="preserve">
</t>
    </r>
    <r>
      <rPr>
        <sz val="11"/>
        <rFont val="細明體"/>
        <family val="3"/>
        <charset val="136"/>
      </rPr>
      <t>三價鉻</t>
    </r>
    <r>
      <rPr>
        <sz val="11"/>
        <rFont val="Times New Roman"/>
        <family val="1"/>
      </rPr>
      <t>( JASCO 45)</t>
    </r>
  </si>
  <si>
    <t>Cr2O3 （K) 三價鉻
HYPROTEC (JASCO)</t>
  </si>
  <si>
    <r>
      <t>HNO</t>
    </r>
    <r>
      <rPr>
        <vertAlign val="subscript"/>
        <sz val="11"/>
        <rFont val="Times New Roman"/>
        <family val="1"/>
      </rPr>
      <t xml:space="preserve">3 </t>
    </r>
    <r>
      <rPr>
        <sz val="11"/>
        <rFont val="Times New Roman"/>
        <family val="1"/>
      </rPr>
      <t xml:space="preserve"> (42)
硝酸</t>
    </r>
  </si>
  <si>
    <t xml:space="preserve">Acid loãng (12)
稀酸 </t>
  </si>
  <si>
    <t>Axit đặc 2 (15,16,17)
鹽酸</t>
  </si>
  <si>
    <t xml:space="preserve"> Axit đặc 1 (13,14)
鹽酸</t>
  </si>
  <si>
    <t xml:space="preserve">Cr2O3 三價鉻(46) (I) 
LANTHANE 318 </t>
  </si>
  <si>
    <r>
      <t xml:space="preserve">Zn  </t>
    </r>
    <r>
      <rPr>
        <sz val="11"/>
        <rFont val="細明體"/>
        <family val="3"/>
        <charset val="136"/>
      </rPr>
      <t>鋅</t>
    </r>
    <r>
      <rPr>
        <sz val="11"/>
        <rFont val="VNI-Times"/>
      </rPr>
      <t>(1 pcs Zn=25kg)</t>
    </r>
  </si>
  <si>
    <r>
      <t xml:space="preserve">NaOH
</t>
    </r>
    <r>
      <rPr>
        <sz val="11"/>
        <rFont val="細明體"/>
        <family val="3"/>
        <charset val="136"/>
      </rPr>
      <t>氫氧化鈉</t>
    </r>
  </si>
  <si>
    <t>Bồn xi
(26-37)
鋅電鍍槽</t>
  </si>
  <si>
    <r>
      <rPr>
        <sz val="10"/>
        <rFont val="VNI-Times"/>
      </rPr>
      <t xml:space="preserve">Điện giải
</t>
    </r>
    <r>
      <rPr>
        <sz val="10"/>
        <rFont val="標楷體"/>
        <family val="4"/>
        <charset val="136"/>
      </rPr>
      <t>電解</t>
    </r>
    <r>
      <rPr>
        <sz val="10"/>
        <rFont val="VNI-Times"/>
      </rPr>
      <t xml:space="preserve">  (8)</t>
    </r>
  </si>
  <si>
    <r>
      <t xml:space="preserve">Xà bông 
</t>
    </r>
    <r>
      <rPr>
        <sz val="10"/>
        <rFont val="標楷體"/>
        <family val="4"/>
        <charset val="136"/>
      </rPr>
      <t>脫脂</t>
    </r>
    <r>
      <rPr>
        <sz val="10"/>
        <rFont val="VNI-Times"/>
      </rPr>
      <t xml:space="preserve"> (5,6)</t>
    </r>
  </si>
  <si>
    <r>
      <t xml:space="preserve">Xà bông
</t>
    </r>
    <r>
      <rPr>
        <sz val="10"/>
        <rFont val="標楷體"/>
        <family val="4"/>
        <charset val="136"/>
      </rPr>
      <t>脫脂</t>
    </r>
    <r>
      <rPr>
        <sz val="10"/>
        <rFont val="VNI-Times"/>
      </rPr>
      <t xml:space="preserve">  (2,3,4)</t>
    </r>
  </si>
  <si>
    <t>Người xác nhận
驗證者</t>
  </si>
  <si>
    <t>Nồng độ xác nhận
確認濃度</t>
  </si>
  <si>
    <t>Thực tế bổ sung
實際補充量</t>
  </si>
  <si>
    <t>Nộng độ hóa nghiệm化驗濃度</t>
  </si>
  <si>
    <t>Hạng mục項目</t>
  </si>
  <si>
    <t>Thời gian hóa nghiệm化驗時間</t>
  </si>
  <si>
    <t>BẢNG GHI CHÉP BỔ SUNG HÓA CHẤT  化藥液添加記錄表 (XT- 001C)</t>
  </si>
  <si>
    <t>BS-XT</t>
  </si>
  <si>
    <t>Đơn vị nồng độ
單位濃度</t>
  </si>
  <si>
    <t>Đơn vị BS
單位補充</t>
  </si>
  <si>
    <t>%VV</t>
  </si>
  <si>
    <t>lượng yêu cầu BS
要求補充量</t>
  </si>
  <si>
    <t>TỔNG
lượng yêu cầu BS</t>
  </si>
  <si>
    <t>TỔNG
Thực tế bổ sung</t>
  </si>
  <si>
    <t>3.RL G tt</t>
  </si>
  <si>
    <t>QC- E</t>
  </si>
  <si>
    <t>4.Zn Ni.kh</t>
  </si>
  <si>
    <t>3.RL G</t>
  </si>
  <si>
    <t>4.RL F tt</t>
  </si>
  <si>
    <t>QC-1F</t>
  </si>
  <si>
    <t>4.RL F</t>
  </si>
  <si>
    <t>QC- XT</t>
  </si>
  <si>
    <t>PT TAP CHAT</t>
  </si>
  <si>
    <t>210~290
(250±40)</t>
  </si>
  <si>
    <t>120~150
(135±15)</t>
  </si>
  <si>
    <r>
      <t>55~65ºC
(55±3</t>
    </r>
    <r>
      <rPr>
        <vertAlign val="superscript"/>
        <sz val="12"/>
        <color theme="1"/>
        <rFont val="Times New Roman"/>
        <family val="1"/>
      </rPr>
      <t>o</t>
    </r>
    <r>
      <rPr>
        <sz val="12"/>
        <color theme="1"/>
        <rFont val="Times New Roman"/>
        <family val="1"/>
      </rPr>
      <t>C)</t>
    </r>
  </si>
  <si>
    <t>5.5~6.0</t>
  </si>
  <si>
    <r>
      <t>45~60ºC
(50±2</t>
    </r>
    <r>
      <rPr>
        <vertAlign val="superscript"/>
        <sz val="12"/>
        <color theme="1"/>
        <rFont val="Times New Roman"/>
        <family val="1"/>
      </rPr>
      <t>o</t>
    </r>
    <r>
      <rPr>
        <sz val="12"/>
        <color theme="1"/>
        <rFont val="Times New Roman"/>
        <family val="1"/>
      </rPr>
      <t>C)</t>
    </r>
  </si>
  <si>
    <r>
      <t>45~65ºC
(55±8</t>
    </r>
    <r>
      <rPr>
        <vertAlign val="superscript"/>
        <sz val="10"/>
        <color theme="1"/>
        <rFont val="Times New Roman"/>
        <family val="1"/>
      </rPr>
      <t>o</t>
    </r>
    <r>
      <rPr>
        <sz val="10"/>
        <color theme="1"/>
        <rFont val="Times New Roman"/>
        <family val="1"/>
      </rPr>
      <t>C)</t>
    </r>
  </si>
  <si>
    <r>
      <t>18~25ºC
(22±2</t>
    </r>
    <r>
      <rPr>
        <vertAlign val="superscript"/>
        <sz val="10"/>
        <color theme="1"/>
        <rFont val="Times New Roman"/>
        <family val="1"/>
      </rPr>
      <t>o</t>
    </r>
    <r>
      <rPr>
        <sz val="10"/>
        <color theme="1"/>
        <rFont val="Times New Roman"/>
        <family val="1"/>
      </rPr>
      <t>C)</t>
    </r>
  </si>
  <si>
    <r>
      <t>100~110ºC
(100±5</t>
    </r>
    <r>
      <rPr>
        <vertAlign val="superscript"/>
        <sz val="10"/>
        <color theme="1"/>
        <rFont val="Times New Roman"/>
        <family val="1"/>
      </rPr>
      <t>o</t>
    </r>
    <r>
      <rPr>
        <sz val="10"/>
        <color theme="1"/>
        <rFont val="Times New Roman"/>
        <family val="1"/>
      </rPr>
      <t>C)</t>
    </r>
  </si>
  <si>
    <t>Tổng chua TA 全酸
40~60 (50)</t>
  </si>
  <si>
    <t>QC-ML</t>
  </si>
  <si>
    <t>QC-XĐ</t>
  </si>
  <si>
    <t>Phạm vi kiểm soát 範圍值</t>
  </si>
  <si>
    <t>Giới hạn kiểm soát 管控值</t>
  </si>
  <si>
    <t>&lt;100</t>
  </si>
  <si>
    <r>
      <rPr>
        <sz val="10"/>
        <rFont val="細明體"/>
        <family val="3"/>
        <charset val="136"/>
      </rPr>
      <t>＜</t>
    </r>
    <r>
      <rPr>
        <sz val="10"/>
        <rFont val="Times New Roman"/>
        <family val="1"/>
      </rPr>
      <t>10000</t>
    </r>
  </si>
  <si>
    <r>
      <rPr>
        <sz val="10"/>
        <rFont val="細明體"/>
        <family val="3"/>
        <charset val="136"/>
      </rPr>
      <t>＜</t>
    </r>
    <r>
      <rPr>
        <sz val="10"/>
        <rFont val="Times New Roman"/>
        <family val="1"/>
      </rPr>
      <t>70</t>
    </r>
  </si>
  <si>
    <r>
      <rPr>
        <sz val="10"/>
        <rFont val="細明體"/>
        <family val="3"/>
        <charset val="136"/>
      </rPr>
      <t>＜</t>
    </r>
    <r>
      <rPr>
        <sz val="10"/>
        <rFont val="Times New Roman"/>
        <family val="1"/>
      </rPr>
      <t>80</t>
    </r>
  </si>
  <si>
    <r>
      <rPr>
        <sz val="10"/>
        <rFont val="細明體"/>
        <family val="3"/>
        <charset val="136"/>
      </rPr>
      <t>＜</t>
    </r>
    <r>
      <rPr>
        <sz val="10"/>
        <rFont val="Times New Roman"/>
        <family val="1"/>
      </rPr>
      <t>5</t>
    </r>
  </si>
  <si>
    <t>＜</t>
  </si>
  <si>
    <t>&lt;500</t>
  </si>
  <si>
    <r>
      <rPr>
        <sz val="10"/>
        <rFont val="細明體"/>
        <family val="3"/>
        <charset val="136"/>
      </rPr>
      <t>＜</t>
    </r>
    <r>
      <rPr>
        <sz val="10"/>
        <rFont val="Times New Roman"/>
        <family val="1"/>
      </rPr>
      <t>7000</t>
    </r>
  </si>
  <si>
    <t>＜5</t>
  </si>
  <si>
    <r>
      <rPr>
        <sz val="10"/>
        <rFont val="細明體"/>
        <family val="3"/>
        <charset val="136"/>
      </rPr>
      <t>＜</t>
    </r>
    <r>
      <rPr>
        <sz val="10"/>
        <rFont val="Times New Roman"/>
        <family val="1"/>
      </rPr>
      <t>15000</t>
    </r>
  </si>
  <si>
    <r>
      <rPr>
        <sz val="10"/>
        <rFont val="細明體"/>
        <family val="3"/>
        <charset val="136"/>
      </rPr>
      <t>＜</t>
    </r>
    <r>
      <rPr>
        <sz val="10"/>
        <rFont val="Times New Roman"/>
        <family val="1"/>
      </rPr>
      <t>12000</t>
    </r>
  </si>
  <si>
    <t>&lt;40</t>
  </si>
  <si>
    <r>
      <rPr>
        <sz val="10"/>
        <rFont val="細明體"/>
        <family val="3"/>
        <charset val="136"/>
      </rPr>
      <t>＜</t>
    </r>
    <r>
      <rPr>
        <sz val="10"/>
        <rFont val="Times New Roman"/>
        <family val="1"/>
      </rPr>
      <t>6000</t>
    </r>
  </si>
  <si>
    <t>NG.YEN</t>
  </si>
  <si>
    <t>CA 1:</t>
  </si>
  <si>
    <t>ĐỢT 1</t>
  </si>
  <si>
    <t>ĐỢT 2</t>
  </si>
  <si>
    <t>ĐỢT 3</t>
  </si>
  <si>
    <t>RL</t>
  </si>
  <si>
    <t>XL</t>
  </si>
  <si>
    <t>XĐ</t>
  </si>
  <si>
    <t>HUCELL</t>
  </si>
  <si>
    <t>CA 2:</t>
  </si>
  <si>
    <t>THỜI GIAN GỬI BC LÊN LINE</t>
  </si>
  <si>
    <t xml:space="preserve">Nồng độ 
濃度 </t>
  </si>
  <si>
    <t>Y/C BS
要求補充量</t>
  </si>
  <si>
    <r>
      <t xml:space="preserve">Thêm hóa chất 
</t>
    </r>
    <r>
      <rPr>
        <b/>
        <sz val="10"/>
        <color rgb="FF0000FF"/>
        <rFont val="Times New Roman"/>
        <family val="1"/>
      </rPr>
      <t>CÓ</t>
    </r>
    <r>
      <rPr>
        <sz val="10"/>
        <rFont val="Times New Roman"/>
        <family val="1"/>
      </rPr>
      <t>(có bổ sung)</t>
    </r>
  </si>
  <si>
    <t>(40±3)</t>
  </si>
  <si>
    <t>(26±2)</t>
  </si>
  <si>
    <t>(25±5)</t>
  </si>
  <si>
    <t>BẢNG GHI CHÉP BỔ SUNG HÓA CHẤT  化藥液添加記錄表 (XT- 001C) Zn-Ni</t>
  </si>
  <si>
    <r>
      <t xml:space="preserve">BAÙO CAÙO KEÁT QUAÛ HOÙA NGHIEÄM HAÈNG NGAØY Zn-Ni
 </t>
    </r>
    <r>
      <rPr>
        <sz val="14"/>
        <rFont val="細明體"/>
        <family val="3"/>
        <charset val="136"/>
      </rPr>
      <t>吊電化驗結果報告</t>
    </r>
  </si>
  <si>
    <r>
      <t>55~65ºC
(60±3</t>
    </r>
    <r>
      <rPr>
        <vertAlign val="superscript"/>
        <sz val="12"/>
        <color theme="1"/>
        <rFont val="Times New Roman"/>
        <family val="1"/>
      </rPr>
      <t>o</t>
    </r>
    <r>
      <rPr>
        <sz val="12"/>
        <color theme="1"/>
        <rFont val="Times New Roman"/>
        <family val="1"/>
      </rPr>
      <t>C)</t>
    </r>
  </si>
  <si>
    <r>
      <t>42~47ºC
(44.5±2</t>
    </r>
    <r>
      <rPr>
        <vertAlign val="superscript"/>
        <sz val="12"/>
        <color theme="1"/>
        <rFont val="Times New Roman"/>
        <family val="1"/>
      </rPr>
      <t>o</t>
    </r>
    <r>
      <rPr>
        <sz val="12"/>
        <color theme="1"/>
        <rFont val="Times New Roman"/>
        <family val="1"/>
      </rPr>
      <t>C)</t>
    </r>
  </si>
  <si>
    <r>
      <t>55~65ºC
(60±3</t>
    </r>
    <r>
      <rPr>
        <vertAlign val="superscript"/>
        <sz val="10"/>
        <color theme="1"/>
        <rFont val="Times New Roman"/>
        <family val="1"/>
      </rPr>
      <t>o</t>
    </r>
    <r>
      <rPr>
        <sz val="10"/>
        <color theme="1"/>
        <rFont val="Times New Roman"/>
        <family val="1"/>
      </rPr>
      <t>C)</t>
    </r>
  </si>
  <si>
    <r>
      <t>42~47ºC
(44.5±2</t>
    </r>
    <r>
      <rPr>
        <vertAlign val="superscript"/>
        <sz val="10"/>
        <color theme="1"/>
        <rFont val="Times New Roman"/>
        <family val="1"/>
      </rPr>
      <t>o</t>
    </r>
    <r>
      <rPr>
        <sz val="10"/>
        <color theme="1"/>
        <rFont val="Times New Roman"/>
        <family val="1"/>
      </rPr>
      <t>C)</t>
    </r>
  </si>
  <si>
    <t>07:15</t>
  </si>
  <si>
    <t>11:15</t>
  </si>
  <si>
    <t>15:15</t>
  </si>
  <si>
    <t>19:15</t>
  </si>
  <si>
    <t>23:15</t>
  </si>
  <si>
    <t>03:15</t>
  </si>
  <si>
    <t>13:30</t>
  </si>
  <si>
    <t>17:00</t>
  </si>
  <si>
    <t>21:00</t>
  </si>
  <si>
    <t>02:00</t>
  </si>
  <si>
    <t>05:00</t>
  </si>
  <si>
    <t>7:15</t>
  </si>
  <si>
    <t>17:30</t>
  </si>
  <si>
    <t>05:30</t>
  </si>
  <si>
    <t>Trang</t>
  </si>
  <si>
    <t>9:15-9:45</t>
  </si>
  <si>
    <t>11:15-11:45</t>
  </si>
  <si>
    <t>16:00-16:30</t>
  </si>
  <si>
    <t>17:30-18:00</t>
  </si>
  <si>
    <t>21:15-21:45</t>
  </si>
  <si>
    <t>23:15-23:45</t>
  </si>
  <si>
    <t>3:30-4:00</t>
  </si>
  <si>
    <t>5:30-6:00</t>
  </si>
  <si>
    <t>Nộng độ sau BS 1h</t>
  </si>
  <si>
    <r>
      <t>生產線別：無氰鹼滾電E線</t>
    </r>
    <r>
      <rPr>
        <sz val="16"/>
        <rFont val="Times New Roman"/>
        <family val="1"/>
      </rPr>
      <t xml:space="preserve"> (XL-001E)  </t>
    </r>
  </si>
  <si>
    <r>
      <t>生產線別：無氰鹼滾電F線</t>
    </r>
    <r>
      <rPr>
        <sz val="16"/>
        <rFont val="Times New Roman"/>
        <family val="1"/>
      </rPr>
      <t xml:space="preserve"> (XL-001F)  </t>
    </r>
  </si>
  <si>
    <r>
      <t xml:space="preserve">生產線別：無氰鹼吊電C線 </t>
    </r>
    <r>
      <rPr>
        <sz val="16"/>
        <rFont val="Times New Roman"/>
        <family val="1"/>
      </rPr>
      <t>(XT-000C)</t>
    </r>
  </si>
  <si>
    <t>Xà bông (1)脫脂 
 CT-21A</t>
  </si>
  <si>
    <t>Xà bông (2)脫脂 
 CT-21A</t>
  </si>
  <si>
    <t>điện giải(1)+電解 
EC-508A</t>
  </si>
  <si>
    <t>EC-508A: 25kg/EC-508B:4-10Lit</t>
  </si>
  <si>
    <t xml:space="preserve">điện giải (2)+電解 
EC-508A
 </t>
  </si>
  <si>
    <t xml:space="preserve"> Xà bông  脫脂 (2,3,4)
CT-21A</t>
  </si>
  <si>
    <t>Xà bông  脫脂  (5,6)
CT-21A</t>
  </si>
  <si>
    <t>Điện giải  電解 (8)
EC-508A</t>
  </si>
  <si>
    <t>Điện giải  電解  (20,21)
EC-508A</t>
  </si>
  <si>
    <t>CT-21A: 25kg/CT-21B: 7-10L</t>
  </si>
  <si>
    <t>Nhiệt độ bồn màu Cr2O3 (Niken) 三價鉻 溫度</t>
  </si>
  <si>
    <r>
      <t xml:space="preserve">Phạm vi kiểm soát
</t>
    </r>
    <r>
      <rPr>
        <sz val="12"/>
        <color theme="1"/>
        <rFont val="細明體"/>
        <family val="3"/>
        <charset val="136"/>
      </rPr>
      <t>範圍值</t>
    </r>
  </si>
  <si>
    <t>ml/
1000AH</t>
  </si>
  <si>
    <t>EC-508A: 25kg/EC-508B:6-10L</t>
  </si>
  <si>
    <r>
      <t xml:space="preserve">đánh </t>
    </r>
    <r>
      <rPr>
        <sz val="12"/>
        <color rgb="FFC00000"/>
        <rFont val="Times New Roman"/>
        <family val="1"/>
      </rPr>
      <t>Thứ,</t>
    </r>
    <r>
      <rPr>
        <sz val="12"/>
        <color theme="1"/>
        <rFont val="Times New Roman"/>
        <family val="1"/>
      </rPr>
      <t xml:space="preserve"> '</t>
    </r>
    <r>
      <rPr>
        <sz val="12"/>
        <color rgb="FFC00000"/>
        <rFont val="Times New Roman"/>
        <family val="1"/>
      </rPr>
      <t>năm/tháng/ngày</t>
    </r>
    <r>
      <rPr>
        <sz val="12"/>
        <color theme="1"/>
        <rFont val="Times New Roman"/>
        <family val="1"/>
      </rPr>
      <t xml:space="preserve"> 
vào ô bên</t>
    </r>
  </si>
  <si>
    <t xml:space="preserve">Zn-Niken Plating- NaOH </t>
  </si>
  <si>
    <r>
      <rPr>
        <sz val="16"/>
        <color theme="1"/>
        <rFont val="細明體"/>
        <family val="3"/>
        <charset val="136"/>
      </rPr>
      <t>生產線別：</t>
    </r>
    <r>
      <rPr>
        <sz val="16"/>
        <color theme="1"/>
        <rFont val="Times New Roman"/>
        <family val="1"/>
      </rPr>
      <t>XI ĐEN - epoxy</t>
    </r>
  </si>
  <si>
    <t>1.6~2.1</t>
  </si>
  <si>
    <t xml:space="preserve"> XT-000C  </t>
  </si>
  <si>
    <t>TIEU CHUAN</t>
  </si>
  <si>
    <t>7:00</t>
  </si>
  <si>
    <t>11:00</t>
  </si>
  <si>
    <t>CÓ (có BS thực tế) 實際補充量</t>
  </si>
  <si>
    <r>
      <t xml:space="preserve">Nhiệt độ nước nóng siêm âm
</t>
    </r>
    <r>
      <rPr>
        <sz val="12"/>
        <rFont val="細明體"/>
        <family val="3"/>
        <charset val="136"/>
      </rPr>
      <t>超音波熱水洗槽</t>
    </r>
    <r>
      <rPr>
        <sz val="12"/>
        <rFont val="Times New Roman"/>
        <family val="1"/>
      </rPr>
      <t>(39)</t>
    </r>
  </si>
  <si>
    <t xml:space="preserve"> </t>
  </si>
  <si>
    <t>Zn-Ni</t>
  </si>
  <si>
    <r>
      <t>BAÙO CAÙO KEÁT QUAÛ HOÙA NGHIEÄM HAÈNG NGAØY- Zn-Ni  (XT- 000C)</t>
    </r>
    <r>
      <rPr>
        <u/>
        <sz val="16"/>
        <rFont val="VNI-Times"/>
      </rPr>
      <t xml:space="preserve">
</t>
    </r>
    <r>
      <rPr>
        <sz val="16"/>
        <rFont val="VNI-Times"/>
      </rPr>
      <t xml:space="preserve"> </t>
    </r>
    <r>
      <rPr>
        <sz val="16"/>
        <rFont val="標楷體"/>
        <family val="4"/>
        <charset val="136"/>
      </rPr>
      <t>吊電化驗結果報告 - Zn-Ni(XT-000C)</t>
    </r>
  </si>
  <si>
    <t>STOP</t>
  </si>
  <si>
    <r>
      <t>40~60
(50</t>
    </r>
    <r>
      <rPr>
        <sz val="12"/>
        <rFont val="Calibri"/>
        <family val="2"/>
      </rPr>
      <t>±5)</t>
    </r>
  </si>
  <si>
    <t/>
  </si>
  <si>
    <t>XM</t>
  </si>
  <si>
    <t>(7±1)</t>
  </si>
  <si>
    <t>(5.5± 0.5)</t>
  </si>
  <si>
    <t>BÁO CÁO KẾT QUẢ HÓA NGHIỆM HÀNG NGÀY 报告每日化学测试结果</t>
  </si>
  <si>
    <t>13:00</t>
  </si>
  <si>
    <t>(90±5)</t>
  </si>
  <si>
    <t>Ghi chú  筆記</t>
  </si>
  <si>
    <t>(135 ± 5)</t>
  </si>
  <si>
    <t>130~140</t>
  </si>
  <si>
    <t>(8.5±1)</t>
  </si>
  <si>
    <t>(30±4)</t>
  </si>
  <si>
    <t>(10±2)</t>
  </si>
  <si>
    <t>(140±7)</t>
  </si>
  <si>
    <t>20~35</t>
  </si>
  <si>
    <t>(2±0.2 )</t>
  </si>
  <si>
    <t>30~40</t>
  </si>
  <si>
    <t>(34±3)</t>
  </si>
  <si>
    <t>80~100</t>
  </si>
  <si>
    <t>(60±10)</t>
  </si>
  <si>
    <t>22~35</t>
  </si>
  <si>
    <t>(50±10)</t>
  </si>
  <si>
    <t>22~28</t>
  </si>
  <si>
    <t>(25±3)</t>
  </si>
  <si>
    <t>(1±0.4)</t>
  </si>
  <si>
    <t>0.126=(0.1*6.301)/5 
CNaOH=0.1
VHCL=5</t>
  </si>
  <si>
    <t>đổi QC ngày 11.11.2023 tất cả 3 chuyền</t>
  </si>
  <si>
    <t>IS16</t>
  </si>
  <si>
    <t>IS17</t>
  </si>
  <si>
    <t xml:space="preserve">40~50 </t>
  </si>
  <si>
    <t>(2±0.1)</t>
  </si>
  <si>
    <t>(22±5) =17~27</t>
  </si>
  <si>
    <t>7~10</t>
  </si>
  <si>
    <t>(1±0.4)=0.6~1.4</t>
  </si>
  <si>
    <t>(2.2±0.1)</t>
  </si>
  <si>
    <t>1.8~2.2</t>
  </si>
  <si>
    <t>Nồng độ   Cr2O3 （K) 三價鉻</t>
  </si>
  <si>
    <t>..\..\..\2. Data hoa nghiem\1. PP HÓA NGHIỆM CÁC BỒN-XLBM\MÀU K JASCO-tiêu chuẩn tác nghiệp hyprotech.pdf</t>
  </si>
  <si>
    <t xml:space="preserve">NaOH: </t>
  </si>
  <si>
    <t xml:space="preserve">Zn: </t>
  </si>
  <si>
    <r>
      <t>chất m</t>
    </r>
    <r>
      <rPr>
        <sz val="11"/>
        <color rgb="FF0000FF"/>
        <rFont val="新細明體"/>
        <family val="2"/>
        <charset val="134"/>
      </rPr>
      <t>ề</t>
    </r>
    <r>
      <rPr>
        <sz val="11"/>
        <color rgb="FF0000FF"/>
        <rFont val="Times New Roman"/>
        <family val="1"/>
      </rPr>
      <t xml:space="preserve">m(dẻo): </t>
    </r>
  </si>
  <si>
    <t xml:space="preserve">chát bóng: </t>
  </si>
  <si>
    <t xml:space="preserve">chất khử tạp: </t>
  </si>
  <si>
    <t>30-40 mL/L</t>
  </si>
  <si>
    <t>0.2 mL/L</t>
  </si>
  <si>
    <t>0.5-1 mL/L</t>
  </si>
  <si>
    <t>nhiệt độ:</t>
  </si>
  <si>
    <r>
      <t xml:space="preserve">22-28 </t>
    </r>
    <r>
      <rPr>
        <vertAlign val="superscript"/>
        <sz val="11"/>
        <color rgb="FF0000FF"/>
        <rFont val="Times New Roman"/>
        <family val="1"/>
      </rPr>
      <t>O</t>
    </r>
    <r>
      <rPr>
        <sz val="11"/>
        <color rgb="FF0000FF"/>
        <rFont val="Times New Roman"/>
        <family val="1"/>
      </rPr>
      <t>C</t>
    </r>
  </si>
  <si>
    <t>7 - 10 g/L</t>
  </si>
  <si>
    <t>135 -150  g/L</t>
  </si>
  <si>
    <t>V=m/D, 
D=1.51: TRỌNG LƯƠNG RIÊNG</t>
  </si>
  <si>
    <t>khi phân tích tạp Fe cao thì cho H2O2 vào để khử tạp Fe</t>
  </si>
  <si>
    <t>nếu  xi amoni thì thêm H2O2 hàng ngày</t>
  </si>
  <si>
    <t>(2.1±0.1)</t>
  </si>
  <si>
    <t xml:space="preserve">  Cr2O3 （K) (49)
三價鉻 FINIDIP 124</t>
  </si>
  <si>
    <t>Màu (I)  (Lanthane 318)
 (XT-0C)</t>
  </si>
  <si>
    <t>Màu (K) (Finidip 124)
 (XT-0C)</t>
  </si>
  <si>
    <r>
      <t>Zn</t>
    </r>
    <r>
      <rPr>
        <vertAlign val="superscript"/>
        <sz val="11"/>
        <color theme="1"/>
        <rFont val="Times New Roman"/>
        <family val="1"/>
      </rPr>
      <t>2+</t>
    </r>
  </si>
  <si>
    <t>BỔ SUNG CR3+ JASCO</t>
  </si>
  <si>
    <t xml:space="preserve"> Noàng ñoä   Cr2O3  (45,46)-JASCO</t>
  </si>
  <si>
    <t>HCl Đặc 13</t>
  </si>
  <si>
    <t>HCl Đặc 14</t>
  </si>
  <si>
    <t>HCl Đặc  15,16,17</t>
  </si>
  <si>
    <t>Nồng độ acid đặc (13)
鹽酸 濃度</t>
  </si>
  <si>
    <t>Nồng độ acid đặc (14)
鹽酸 濃度</t>
  </si>
  <si>
    <t>thời gian pha mới bồn màu</t>
  </si>
  <si>
    <t>I</t>
  </si>
  <si>
    <t>K</t>
  </si>
  <si>
    <t>1E</t>
  </si>
  <si>
    <t>1F</t>
  </si>
  <si>
    <t>MÀU NI</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</si>
  <si>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</si>
  <si>
    <t>45~60ºC
(50±2oC)</t>
  </si>
  <si>
    <t>03:00</t>
  </si>
  <si>
    <t>Ca II,</t>
  </si>
  <si>
    <t>Màu (I) (Lanthane 318)
(XL-1F)</t>
  </si>
  <si>
    <t>Clean A</t>
  </si>
  <si>
    <t>Clean B</t>
  </si>
  <si>
    <t>Clean A: 25kg/Clean B: 7-10L</t>
  </si>
  <si>
    <t>NaOH: 25kg/Clean B:6-10L</t>
  </si>
  <si>
    <t>3.XT-C KH</t>
  </si>
  <si>
    <t>3'.XT-C KH-HL</t>
  </si>
  <si>
    <t xml:space="preserve">3''.XT-C KH-JC </t>
  </si>
  <si>
    <t>Chất bóng 
光亮劑</t>
  </si>
  <si>
    <t>Chất mềm
開缸劑</t>
  </si>
  <si>
    <t>Chất mềm 
開缸劑</t>
  </si>
  <si>
    <r>
      <t xml:space="preserve">Chất bóng 
</t>
    </r>
    <r>
      <rPr>
        <sz val="11"/>
        <color theme="1"/>
        <rFont val="細明體"/>
        <family val="3"/>
        <charset val="136"/>
      </rPr>
      <t>光亮劑</t>
    </r>
  </si>
  <si>
    <t>..\..\..\2. Data hoa nghiem\1. PP HÓA NGHIỆM CÁC BỒN-XLBM\HNO3-XM, XT.pdf</t>
  </si>
  <si>
    <t>..\..\..\2. Data hoa nghiem\1. PP HÓA NGHIỆM CÁC BỒN-XLBM\MÀU K-1F,XT.pdf</t>
  </si>
  <si>
    <t>Hạng mục
項目</t>
  </si>
  <si>
    <t>XL-1E</t>
  </si>
  <si>
    <t>Chuyền</t>
  </si>
  <si>
    <t>XL-1F</t>
  </si>
  <si>
    <t>XT-00C</t>
  </si>
  <si>
    <t>MÀNG LOA</t>
  </si>
  <si>
    <t>RỬA LIỆU</t>
  </si>
  <si>
    <t>SOP HÓA NGHIỆM</t>
  </si>
  <si>
    <t>SOP HOA NGHIEM</t>
  </si>
  <si>
    <r>
      <t xml:space="preserve">Noàng ñoä  axit ñaëc (13)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</si>
  <si>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</si>
  <si>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t>
    </r>
    <r>
      <rPr>
        <sz val="11"/>
        <color theme="1"/>
        <rFont val="標楷體"/>
        <family val="4"/>
        <charset val="136"/>
      </rPr>
      <t>鹽酸</t>
    </r>
    <r>
      <rPr>
        <sz val="11"/>
        <color theme="1"/>
        <rFont val="VNI-Times"/>
      </rPr>
      <t xml:space="preserve"> </t>
    </r>
    <r>
      <rPr>
        <sz val="11"/>
        <color theme="1"/>
        <rFont val="標楷體"/>
        <family val="4"/>
        <charset val="136"/>
      </rPr>
      <t xml:space="preserve">濃度     </t>
    </r>
    <r>
      <rPr>
        <sz val="11"/>
        <color theme="1"/>
        <rFont val="Times New Roman"/>
        <family val="1"/>
      </rPr>
      <t>(15,16,17)</t>
    </r>
  </si>
  <si>
    <t>Nồng độ acid loãng (13)
稀酸 濃度</t>
  </si>
  <si>
    <t>Nồng độ acid đặc (12)
鹽酸 濃度</t>
  </si>
  <si>
    <t>acid 12</t>
  </si>
  <si>
    <r>
      <t xml:space="preserve">Noàng ñoä  axit ñaëc 1 (13)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</si>
  <si>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1 (14)
</t>
    </r>
    <r>
      <rPr>
        <sz val="11"/>
        <color indexed="8"/>
        <rFont val="標楷體"/>
        <family val="4"/>
        <charset val="136"/>
      </rPr>
      <t>鹽酸</t>
    </r>
    <r>
      <rPr>
        <sz val="11"/>
        <color indexed="8"/>
        <rFont val="VNI-Times"/>
      </rPr>
      <t xml:space="preserve"> </t>
    </r>
    <r>
      <rPr>
        <sz val="11"/>
        <color indexed="8"/>
        <rFont val="標楷體"/>
        <family val="4"/>
        <charset val="136"/>
      </rPr>
      <t>濃度</t>
    </r>
  </si>
  <si>
    <t>số 12</t>
  </si>
  <si>
    <r>
      <t xml:space="preserve">Noàng ñoä  axit ñaëc (12)
</t>
    </r>
    <r>
      <rPr>
        <sz val="11"/>
        <color theme="1"/>
        <rFont val="標楷體"/>
        <family val="4"/>
        <charset val="136"/>
      </rPr>
      <t>鹽酸</t>
    </r>
    <r>
      <rPr>
        <sz val="11"/>
        <color theme="1"/>
        <rFont val="VNI-Times"/>
      </rPr>
      <t xml:space="preserve"> </t>
    </r>
    <r>
      <rPr>
        <sz val="11"/>
        <color theme="1"/>
        <rFont val="標楷體"/>
        <family val="4"/>
        <charset val="136"/>
      </rPr>
      <t>濃度</t>
    </r>
  </si>
  <si>
    <t>HCl Đặc 12</t>
  </si>
  <si>
    <t>Ca 1,</t>
  </si>
  <si>
    <t>Ca 2,</t>
  </si>
  <si>
    <t xml:space="preserve"> Noàng ñoä   Cr2O3 (Niken) 三價鉻</t>
  </si>
  <si>
    <t>Nhiệt độ bồn màu Cr2O3 (Niken)  三價鉻 溫度</t>
  </si>
  <si>
    <t>XI ĐEN
15:00</t>
  </si>
  <si>
    <t>XI ĐEN
03:00</t>
  </si>
  <si>
    <t>15~25</t>
  </si>
  <si>
    <t>(18±2)</t>
  </si>
  <si>
    <t>bổ sung</t>
  </si>
  <si>
    <t>tiêu chuẩn</t>
  </si>
  <si>
    <t>kết quả</t>
  </si>
  <si>
    <t>..\..\..\2. Data hoa nghiem\1. PP HÓA NGHIỆM CÁC BỒN-XLBM\xđ-xb1.pdf</t>
  </si>
  <si>
    <t>..\..\..\2. Data hoa nghiem\1. PP HÓA NGHIỆM CÁC BỒN-XLBM\xđ-xb2,3.pdf</t>
  </si>
  <si>
    <t>..\..\..\2. Data hoa nghiem\1. PP HÓA NGHIỆM CÁC BỒN-XLBM\xđ-acid phân ly.pdf</t>
  </si>
  <si>
    <t>..\..\..\2. Data hoa nghiem\1. PP HÓA NGHIỆM CÁC BỒN-XLBM\xđ-tổng chua.pdf</t>
  </si>
  <si>
    <t>..\..\..\2. Data hoa nghiem\1. PP HÓA NGHIỆM CÁC BỒN-XLBM\xđ-chất rắn.pdf</t>
  </si>
  <si>
    <t>..\..\..\2. Data hoa nghiem\1. PP HÓA NGHIỆM CÁC BỒN-XLBM\xđ-tỷ lệ sắc tố.pdf</t>
  </si>
  <si>
    <t>Pha mới: 2024/03/27</t>
  </si>
  <si>
    <t>nhiệt độ</t>
  </si>
  <si>
    <t>giờ bắt đầu</t>
  </si>
  <si>
    <t>gia nhiệt</t>
  </si>
  <si>
    <t xml:space="preserve"> quy định</t>
  </si>
  <si>
    <t>giờ kết thúc</t>
  </si>
  <si>
    <t>15'</t>
  </si>
  <si>
    <t>30'</t>
  </si>
  <si>
    <t>5'</t>
  </si>
  <si>
    <t>10'</t>
  </si>
  <si>
    <t>3h</t>
  </si>
  <si>
    <t>tắt lò nung</t>
  </si>
  <si>
    <t>gấp ra khỏi lò, để nguội --&gt; cân</t>
  </si>
  <si>
    <t>2h</t>
  </si>
  <si>
    <r>
      <t>105</t>
    </r>
    <r>
      <rPr>
        <b/>
        <vertAlign val="superscript"/>
        <sz val="14"/>
        <color theme="1"/>
        <rFont val="Times New Roman"/>
        <family val="1"/>
      </rPr>
      <t>O</t>
    </r>
    <r>
      <rPr>
        <b/>
        <sz val="14"/>
        <color theme="1"/>
        <rFont val="Times New Roman"/>
        <family val="1"/>
      </rPr>
      <t>C</t>
    </r>
  </si>
  <si>
    <r>
      <t>135</t>
    </r>
    <r>
      <rPr>
        <b/>
        <vertAlign val="superscript"/>
        <sz val="14"/>
        <color theme="1"/>
        <rFont val="Times New Roman"/>
        <family val="1"/>
      </rPr>
      <t>O</t>
    </r>
    <r>
      <rPr>
        <b/>
        <sz val="14"/>
        <color theme="1"/>
        <rFont val="Times New Roman"/>
        <family val="1"/>
      </rPr>
      <t>C</t>
    </r>
  </si>
  <si>
    <r>
      <t>167</t>
    </r>
    <r>
      <rPr>
        <b/>
        <vertAlign val="superscript"/>
        <sz val="14"/>
        <color theme="1"/>
        <rFont val="Times New Roman"/>
        <family val="1"/>
      </rPr>
      <t>O</t>
    </r>
    <r>
      <rPr>
        <b/>
        <sz val="14"/>
        <color theme="1"/>
        <rFont val="Times New Roman"/>
        <family val="1"/>
      </rPr>
      <t>C</t>
    </r>
  </si>
  <si>
    <r>
      <t>760</t>
    </r>
    <r>
      <rPr>
        <b/>
        <vertAlign val="superscript"/>
        <sz val="14"/>
        <color theme="1"/>
        <rFont val="Times New Roman"/>
        <family val="1"/>
      </rPr>
      <t>O</t>
    </r>
    <r>
      <rPr>
        <b/>
        <sz val="14"/>
        <color theme="1"/>
        <rFont val="Times New Roman"/>
        <family val="1"/>
      </rPr>
      <t>C</t>
    </r>
  </si>
  <si>
    <t>Cr2O3   三價鉻Ni-       PH
HALO Pha mới: 2024/03/30</t>
  </si>
  <si>
    <t>Pha mới: 2024/05/18</t>
  </si>
  <si>
    <t>Pha mới: 2024/05/19</t>
  </si>
  <si>
    <t>MÀU NIKEN</t>
  </si>
  <si>
    <t xml:space="preserve">Cr2O3   三價鉻Ni-Ken       </t>
  </si>
  <si>
    <t>ml/l</t>
  </si>
  <si>
    <t>Thứ 4,</t>
  </si>
  <si>
    <t>Mi</t>
  </si>
  <si>
    <t>2024/05/22</t>
  </si>
  <si>
    <t xml:space="preserve"> Màu  129A  (Niken) 三價鉻 溫度</t>
  </si>
  <si>
    <t>KO SX</t>
  </si>
  <si>
    <t>có</t>
  </si>
  <si>
    <t>ok</t>
  </si>
  <si>
    <t>5/22/2024  9:45:00 AM</t>
  </si>
  <si>
    <t>5/22/2024  11:45:00 AM</t>
  </si>
  <si>
    <t>5/22/2024  4:30:00 PM</t>
  </si>
  <si>
    <t>5/22/2024  6:00:00 PM</t>
  </si>
  <si>
    <t>5/22/2024  9:45:00 PM</t>
  </si>
  <si>
    <t>Pha mới: 2024/05/22</t>
  </si>
  <si>
    <t>chưa mo máy</t>
  </si>
  <si>
    <t>chưa có hâng ko bơm</t>
  </si>
  <si>
    <t>chưa pha</t>
  </si>
  <si>
    <t>5/22/2024  11:45:00 PM</t>
  </si>
  <si>
    <t>ko xi</t>
  </si>
  <si>
    <t>5/22/2024  4:00:00 AM</t>
  </si>
  <si>
    <t xml:space="preserve">BÁO CÁO KẾT QUẢ HÓA NGHIỆM HÀNG NGÀY
表面處理生產製程管控記錄表"                            
</t>
  </si>
  <si>
    <t>5/22/2024  6:00:00 AM</t>
  </si>
</sst>
</file>

<file path=xl/styles.xml><?xml version="1.0" encoding="utf-8"?>
<styleSheet xmlns="http://schemas.openxmlformats.org/spreadsheetml/2006/main">
  <numFmts count="32">
    <numFmt numFmtId="41" formatCode="_(* #,##0_);_(* \(#,##0\);_(* &quot;-&quot;_);_(@_)"/>
    <numFmt numFmtId="43" formatCode="_(* #,##0.00_);_(* \(#,##0.00\);_(* &quot;-&quot;??_);_(@_)"/>
    <numFmt numFmtId="164" formatCode="_ * #,##0.00_ ;_ * \-#,##0.00_ ;_ * &quot;-&quot;??_ ;_ @_ "/>
    <numFmt numFmtId="165" formatCode="_-* #,##0.00_-;\-* #,##0.00_-;_-* &quot;-&quot;??_-;_-@_-"/>
    <numFmt numFmtId="166" formatCode="0.00_ "/>
    <numFmt numFmtId="167" formatCode="0_);[Red]\(0\)"/>
    <numFmt numFmtId="168" formatCode="0_ "/>
    <numFmt numFmtId="169" formatCode="0.0_);[Red]\(0.0\)"/>
    <numFmt numFmtId="170" formatCode="0.00_);[Red]\(0.00\)"/>
    <numFmt numFmtId="171" formatCode="0.0_ "/>
    <numFmt numFmtId="172" formatCode="[$-F400]h:mm:ss\ AM/PM"/>
    <numFmt numFmtId="173" formatCode="0.0%"/>
    <numFmt numFmtId="174" formatCode="yyyy/m/d;@"/>
    <numFmt numFmtId="175" formatCode="h:mm;@"/>
    <numFmt numFmtId="176" formatCode="_-* #,##0.0_-;\-* #,##0.0_-;_-* &quot;-&quot;??_-;_-@_-"/>
    <numFmt numFmtId="177" formatCode="_-* #,##0_-;\-* #,##0_-;_-* &quot;-&quot;??_-;_-@_-"/>
    <numFmt numFmtId="178" formatCode="_ * #,##0_ ;_ * \-#,##0_ ;_ * &quot;-&quot;??_ ;_ @_ "/>
    <numFmt numFmtId="179" formatCode="[$-1010000]d/m/yyyy;@"/>
    <numFmt numFmtId="180" formatCode="0.0"/>
    <numFmt numFmtId="181" formatCode="dd/mm/yy"/>
    <numFmt numFmtId="182" formatCode="_(* #,##0.0_);_(* \(#,##0.0\);_(* &quot;-&quot;_);_(@_)"/>
    <numFmt numFmtId="183" formatCode="_(* #,##0.00_);_(* \(#,##0.00\);_(* &quot;-&quot;_);_(@_)"/>
    <numFmt numFmtId="184" formatCode="0.0;[Red]0.0"/>
    <numFmt numFmtId="185" formatCode="0.00;[Red]0.00"/>
    <numFmt numFmtId="186" formatCode="0;[Red]0"/>
    <numFmt numFmtId="187" formatCode="_(* #,##0_);_(* \(#,##0\);_(* &quot;-&quot;??_);_(@_)"/>
    <numFmt numFmtId="188" formatCode="m/d/yy;@"/>
    <numFmt numFmtId="189" formatCode="m/d/yy\ h:mm;@"/>
    <numFmt numFmtId="190" formatCode="0;_퐀"/>
    <numFmt numFmtId="191" formatCode="_ * #,##0.0_ ;_ * \-#,##0.0_ ;_ * &quot;-&quot;??_ ;_ @_ "/>
    <numFmt numFmtId="192" formatCode="0.0;_퐀"/>
    <numFmt numFmtId="193" formatCode="[$-1010000]yyyy/mm/dd;@"/>
  </numFmts>
  <fonts count="252">
    <font>
      <sz val="12"/>
      <name val="新細明體"/>
      <family val="1"/>
      <charset val="13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Calibri"/>
      <family val="2"/>
      <charset val="134"/>
      <scheme val="minor"/>
    </font>
    <font>
      <sz val="11"/>
      <color theme="1"/>
      <name val="Calibri"/>
      <family val="2"/>
      <charset val="136"/>
      <scheme val="minor"/>
    </font>
    <font>
      <sz val="11"/>
      <color theme="1"/>
      <name val="Calibri"/>
      <family val="1"/>
      <charset val="136"/>
      <scheme val="minor"/>
    </font>
    <font>
      <sz val="12"/>
      <color theme="1"/>
      <name val="Calibri"/>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Calibri"/>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Calibri"/>
      <family val="2"/>
      <scheme val="minor"/>
    </font>
    <font>
      <b/>
      <sz val="11"/>
      <color rgb="FFFF0000"/>
      <name val="Calibri"/>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u/>
      <sz val="11"/>
      <name val="Times New Roman"/>
      <family val="1"/>
    </font>
    <font>
      <sz val="10"/>
      <name val="Arial"/>
      <family val="2"/>
    </font>
    <font>
      <u/>
      <sz val="12"/>
      <color theme="1"/>
      <name val="Times New Roman"/>
      <family val="1"/>
    </font>
    <font>
      <b/>
      <sz val="20"/>
      <color rgb="FFFF0000"/>
      <name val="Calibri"/>
      <family val="2"/>
      <scheme val="minor"/>
    </font>
    <font>
      <sz val="20"/>
      <color theme="1"/>
      <name val="Calibri"/>
      <family val="2"/>
      <scheme val="minor"/>
    </font>
    <font>
      <b/>
      <sz val="11"/>
      <color rgb="FF00B0F0"/>
      <name val="Calibri"/>
      <family val="2"/>
      <scheme val="minor"/>
    </font>
    <font>
      <b/>
      <sz val="26"/>
      <color rgb="FFFF0000"/>
      <name val="Calibri"/>
      <family val="2"/>
      <scheme val="minor"/>
    </font>
    <font>
      <u/>
      <sz val="12"/>
      <color theme="10"/>
      <name val="Times New Roman"/>
      <family val="1"/>
    </font>
    <font>
      <sz val="11"/>
      <name val="Calibri"/>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b/>
      <sz val="14"/>
      <color rgb="FFFF0000"/>
      <name val="Calibri"/>
      <family val="2"/>
      <scheme val="minor"/>
    </font>
    <font>
      <b/>
      <sz val="14"/>
      <color rgb="FFFF0000"/>
      <name val="Calibri"/>
      <family val="1"/>
      <charset val="136"/>
      <scheme val="minor"/>
    </font>
    <font>
      <sz val="14"/>
      <color theme="1"/>
      <name val="Calibri"/>
      <family val="1"/>
      <charset val="136"/>
      <scheme val="minor"/>
    </font>
    <font>
      <sz val="14"/>
      <name val="新細明體"/>
      <family val="1"/>
      <charset val="136"/>
    </font>
    <font>
      <sz val="14"/>
      <name val="Calibri"/>
      <family val="1"/>
      <charset val="136"/>
      <scheme val="minor"/>
    </font>
    <font>
      <sz val="14"/>
      <color theme="3" tint="0.39997558519241921"/>
      <name val="Calibri"/>
      <family val="1"/>
      <charset val="136"/>
      <scheme val="minor"/>
    </font>
    <font>
      <b/>
      <sz val="12"/>
      <name val="新細明體"/>
      <family val="1"/>
      <charset val="136"/>
    </font>
    <font>
      <sz val="11"/>
      <color theme="1"/>
      <name val="細明體"/>
      <family val="3"/>
      <charset val="136"/>
    </font>
    <font>
      <sz val="9"/>
      <name val="Calibri"/>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3"/>
      <name val="Times New Roman"/>
      <family val="1"/>
    </font>
    <font>
      <sz val="8"/>
      <name val="Times New Roman"/>
      <family val="1"/>
    </font>
    <font>
      <b/>
      <sz val="26"/>
      <name val="Times New Roman"/>
      <family val="1"/>
    </font>
    <font>
      <sz val="11"/>
      <color rgb="FF0000FF"/>
      <name val="新細明體"/>
      <family val="2"/>
      <charset val="134"/>
    </font>
    <font>
      <u/>
      <sz val="12"/>
      <color theme="1"/>
      <name val="新細明體"/>
      <family val="1"/>
      <charset val="136"/>
    </font>
    <font>
      <vertAlign val="subscript"/>
      <sz val="12"/>
      <color rgb="FF0000FF"/>
      <name val="Times New Roman"/>
      <family val="1"/>
    </font>
    <font>
      <sz val="12"/>
      <color rgb="FF0000FF"/>
      <name val="細明體"/>
      <family val="3"/>
      <charset val="136"/>
    </font>
    <font>
      <sz val="22"/>
      <name val="Times New Roman"/>
      <family val="1"/>
    </font>
    <font>
      <b/>
      <sz val="12"/>
      <color rgb="FF000000"/>
      <name val="Times New Roman"/>
      <family val="1"/>
    </font>
    <font>
      <vertAlign val="superscript"/>
      <sz val="11"/>
      <color theme="1"/>
      <name val="Times New Roman"/>
      <family val="1"/>
    </font>
    <font>
      <sz val="9"/>
      <name val="Calibri"/>
      <family val="3"/>
      <charset val="136"/>
      <scheme val="minor"/>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sz val="11"/>
      <name val="BatangChe"/>
      <family val="3"/>
      <charset val="129"/>
    </font>
    <font>
      <sz val="11"/>
      <color rgb="FF0000FF"/>
      <name val="BatangChe"/>
      <family val="3"/>
      <charset val="129"/>
    </font>
    <font>
      <b/>
      <sz val="12"/>
      <color theme="0"/>
      <name val="Times New Roman"/>
      <family val="1"/>
    </font>
    <font>
      <sz val="11"/>
      <color theme="0"/>
      <name val="Times New Roman"/>
      <family val="1"/>
    </font>
    <font>
      <vertAlign val="superscript"/>
      <sz val="12"/>
      <color rgb="FF0000FF"/>
      <name val="Times New Roman"/>
      <family val="1"/>
    </font>
    <font>
      <b/>
      <sz val="10"/>
      <color rgb="FF0000FF"/>
      <name val="Times New Roman"/>
      <family val="1"/>
    </font>
    <font>
      <sz val="11"/>
      <color rgb="FF000000"/>
      <name val="Calibri"/>
      <family val="2"/>
    </font>
    <font>
      <vertAlign val="superscript"/>
      <sz val="10"/>
      <color theme="1"/>
      <name val="Times New Roman"/>
      <family val="1"/>
    </font>
    <font>
      <sz val="36"/>
      <color rgb="FF0000FF"/>
      <name val="Times New Roman"/>
      <family val="1"/>
    </font>
    <font>
      <sz val="11"/>
      <color theme="0"/>
      <name val="Calibri"/>
      <family val="2"/>
      <scheme val="minor"/>
    </font>
    <font>
      <sz val="12"/>
      <name val="Wingdings"/>
      <charset val="2"/>
    </font>
    <font>
      <sz val="24"/>
      <name val="Times New Roman"/>
      <family val="1"/>
    </font>
    <font>
      <sz val="16"/>
      <name val="Wingdings"/>
      <charset val="2"/>
    </font>
    <font>
      <b/>
      <sz val="14"/>
      <name val="Wingdings"/>
      <charset val="2"/>
    </font>
    <font>
      <b/>
      <sz val="24"/>
      <color rgb="FF0000FF"/>
      <name val="Times New Roman"/>
      <family val="1"/>
    </font>
    <font>
      <sz val="26"/>
      <color rgb="FF0000FF"/>
      <name val="Times New Roman"/>
      <family val="1"/>
    </font>
    <font>
      <sz val="16"/>
      <color rgb="FF0000FF"/>
      <name val="Times New Roman"/>
      <family val="1"/>
    </font>
    <font>
      <sz val="16"/>
      <name val="新細明體"/>
      <family val="1"/>
      <charset val="136"/>
    </font>
    <font>
      <sz val="16"/>
      <color theme="1"/>
      <name val="細明體"/>
      <family val="3"/>
      <charset val="136"/>
    </font>
    <font>
      <sz val="16"/>
      <color theme="1"/>
      <name val="新細明體"/>
      <family val="1"/>
      <charset val="136"/>
    </font>
    <font>
      <sz val="12"/>
      <color rgb="FF091EE7"/>
      <name val="Times New Roman"/>
      <family val="1"/>
    </font>
    <font>
      <sz val="12"/>
      <name val="Calibri"/>
      <family val="2"/>
    </font>
    <font>
      <sz val="10"/>
      <color theme="8" tint="-0.249977111117893"/>
      <name val="Times New Roman"/>
      <family val="1"/>
    </font>
    <font>
      <sz val="20"/>
      <color rgb="FFC00000"/>
      <name val="Times New Roman"/>
      <family val="1"/>
    </font>
    <font>
      <b/>
      <sz val="22"/>
      <color rgb="FFC00000"/>
      <name val="Times New Roman"/>
      <family val="1"/>
    </font>
    <font>
      <b/>
      <sz val="18"/>
      <name val="VNI-Times"/>
    </font>
    <font>
      <vertAlign val="superscript"/>
      <sz val="11"/>
      <color rgb="FF0000FF"/>
      <name val="Times New Roman"/>
      <family val="1"/>
    </font>
    <font>
      <sz val="18"/>
      <name val="Times New Roman"/>
      <family val="1"/>
    </font>
    <font>
      <b/>
      <sz val="14"/>
      <color indexed="81"/>
      <name val="Tahoma"/>
      <family val="2"/>
    </font>
    <font>
      <b/>
      <sz val="9"/>
      <color indexed="81"/>
      <name val="Tahoma"/>
      <family val="2"/>
    </font>
    <font>
      <sz val="14"/>
      <color theme="8" tint="-0.249977111117893"/>
      <name val="Times New Roman"/>
      <family val="1"/>
    </font>
    <font>
      <sz val="12"/>
      <color theme="0"/>
      <name val="Times New Roman"/>
      <family val="1"/>
    </font>
    <font>
      <b/>
      <vertAlign val="superscript"/>
      <sz val="14"/>
      <color theme="1"/>
      <name val="Times New Roman"/>
      <family val="1"/>
    </font>
    <font>
      <b/>
      <sz val="14"/>
      <color indexed="17"/>
      <name val="Times New Roman"/>
      <family val="1"/>
    </font>
    <font>
      <sz val="9"/>
      <color indexed="81"/>
      <name val="Tahoma"/>
    </font>
    <font>
      <b/>
      <sz val="9"/>
      <color indexed="81"/>
      <name val="Tahoma"/>
    </font>
  </fonts>
  <fills count="61">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
      <patternFill patternType="solid">
        <fgColor theme="9" tint="0.59996337778862885"/>
        <bgColor indexed="64"/>
      </patternFill>
    </fill>
    <fill>
      <patternFill patternType="solid">
        <fgColor rgb="FFFFFF99"/>
        <bgColor indexed="64"/>
      </patternFill>
    </fill>
    <fill>
      <patternFill patternType="solid">
        <fgColor rgb="FFCCFF66"/>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rgb="FF00FF00"/>
        <bgColor indexed="64"/>
      </patternFill>
    </fill>
    <fill>
      <patternFill patternType="solid">
        <fgColor theme="6"/>
        <bgColor indexed="64"/>
      </patternFill>
    </fill>
    <fill>
      <patternFill patternType="solid">
        <fgColor rgb="FF99FF66"/>
        <bgColor indexed="64"/>
      </patternFill>
    </fill>
    <fill>
      <patternFill patternType="solid">
        <fgColor rgb="FF7030A0"/>
        <bgColor indexed="64"/>
      </patternFill>
    </fill>
  </fills>
  <borders count="2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
      <left/>
      <right/>
      <top style="mediumDashDot">
        <color rgb="FFFFC000"/>
      </top>
      <bottom/>
      <diagonal/>
    </border>
    <border>
      <left/>
      <right/>
      <top style="mediumDashDot">
        <color rgb="FFFF0000"/>
      </top>
      <bottom/>
      <diagonal/>
    </border>
    <border>
      <left/>
      <right/>
      <top/>
      <bottom style="mediumDashDot">
        <color rgb="FFFF0000"/>
      </bottom>
      <diagonal/>
    </border>
    <border>
      <left/>
      <right/>
      <top style="dashDot">
        <color rgb="FF00B050"/>
      </top>
      <bottom style="mediumDashDot">
        <color rgb="FFFFC000"/>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rgb="FF0000FF"/>
      </right>
      <top style="thin">
        <color rgb="FF0000FF"/>
      </top>
      <bottom style="thin">
        <color rgb="FF0000FF"/>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hair">
        <color indexed="64"/>
      </left>
      <right style="hair">
        <color indexed="64"/>
      </right>
      <top style="thin">
        <color indexed="64"/>
      </top>
      <bottom/>
      <diagonal/>
    </border>
    <border>
      <left style="thick">
        <color theme="0" tint="-0.14996795556505021"/>
      </left>
      <right style="medium">
        <color theme="0"/>
      </right>
      <top style="thick">
        <color theme="0" tint="-0.14996795556505021"/>
      </top>
      <bottom/>
      <diagonal/>
    </border>
    <border>
      <left style="thick">
        <color theme="0" tint="-0.14996795556505021"/>
      </left>
      <right style="medium">
        <color theme="0"/>
      </right>
      <top/>
      <bottom style="thin">
        <color auto="1"/>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rgb="FF0000FF"/>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rgb="FF0000FF"/>
      </right>
      <top style="thin">
        <color indexed="64"/>
      </top>
      <bottom/>
      <diagonal/>
    </border>
    <border>
      <left style="thin">
        <color indexed="64"/>
      </left>
      <right style="medium">
        <color rgb="FF0000FF"/>
      </right>
      <top/>
      <bottom style="thin">
        <color indexed="64"/>
      </bottom>
      <diagonal/>
    </border>
    <border>
      <left style="thin">
        <color indexed="64"/>
      </left>
      <right style="medium">
        <color rgb="FF0000FF"/>
      </right>
      <top style="thin">
        <color indexed="64"/>
      </top>
      <bottom style="hair">
        <color indexed="64"/>
      </bottom>
      <diagonal/>
    </border>
    <border>
      <left style="thin">
        <color indexed="64"/>
      </left>
      <right style="medium">
        <color rgb="FF0000FF"/>
      </right>
      <top style="hair">
        <color indexed="64"/>
      </top>
      <bottom style="hair">
        <color indexed="64"/>
      </bottom>
      <diagonal/>
    </border>
    <border>
      <left style="thin">
        <color indexed="64"/>
      </left>
      <right style="medium">
        <color rgb="FF0000FF"/>
      </right>
      <top style="hair">
        <color indexed="64"/>
      </top>
      <bottom style="thin">
        <color indexed="64"/>
      </bottom>
      <diagonal/>
    </border>
    <border>
      <left style="thin">
        <color theme="0"/>
      </left>
      <right style="thin">
        <color theme="0"/>
      </right>
      <top style="thin">
        <color theme="0"/>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rgb="FF0000FF"/>
      </left>
      <right style="thin">
        <color indexed="64"/>
      </right>
      <top style="medium">
        <color rgb="FF0000FF"/>
      </top>
      <bottom style="medium">
        <color rgb="FF0000FF"/>
      </bottom>
      <diagonal/>
    </border>
    <border>
      <left style="thin">
        <color indexed="64"/>
      </left>
      <right style="thin">
        <color indexed="64"/>
      </right>
      <top style="medium">
        <color rgb="FF0000FF"/>
      </top>
      <bottom style="medium">
        <color rgb="FF0000FF"/>
      </bottom>
      <diagonal/>
    </border>
    <border>
      <left style="thin">
        <color indexed="64"/>
      </left>
      <right/>
      <top style="medium">
        <color rgb="FF0000FF"/>
      </top>
      <bottom style="medium">
        <color rgb="FF0000FF"/>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9"/>
      </left>
      <right style="thin">
        <color indexed="64"/>
      </right>
      <top/>
      <bottom style="thin">
        <color indexed="64"/>
      </bottom>
      <diagonal/>
    </border>
    <border>
      <left style="thin">
        <color indexed="64"/>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hair">
        <color indexed="64"/>
      </right>
      <top style="medium">
        <color rgb="FFFF0000"/>
      </top>
      <bottom style="thin">
        <color indexed="64"/>
      </bottom>
      <diagonal/>
    </border>
    <border>
      <left/>
      <right/>
      <top style="medium">
        <color rgb="FFFF0000"/>
      </top>
      <bottom style="thin">
        <color indexed="64"/>
      </bottom>
      <diagonal/>
    </border>
    <border>
      <left/>
      <right/>
      <top style="thin">
        <color indexed="64"/>
      </top>
      <bottom style="medium">
        <color rgb="FFFF0000"/>
      </bottom>
      <diagonal/>
    </border>
    <border>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hair">
        <color indexed="64"/>
      </right>
      <top style="thin">
        <color indexed="64"/>
      </top>
      <bottom style="medium">
        <color rgb="FFFF0000"/>
      </bottom>
      <diagonal/>
    </border>
    <border>
      <left style="thin">
        <color indexed="64"/>
      </left>
      <right/>
      <top style="thin">
        <color indexed="64"/>
      </top>
      <bottom style="medium">
        <color rgb="FFFF0000"/>
      </bottom>
      <diagonal/>
    </border>
    <border>
      <left style="hair">
        <color indexed="64"/>
      </left>
      <right/>
      <top style="thin">
        <color indexed="64"/>
      </top>
      <bottom/>
      <diagonal/>
    </border>
    <border>
      <left style="medium">
        <color rgb="FFFF0000"/>
      </left>
      <right/>
      <top style="medium">
        <color rgb="FFFF0000"/>
      </top>
      <bottom style="thin">
        <color indexed="64"/>
      </bottom>
      <diagonal/>
    </border>
    <border>
      <left style="thin">
        <color indexed="64"/>
      </left>
      <right style="medium">
        <color rgb="FF0000FF"/>
      </right>
      <top style="medium">
        <color rgb="FFFF0000"/>
      </top>
      <bottom style="thin">
        <color indexed="64"/>
      </bottom>
      <diagonal/>
    </border>
    <border>
      <left style="hair">
        <color indexed="64"/>
      </left>
      <right style="hair">
        <color indexed="64"/>
      </right>
      <top style="medium">
        <color rgb="FFFF0000"/>
      </top>
      <bottom style="thin">
        <color indexed="64"/>
      </bottom>
      <diagonal/>
    </border>
    <border>
      <left style="hair">
        <color indexed="64"/>
      </left>
      <right style="thin">
        <color indexed="64"/>
      </right>
      <top style="medium">
        <color rgb="FFFF0000"/>
      </top>
      <bottom style="thin">
        <color indexed="64"/>
      </bottom>
      <diagonal/>
    </border>
    <border>
      <left style="hair">
        <color indexed="64"/>
      </left>
      <right style="medium">
        <color rgb="FFFF0000"/>
      </right>
      <top style="medium">
        <color rgb="FFFF0000"/>
      </top>
      <bottom style="thin">
        <color indexed="64"/>
      </bottom>
      <diagonal/>
    </border>
    <border>
      <left style="medium">
        <color rgb="FFFF0000"/>
      </left>
      <right/>
      <top/>
      <bottom style="thin">
        <color indexed="64"/>
      </bottom>
      <diagonal/>
    </border>
    <border>
      <left style="hair">
        <color indexed="64"/>
      </left>
      <right style="medium">
        <color rgb="FFFF0000"/>
      </right>
      <top style="thin">
        <color indexed="64"/>
      </top>
      <bottom style="thin">
        <color indexed="64"/>
      </bottom>
      <diagonal/>
    </border>
    <border>
      <left style="hair">
        <color indexed="64"/>
      </left>
      <right style="hair">
        <color indexed="64"/>
      </right>
      <top style="thin">
        <color indexed="64"/>
      </top>
      <bottom style="medium">
        <color rgb="FFFF0000"/>
      </bottom>
      <diagonal/>
    </border>
    <border>
      <left style="hair">
        <color indexed="64"/>
      </left>
      <right style="thin">
        <color indexed="64"/>
      </right>
      <top style="thin">
        <color indexed="64"/>
      </top>
      <bottom style="medium">
        <color rgb="FFFF0000"/>
      </bottom>
      <diagonal/>
    </border>
    <border>
      <left style="medium">
        <color rgb="FF0000FF"/>
      </left>
      <right style="thin">
        <color indexed="64"/>
      </right>
      <top style="thin">
        <color indexed="64"/>
      </top>
      <bottom style="thin">
        <color indexed="64"/>
      </bottom>
      <diagonal/>
    </border>
    <border>
      <left/>
      <right style="medium">
        <color rgb="FF0000FF"/>
      </right>
      <top style="thin">
        <color indexed="64"/>
      </top>
      <bottom style="thin">
        <color indexed="64"/>
      </bottom>
      <diagonal/>
    </border>
    <border>
      <left style="thin">
        <color indexed="64"/>
      </left>
      <right style="medium">
        <color rgb="FF0000FF"/>
      </right>
      <top style="thin">
        <color indexed="64"/>
      </top>
      <bottom style="thin">
        <color theme="1"/>
      </bottom>
      <diagonal/>
    </border>
    <border>
      <left style="thin">
        <color indexed="64"/>
      </left>
      <right style="thin">
        <color indexed="64"/>
      </right>
      <top/>
      <bottom style="hair">
        <color indexed="64"/>
      </bottom>
      <diagonal/>
    </border>
    <border>
      <left/>
      <right style="hair">
        <color indexed="64"/>
      </right>
      <top style="thin">
        <color indexed="64"/>
      </top>
      <bottom/>
      <diagonal/>
    </border>
    <border>
      <left style="thin">
        <color rgb="FFFF0000"/>
      </left>
      <right/>
      <top style="thin">
        <color rgb="FFFF0000"/>
      </top>
      <bottom/>
      <diagonal/>
    </border>
    <border>
      <left/>
      <right/>
      <top style="thin">
        <color rgb="FFFF0000"/>
      </top>
      <bottom/>
      <diagonal/>
    </border>
    <border>
      <left/>
      <right style="thin">
        <color indexed="64"/>
      </right>
      <top style="thin">
        <color rgb="FFFF0000"/>
      </top>
      <bottom/>
      <diagonal/>
    </border>
    <border>
      <left style="thin">
        <color indexed="64"/>
      </left>
      <right style="thin">
        <color indexed="64"/>
      </right>
      <top style="thin">
        <color rgb="FFFF0000"/>
      </top>
      <bottom style="thin">
        <color indexed="64"/>
      </bottom>
      <diagonal/>
    </border>
    <border>
      <left style="thin">
        <color indexed="64"/>
      </left>
      <right style="medium">
        <color rgb="FF0000FF"/>
      </right>
      <top style="thin">
        <color rgb="FFFF0000"/>
      </top>
      <bottom style="thin">
        <color indexed="64"/>
      </bottom>
      <diagonal/>
    </border>
    <border>
      <left/>
      <right style="hair">
        <color indexed="64"/>
      </right>
      <top style="thin">
        <color rgb="FFFF0000"/>
      </top>
      <bottom style="thin">
        <color indexed="64"/>
      </bottom>
      <diagonal/>
    </border>
    <border>
      <left style="thin">
        <color indexed="64"/>
      </left>
      <right/>
      <top style="thin">
        <color rgb="FFFF0000"/>
      </top>
      <bottom style="thin">
        <color indexed="64"/>
      </bottom>
      <diagonal/>
    </border>
    <border>
      <left style="thin">
        <color indexed="9"/>
      </left>
      <right style="thin">
        <color indexed="64"/>
      </right>
      <top style="thin">
        <color rgb="FFFF0000"/>
      </top>
      <bottom style="thin">
        <color indexed="64"/>
      </bottom>
      <diagonal/>
    </border>
    <border>
      <left/>
      <right/>
      <top style="thin">
        <color rgb="FFFF0000"/>
      </top>
      <bottom style="thin">
        <color indexed="64"/>
      </bottom>
      <diagonal/>
    </border>
    <border>
      <left style="thin">
        <color indexed="64"/>
      </left>
      <right style="hair">
        <color indexed="64"/>
      </right>
      <top style="thin">
        <color rgb="FFFF0000"/>
      </top>
      <bottom style="hair">
        <color indexed="64"/>
      </bottom>
      <diagonal/>
    </border>
    <border>
      <left style="hair">
        <color indexed="64"/>
      </left>
      <right style="hair">
        <color indexed="64"/>
      </right>
      <top style="thin">
        <color rgb="FFFF0000"/>
      </top>
      <bottom style="hair">
        <color indexed="64"/>
      </bottom>
      <diagonal/>
    </border>
    <border>
      <left style="hair">
        <color indexed="64"/>
      </left>
      <right style="thin">
        <color indexed="64"/>
      </right>
      <top style="thin">
        <color rgb="FFFF0000"/>
      </top>
      <bottom style="hair">
        <color indexed="64"/>
      </bottom>
      <diagonal/>
    </border>
    <border>
      <left style="thin">
        <color indexed="64"/>
      </left>
      <right style="hair">
        <color indexed="64"/>
      </right>
      <top style="thin">
        <color rgb="FFFF0000"/>
      </top>
      <bottom style="thin">
        <color indexed="64"/>
      </bottom>
      <diagonal/>
    </border>
    <border>
      <left style="thin">
        <color indexed="64"/>
      </left>
      <right style="thin">
        <color rgb="FFFF0000"/>
      </right>
      <top style="thin">
        <color rgb="FFFF0000"/>
      </top>
      <bottom style="thin">
        <color indexed="64"/>
      </bottom>
      <diagonal/>
    </border>
    <border>
      <left style="thin">
        <color rgb="FFFF0000"/>
      </left>
      <right/>
      <top/>
      <bottom style="thin">
        <color rgb="FFFF0000"/>
      </bottom>
      <diagonal/>
    </border>
    <border>
      <left/>
      <right/>
      <top/>
      <bottom style="thin">
        <color rgb="FFFF0000"/>
      </bottom>
      <diagonal/>
    </border>
    <border>
      <left/>
      <right style="thin">
        <color indexed="64"/>
      </right>
      <top/>
      <bottom style="thin">
        <color rgb="FFFF0000"/>
      </bottom>
      <diagonal/>
    </border>
    <border>
      <left style="thin">
        <color indexed="64"/>
      </left>
      <right style="thin">
        <color indexed="64"/>
      </right>
      <top style="thin">
        <color indexed="64"/>
      </top>
      <bottom style="thin">
        <color rgb="FFFF0000"/>
      </bottom>
      <diagonal/>
    </border>
    <border>
      <left style="thin">
        <color indexed="64"/>
      </left>
      <right style="medium">
        <color rgb="FF0000FF"/>
      </right>
      <top style="thin">
        <color indexed="64"/>
      </top>
      <bottom style="thin">
        <color rgb="FFFF0000"/>
      </bottom>
      <diagonal/>
    </border>
    <border>
      <left/>
      <right style="hair">
        <color indexed="64"/>
      </right>
      <top style="thin">
        <color indexed="64"/>
      </top>
      <bottom style="thin">
        <color rgb="FFFF0000"/>
      </bottom>
      <diagonal/>
    </border>
    <border>
      <left style="thin">
        <color indexed="64"/>
      </left>
      <right/>
      <top style="thin">
        <color indexed="64"/>
      </top>
      <bottom style="thin">
        <color rgb="FFFF0000"/>
      </bottom>
      <diagonal/>
    </border>
    <border>
      <left style="thin">
        <color indexed="9"/>
      </left>
      <right style="thin">
        <color indexed="64"/>
      </right>
      <top style="thin">
        <color indexed="64"/>
      </top>
      <bottom style="thin">
        <color rgb="FFFF0000"/>
      </bottom>
      <diagonal/>
    </border>
    <border>
      <left/>
      <right/>
      <top style="thin">
        <color indexed="64"/>
      </top>
      <bottom style="thin">
        <color rgb="FFFF0000"/>
      </bottom>
      <diagonal/>
    </border>
    <border>
      <left style="thin">
        <color indexed="64"/>
      </left>
      <right style="hair">
        <color indexed="64"/>
      </right>
      <top style="hair">
        <color indexed="64"/>
      </top>
      <bottom style="thin">
        <color rgb="FFFF0000"/>
      </bottom>
      <diagonal/>
    </border>
    <border>
      <left style="hair">
        <color indexed="64"/>
      </left>
      <right style="hair">
        <color indexed="64"/>
      </right>
      <top style="hair">
        <color indexed="64"/>
      </top>
      <bottom style="thin">
        <color rgb="FFFF0000"/>
      </bottom>
      <diagonal/>
    </border>
    <border>
      <left style="hair">
        <color indexed="64"/>
      </left>
      <right style="thin">
        <color indexed="64"/>
      </right>
      <top style="hair">
        <color indexed="64"/>
      </top>
      <bottom style="thin">
        <color rgb="FFFF0000"/>
      </bottom>
      <diagonal/>
    </border>
    <border>
      <left style="thin">
        <color indexed="64"/>
      </left>
      <right style="hair">
        <color indexed="64"/>
      </right>
      <top style="thin">
        <color indexed="64"/>
      </top>
      <bottom style="thin">
        <color rgb="FFFF0000"/>
      </bottom>
      <diagonal/>
    </border>
    <border>
      <left style="thin">
        <color indexed="64"/>
      </left>
      <right style="thin">
        <color rgb="FFFF0000"/>
      </right>
      <top style="thin">
        <color indexed="64"/>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indexed="64"/>
      </right>
      <top style="thin">
        <color rgb="FFFF0000"/>
      </top>
      <bottom style="thin">
        <color rgb="FFFF0000"/>
      </bottom>
      <diagonal/>
    </border>
    <border>
      <left style="thin">
        <color indexed="64"/>
      </left>
      <right style="thin">
        <color indexed="64"/>
      </right>
      <top style="thin">
        <color rgb="FFFF0000"/>
      </top>
      <bottom style="thin">
        <color rgb="FFFF0000"/>
      </bottom>
      <diagonal/>
    </border>
    <border>
      <left style="thin">
        <color indexed="64"/>
      </left>
      <right style="medium">
        <color rgb="FF0000FF"/>
      </right>
      <top style="thin">
        <color rgb="FFFF0000"/>
      </top>
      <bottom style="thin">
        <color rgb="FFFF0000"/>
      </bottom>
      <diagonal/>
    </border>
    <border>
      <left/>
      <right style="hair">
        <color indexed="64"/>
      </right>
      <top style="thin">
        <color rgb="FFFF0000"/>
      </top>
      <bottom style="thin">
        <color rgb="FFFF0000"/>
      </bottom>
      <diagonal/>
    </border>
    <border>
      <left style="hair">
        <color indexed="64"/>
      </left>
      <right style="hair">
        <color indexed="64"/>
      </right>
      <top style="thin">
        <color rgb="FFFF0000"/>
      </top>
      <bottom style="thin">
        <color rgb="FFFF0000"/>
      </bottom>
      <diagonal/>
    </border>
    <border>
      <left style="thin">
        <color indexed="64"/>
      </left>
      <right style="hair">
        <color indexed="64"/>
      </right>
      <top style="thin">
        <color rgb="FFFF0000"/>
      </top>
      <bottom style="thin">
        <color rgb="FFFF0000"/>
      </bottom>
      <diagonal/>
    </border>
    <border>
      <left style="thin">
        <color indexed="64"/>
      </left>
      <right/>
      <top style="thin">
        <color rgb="FFFF0000"/>
      </top>
      <bottom style="thin">
        <color rgb="FFFF0000"/>
      </bottom>
      <diagonal/>
    </border>
    <border>
      <left style="hair">
        <color indexed="64"/>
      </left>
      <right style="thin">
        <color rgb="FFFF0000"/>
      </right>
      <top style="thin">
        <color rgb="FFFF0000"/>
      </top>
      <bottom style="thin">
        <color rgb="FFFF0000"/>
      </bottom>
      <diagonal/>
    </border>
    <border>
      <left/>
      <right style="thin">
        <color indexed="64"/>
      </right>
      <top style="thin">
        <color rgb="FFFF0000"/>
      </top>
      <bottom style="thin">
        <color indexed="64"/>
      </bottom>
      <diagonal/>
    </border>
    <border>
      <left style="thin">
        <color rgb="FFFF0000"/>
      </left>
      <right/>
      <top/>
      <bottom/>
      <diagonal/>
    </border>
    <border>
      <left style="thin">
        <color indexed="64"/>
      </left>
      <right style="thin">
        <color rgb="FFFF0000"/>
      </right>
      <top style="thin">
        <color indexed="64"/>
      </top>
      <bottom style="thin">
        <color indexed="64"/>
      </bottom>
      <diagonal/>
    </border>
    <border>
      <left style="thin">
        <color rgb="FFFF0000"/>
      </left>
      <right/>
      <top style="thin">
        <color indexed="64"/>
      </top>
      <bottom style="thin">
        <color rgb="FFFF0000"/>
      </bottom>
      <diagonal/>
    </border>
    <border>
      <left/>
      <right style="thin">
        <color indexed="64"/>
      </right>
      <top style="thin">
        <color indexed="64"/>
      </top>
      <bottom style="thin">
        <color rgb="FFFF0000"/>
      </bottom>
      <diagonal/>
    </border>
    <border>
      <left style="medium">
        <color rgb="FF0000FF"/>
      </left>
      <right/>
      <top style="thin">
        <color indexed="64"/>
      </top>
      <bottom style="thin">
        <color indexed="64"/>
      </bottom>
      <diagonal/>
    </border>
    <border>
      <left/>
      <right/>
      <top style="thin">
        <color indexed="64"/>
      </top>
      <bottom style="hair">
        <color indexed="64"/>
      </bottom>
      <diagonal/>
    </border>
    <border>
      <left style="thin">
        <color indexed="64"/>
      </left>
      <right style="thin">
        <color rgb="FF0000FF"/>
      </right>
      <top style="thin">
        <color rgb="FF0000FF"/>
      </top>
      <bottom style="thin">
        <color indexed="64"/>
      </bottom>
      <diagonal/>
    </border>
    <border>
      <left style="thin">
        <color indexed="64"/>
      </left>
      <right style="thin">
        <color rgb="FFFF0000"/>
      </right>
      <top style="thin">
        <color indexed="64"/>
      </top>
      <bottom/>
      <diagonal/>
    </border>
    <border>
      <left style="thin">
        <color indexed="64"/>
      </left>
      <right style="thin">
        <color rgb="FFFF0000"/>
      </right>
      <top/>
      <bottom style="thin">
        <color indexed="64"/>
      </bottom>
      <diagonal/>
    </border>
    <border>
      <left style="thin">
        <color indexed="64"/>
      </left>
      <right style="hair">
        <color indexed="64"/>
      </right>
      <top style="thin">
        <color rgb="FFFF0000"/>
      </top>
      <bottom/>
      <diagonal/>
    </border>
    <border>
      <left style="thin">
        <color rgb="FFFF0000"/>
      </left>
      <right/>
      <top style="thin">
        <color indexed="64"/>
      </top>
      <bottom style="thin">
        <color indexed="64"/>
      </bottom>
      <diagonal/>
    </border>
    <border>
      <left style="medium">
        <color rgb="FFFF0000"/>
      </left>
      <right style="thin">
        <color indexed="64"/>
      </right>
      <top style="thin">
        <color indexed="64"/>
      </top>
      <bottom style="thin">
        <color auto="1"/>
      </bottom>
      <diagonal/>
    </border>
    <border>
      <left style="medium">
        <color rgb="FFFF0000"/>
      </left>
      <right style="thin">
        <color indexed="64"/>
      </right>
      <top/>
      <bottom style="medium">
        <color rgb="FFFF0000"/>
      </bottom>
      <diagonal/>
    </border>
    <border>
      <left style="thin">
        <color indexed="64"/>
      </left>
      <right style="thin">
        <color indexed="64"/>
      </right>
      <top/>
      <bottom style="medium">
        <color rgb="FFFF0000"/>
      </bottom>
      <diagonal/>
    </border>
    <border>
      <left style="thin">
        <color indexed="64"/>
      </left>
      <right style="medium">
        <color rgb="FF0000FF"/>
      </right>
      <top/>
      <bottom style="medium">
        <color rgb="FFFF0000"/>
      </bottom>
      <diagonal/>
    </border>
  </borders>
  <cellStyleXfs count="105">
    <xf numFmtId="0" fontId="0" fillId="0" borderId="0">
      <alignment vertical="center"/>
    </xf>
    <xf numFmtId="165" fontId="6" fillId="0" borderId="0" applyFont="0" applyFill="0" applyBorder="0" applyAlignment="0" applyProtection="0">
      <alignment vertical="center"/>
    </xf>
    <xf numFmtId="164" fontId="46" fillId="0" borderId="0" applyFont="0" applyFill="0" applyBorder="0" applyAlignment="0" applyProtection="0"/>
    <xf numFmtId="0" fontId="6" fillId="0" borderId="0">
      <alignment vertical="center"/>
    </xf>
    <xf numFmtId="0" fontId="47" fillId="0" borderId="0">
      <alignment vertical="center"/>
    </xf>
    <xf numFmtId="0" fontId="48" fillId="0" borderId="0">
      <alignment vertical="center"/>
    </xf>
    <xf numFmtId="0" fontId="46" fillId="0" borderId="0"/>
    <xf numFmtId="9" fontId="6" fillId="0" borderId="0" applyFont="0" applyFill="0" applyBorder="0" applyAlignment="0" applyProtection="0">
      <alignment vertical="center"/>
    </xf>
    <xf numFmtId="0" fontId="49" fillId="0" borderId="0">
      <alignment vertical="center"/>
    </xf>
    <xf numFmtId="0" fontId="20" fillId="2" borderId="0" applyNumberFormat="0" applyBorder="0" applyAlignment="0" applyProtection="0">
      <alignment vertical="center"/>
    </xf>
    <xf numFmtId="0" fontId="16" fillId="2" borderId="0" applyNumberFormat="0" applyBorder="0" applyAlignment="0" applyProtection="0">
      <alignment vertical="center"/>
    </xf>
    <xf numFmtId="0" fontId="19" fillId="3" borderId="0" applyNumberFormat="0" applyBorder="0" applyAlignment="0" applyProtection="0">
      <alignment vertical="center"/>
    </xf>
    <xf numFmtId="0" fontId="15" fillId="3" borderId="0" applyNumberFormat="0" applyBorder="0" applyAlignment="0" applyProtection="0">
      <alignment vertical="center"/>
    </xf>
    <xf numFmtId="0" fontId="22" fillId="0" borderId="0">
      <alignment vertical="center"/>
    </xf>
    <xf numFmtId="9" fontId="6" fillId="0" borderId="0" applyFont="0" applyFill="0" applyBorder="0" applyAlignment="0" applyProtection="0">
      <alignment vertical="center"/>
    </xf>
    <xf numFmtId="0" fontId="78" fillId="0" borderId="0">
      <alignment vertical="center"/>
    </xf>
    <xf numFmtId="0" fontId="6" fillId="0" borderId="0">
      <alignment vertical="center"/>
    </xf>
    <xf numFmtId="0" fontId="79" fillId="0" borderId="0">
      <alignment vertical="center"/>
    </xf>
    <xf numFmtId="9" fontId="80" fillId="0" borderId="0" applyFont="0" applyFill="0" applyBorder="0" applyAlignment="0" applyProtection="0">
      <alignment vertical="center"/>
    </xf>
    <xf numFmtId="0" fontId="81" fillId="15" borderId="0" applyNumberFormat="0" applyBorder="0" applyAlignment="0" applyProtection="0">
      <alignment vertical="center"/>
    </xf>
    <xf numFmtId="0" fontId="6" fillId="0" borderId="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2" fillId="16" borderId="0" applyNumberFormat="0" applyBorder="0" applyAlignment="0" applyProtection="0">
      <alignment vertical="center"/>
    </xf>
    <xf numFmtId="0" fontId="82" fillId="17" borderId="0" applyNumberFormat="0" applyBorder="0" applyAlignment="0" applyProtection="0">
      <alignment vertical="center"/>
    </xf>
    <xf numFmtId="0" fontId="82" fillId="15"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18" borderId="0" applyNumberFormat="0" applyBorder="0" applyAlignment="0" applyProtection="0">
      <alignment vertical="center"/>
    </xf>
    <xf numFmtId="0" fontId="81" fillId="21" borderId="0" applyNumberFormat="0" applyBorder="0" applyAlignment="0" applyProtection="0">
      <alignment vertical="center"/>
    </xf>
    <xf numFmtId="0" fontId="81" fillId="24" borderId="0" applyNumberFormat="0" applyBorder="0" applyAlignment="0" applyProtection="0">
      <alignment vertical="center"/>
    </xf>
    <xf numFmtId="0" fontId="82"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18" borderId="0" applyNumberFormat="0" applyBorder="0" applyAlignment="0" applyProtection="0">
      <alignment vertical="center"/>
    </xf>
    <xf numFmtId="0" fontId="82" fillId="21" borderId="0" applyNumberFormat="0" applyBorder="0" applyAlignment="0" applyProtection="0">
      <alignment vertical="center"/>
    </xf>
    <xf numFmtId="0" fontId="82" fillId="24" borderId="0" applyNumberFormat="0" applyBorder="0" applyAlignment="0" applyProtection="0">
      <alignment vertical="center"/>
    </xf>
    <xf numFmtId="0" fontId="83" fillId="25"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4" fillId="25" borderId="0" applyNumberFormat="0" applyBorder="0" applyAlignment="0" applyProtection="0">
      <alignment vertical="center"/>
    </xf>
    <xf numFmtId="0" fontId="84" fillId="22" borderId="0" applyNumberFormat="0" applyBorder="0" applyAlignment="0" applyProtection="0">
      <alignment vertical="center"/>
    </xf>
    <xf numFmtId="0" fontId="84" fillId="23"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0" fillId="0" borderId="0">
      <alignment vertical="center"/>
    </xf>
    <xf numFmtId="0" fontId="6" fillId="0" borderId="0">
      <alignment vertical="center"/>
    </xf>
    <xf numFmtId="0" fontId="80" fillId="29" borderId="29" applyNumberFormat="0" applyFont="0" applyAlignment="0" applyProtection="0">
      <alignment vertical="center"/>
    </xf>
    <xf numFmtId="0" fontId="85" fillId="0" borderId="30" applyNumberFormat="0" applyFill="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7" fillId="17" borderId="0" applyNumberFormat="0" applyBorder="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33" borderId="0" applyNumberFormat="0" applyBorder="0" applyAlignment="0" applyProtection="0">
      <alignment vertical="center"/>
    </xf>
    <xf numFmtId="0" fontId="88" fillId="0" borderId="30" applyNumberFormat="0" applyFill="0" applyAlignment="0" applyProtection="0">
      <alignment vertical="center"/>
    </xf>
    <xf numFmtId="0" fontId="80" fillId="29" borderId="29" applyNumberFormat="0" applyFont="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33" borderId="0" applyNumberFormat="0" applyBorder="0" applyAlignment="0" applyProtection="0">
      <alignment vertical="center"/>
    </xf>
    <xf numFmtId="0" fontId="89" fillId="0" borderId="31" applyNumberFormat="0" applyFill="0" applyAlignment="0" applyProtection="0">
      <alignment vertical="center"/>
    </xf>
    <xf numFmtId="0" fontId="90" fillId="0" borderId="31" applyNumberFormat="0" applyFill="0" applyAlignment="0" applyProtection="0">
      <alignment vertical="center"/>
    </xf>
    <xf numFmtId="0" fontId="5" fillId="0" borderId="0"/>
    <xf numFmtId="43" fontId="5" fillId="0" borderId="0" applyFont="0" applyFill="0" applyBorder="0" applyAlignment="0" applyProtection="0"/>
    <xf numFmtId="0" fontId="99" fillId="0" borderId="0" applyNumberFormat="0" applyFill="0" applyBorder="0" applyAlignment="0" applyProtection="0">
      <alignment vertical="top"/>
      <protection locked="0"/>
    </xf>
    <xf numFmtId="0" fontId="11" fillId="0" borderId="0"/>
    <xf numFmtId="0" fontId="22" fillId="0" borderId="0"/>
    <xf numFmtId="0" fontId="49" fillId="0" borderId="0">
      <alignment vertical="center"/>
    </xf>
    <xf numFmtId="0" fontId="6" fillId="0" borderId="0">
      <alignment vertical="center"/>
    </xf>
    <xf numFmtId="0" fontId="159" fillId="0" borderId="0"/>
    <xf numFmtId="0" fontId="80" fillId="0" borderId="0">
      <alignment vertical="center"/>
    </xf>
    <xf numFmtId="0" fontId="6" fillId="0" borderId="0"/>
    <xf numFmtId="0" fontId="87" fillId="2" borderId="0" applyNumberFormat="0" applyBorder="0" applyAlignment="0" applyProtection="0">
      <alignment vertical="center"/>
    </xf>
    <xf numFmtId="0" fontId="180" fillId="0" borderId="0" applyNumberFormat="0" applyFill="0" applyBorder="0" applyAlignment="0" applyProtection="0">
      <alignment vertical="center"/>
    </xf>
    <xf numFmtId="0" fontId="181" fillId="0" borderId="71" applyNumberFormat="0" applyFill="0" applyAlignment="0" applyProtection="0">
      <alignment vertical="center"/>
    </xf>
    <xf numFmtId="0" fontId="182" fillId="0" borderId="72" applyNumberFormat="0" applyFill="0" applyAlignment="0" applyProtection="0">
      <alignment vertical="center"/>
    </xf>
    <xf numFmtId="0" fontId="183" fillId="0" borderId="73" applyNumberFormat="0" applyFill="0" applyAlignment="0" applyProtection="0">
      <alignment vertical="center"/>
    </xf>
    <xf numFmtId="0" fontId="183" fillId="0" borderId="0" applyNumberFormat="0" applyFill="0" applyBorder="0" applyAlignment="0" applyProtection="0">
      <alignment vertical="center"/>
    </xf>
    <xf numFmtId="0" fontId="184" fillId="46" borderId="74" applyNumberFormat="0" applyAlignment="0" applyProtection="0">
      <alignment vertical="center"/>
    </xf>
    <xf numFmtId="0" fontId="185"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47" borderId="75" applyNumberFormat="0" applyAlignment="0" applyProtection="0">
      <alignment vertical="center"/>
    </xf>
    <xf numFmtId="0" fontId="188" fillId="48" borderId="75" applyNumberFormat="0" applyAlignment="0" applyProtection="0">
      <alignment vertical="center"/>
    </xf>
    <xf numFmtId="0" fontId="189" fillId="47" borderId="76" applyNumberFormat="0" applyAlignment="0" applyProtection="0">
      <alignment vertical="center"/>
    </xf>
    <xf numFmtId="0" fontId="190" fillId="49" borderId="0" applyNumberFormat="0" applyBorder="0" applyAlignment="0" applyProtection="0">
      <alignment vertical="center"/>
    </xf>
  </cellStyleXfs>
  <cellXfs count="3854">
    <xf numFmtId="0" fontId="0" fillId="0" borderId="0" xfId="0">
      <alignment vertical="center"/>
    </xf>
    <xf numFmtId="0" fontId="24" fillId="0" borderId="0" xfId="0" applyFont="1" applyFill="1" applyAlignment="1">
      <alignment horizontal="center" vertical="center"/>
    </xf>
    <xf numFmtId="0" fontId="24" fillId="0" borderId="1" xfId="0" applyFont="1" applyFill="1" applyBorder="1" applyAlignment="1">
      <alignment horizontal="center" vertical="center"/>
    </xf>
    <xf numFmtId="0" fontId="24" fillId="0" borderId="3"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vertical="center" wrapText="1" shrinkToFit="1"/>
    </xf>
    <xf numFmtId="170" fontId="24" fillId="0" borderId="5" xfId="8" applyNumberFormat="1" applyFont="1" applyFill="1" applyBorder="1" applyAlignment="1" applyProtection="1">
      <alignment vertical="center"/>
    </xf>
    <xf numFmtId="170" fontId="24" fillId="0" borderId="6" xfId="8" applyNumberFormat="1" applyFont="1" applyFill="1" applyBorder="1" applyAlignment="1" applyProtection="1">
      <alignment vertical="center"/>
    </xf>
    <xf numFmtId="0" fontId="10" fillId="0" borderId="0" xfId="0" applyFont="1" applyFill="1" applyAlignment="1" applyProtection="1">
      <alignment horizontal="center" vertical="center"/>
    </xf>
    <xf numFmtId="0" fontId="10" fillId="0" borderId="0" xfId="0" applyFont="1" applyAlignment="1" applyProtection="1">
      <alignment horizontal="center" vertical="center"/>
    </xf>
    <xf numFmtId="0" fontId="10" fillId="0" borderId="7" xfId="0" applyFont="1" applyBorder="1" applyAlignment="1" applyProtection="1">
      <alignment vertical="center" wrapText="1"/>
    </xf>
    <xf numFmtId="0" fontId="24" fillId="0" borderId="1" xfId="0" applyFont="1" applyBorder="1" applyAlignment="1" applyProtection="1">
      <alignment horizontal="center" vertical="center" wrapText="1"/>
    </xf>
    <xf numFmtId="0" fontId="26" fillId="0" borderId="1" xfId="0" applyFont="1" applyFill="1" applyBorder="1" applyAlignment="1" applyProtection="1">
      <alignment horizontal="center" vertical="center"/>
    </xf>
    <xf numFmtId="0" fontId="50" fillId="0" borderId="0" xfId="0" applyFont="1" applyFill="1" applyAlignment="1">
      <alignment horizontal="center" vertical="center"/>
    </xf>
    <xf numFmtId="0" fontId="50" fillId="0" borderId="1" xfId="0" applyNumberFormat="1" applyFont="1" applyFill="1" applyBorder="1" applyAlignment="1" applyProtection="1">
      <alignment horizontal="center" vertical="center" wrapText="1"/>
    </xf>
    <xf numFmtId="0" fontId="50" fillId="0" borderId="1" xfId="0" applyNumberFormat="1" applyFont="1" applyFill="1" applyBorder="1" applyAlignment="1">
      <alignment horizontal="center" vertical="center" wrapText="1"/>
    </xf>
    <xf numFmtId="0" fontId="24" fillId="0" borderId="0" xfId="8" applyFont="1" applyFill="1" applyAlignment="1" applyProtection="1">
      <alignment horizontal="center" vertical="center"/>
    </xf>
    <xf numFmtId="0" fontId="24" fillId="0" borderId="0" xfId="8" applyFont="1" applyFill="1" applyBorder="1" applyAlignment="1" applyProtection="1">
      <alignment horizontal="center" vertical="center"/>
    </xf>
    <xf numFmtId="167" fontId="24" fillId="0" borderId="5" xfId="8" applyNumberFormat="1" applyFont="1" applyFill="1" applyBorder="1" applyAlignment="1" applyProtection="1">
      <alignment horizontal="center" vertical="center"/>
    </xf>
    <xf numFmtId="166" fontId="24" fillId="0" borderId="1" xfId="8" applyNumberFormat="1" applyFont="1" applyFill="1" applyBorder="1" applyAlignment="1" applyProtection="1">
      <alignment horizontal="center" vertical="center"/>
    </xf>
    <xf numFmtId="0" fontId="24" fillId="0" borderId="0" xfId="0" applyFont="1" applyFill="1" applyAlignment="1" applyProtection="1">
      <alignment horizontal="center" vertical="center"/>
      <protection locked="0"/>
    </xf>
    <xf numFmtId="0" fontId="38" fillId="0" borderId="1" xfId="0" applyNumberFormat="1" applyFont="1" applyFill="1" applyBorder="1" applyAlignment="1" applyProtection="1">
      <alignment horizontal="center" vertical="center"/>
    </xf>
    <xf numFmtId="0" fontId="42" fillId="0" borderId="1" xfId="0" applyFont="1" applyFill="1" applyBorder="1" applyAlignment="1" applyProtection="1">
      <alignment horizontal="center" vertical="center"/>
    </xf>
    <xf numFmtId="9" fontId="38" fillId="0" borderId="1" xfId="0" applyNumberFormat="1" applyFont="1" applyFill="1" applyBorder="1" applyAlignment="1" applyProtection="1">
      <alignment horizontal="center" vertical="center"/>
    </xf>
    <xf numFmtId="0" fontId="30" fillId="0" borderId="1" xfId="8" applyFont="1" applyFill="1" applyBorder="1" applyAlignment="1" applyProtection="1">
      <alignment horizontal="center" vertical="center"/>
    </xf>
    <xf numFmtId="0" fontId="14" fillId="0" borderId="7" xfId="8" applyFont="1" applyFill="1" applyBorder="1" applyAlignment="1" applyProtection="1">
      <alignment horizontal="center" vertical="center" wrapText="1"/>
      <protection locked="0"/>
    </xf>
    <xf numFmtId="20" fontId="14" fillId="0" borderId="7" xfId="8" applyNumberFormat="1" applyFont="1" applyFill="1" applyBorder="1" applyAlignment="1" applyProtection="1">
      <alignment horizontal="center" vertical="center" wrapText="1"/>
      <protection locked="0"/>
    </xf>
    <xf numFmtId="0" fontId="24" fillId="0" borderId="7" xfId="8" applyFont="1" applyFill="1" applyBorder="1" applyAlignment="1" applyProtection="1">
      <alignment horizontal="center" vertical="center" wrapText="1"/>
      <protection locked="0"/>
    </xf>
    <xf numFmtId="177" fontId="24" fillId="0" borderId="6" xfId="8" applyNumberFormat="1" applyFont="1" applyFill="1" applyBorder="1" applyAlignment="1" applyProtection="1">
      <alignment horizontal="center" vertical="center"/>
    </xf>
    <xf numFmtId="0" fontId="10" fillId="0" borderId="7" xfId="0" applyFont="1" applyFill="1" applyBorder="1" applyAlignment="1" applyProtection="1">
      <alignment vertical="center" wrapText="1"/>
    </xf>
    <xf numFmtId="0" fontId="10" fillId="0" borderId="0" xfId="0" applyFont="1" applyFill="1" applyBorder="1" applyAlignment="1" applyProtection="1">
      <alignment horizontal="left" vertical="center" wrapText="1"/>
    </xf>
    <xf numFmtId="168" fontId="10" fillId="0" borderId="9" xfId="0" applyNumberFormat="1" applyFont="1" applyFill="1" applyBorder="1" applyAlignment="1" applyProtection="1">
      <alignment horizontal="center" vertical="center"/>
    </xf>
    <xf numFmtId="0" fontId="10" fillId="0" borderId="0" xfId="0" applyFont="1" applyFill="1" applyAlignment="1" applyProtection="1">
      <alignment horizontal="left" vertical="center"/>
    </xf>
    <xf numFmtId="0" fontId="14" fillId="0" borderId="0" xfId="0" applyFont="1" applyFill="1" applyAlignment="1" applyProtection="1">
      <alignment horizontal="center" vertical="center"/>
      <protection locked="0"/>
    </xf>
    <xf numFmtId="0" fontId="24" fillId="0" borderId="0" xfId="0" applyNumberFormat="1" applyFont="1" applyFill="1" applyAlignment="1" applyProtection="1">
      <alignment horizontal="center" vertical="center"/>
      <protection locked="0"/>
    </xf>
    <xf numFmtId="0" fontId="38" fillId="0" borderId="5" xfId="0" applyFont="1" applyFill="1" applyBorder="1" applyAlignment="1" applyProtection="1">
      <alignment vertical="center"/>
    </xf>
    <xf numFmtId="169" fontId="38" fillId="0" borderId="1" xfId="0" applyNumberFormat="1" applyFont="1" applyFill="1" applyBorder="1" applyAlignment="1">
      <alignment horizontal="center" vertical="center"/>
    </xf>
    <xf numFmtId="166" fontId="38" fillId="0" borderId="1" xfId="0" applyNumberFormat="1" applyFont="1" applyFill="1" applyBorder="1" applyAlignment="1">
      <alignment horizontal="center" vertical="center"/>
    </xf>
    <xf numFmtId="166" fontId="38" fillId="0" borderId="5" xfId="0" applyNumberFormat="1" applyFont="1" applyFill="1" applyBorder="1" applyAlignment="1">
      <alignment horizontal="center" vertical="center"/>
    </xf>
    <xf numFmtId="168" fontId="38" fillId="0" borderId="6" xfId="0" applyNumberFormat="1" applyFont="1" applyFill="1" applyBorder="1" applyAlignment="1" applyProtection="1">
      <alignment horizontal="center" vertical="center"/>
    </xf>
    <xf numFmtId="168" fontId="38" fillId="0" borderId="1" xfId="0" applyNumberFormat="1" applyFont="1" applyFill="1" applyBorder="1" applyAlignment="1">
      <alignment horizontal="center" vertical="center"/>
    </xf>
    <xf numFmtId="171" fontId="38" fillId="0" borderId="6" xfId="0" applyNumberFormat="1" applyFont="1" applyFill="1" applyBorder="1" applyAlignment="1" applyProtection="1">
      <alignment horizontal="center" vertical="center"/>
    </xf>
    <xf numFmtId="0" fontId="38" fillId="0" borderId="0" xfId="0" applyFont="1" applyFill="1" applyBorder="1" applyAlignment="1">
      <alignment horizontal="center" vertical="center"/>
    </xf>
    <xf numFmtId="0" fontId="38"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xf>
    <xf numFmtId="176" fontId="24" fillId="0" borderId="6" xfId="8" applyNumberFormat="1"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NumberFormat="1"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xf>
    <xf numFmtId="0" fontId="50" fillId="0" borderId="1" xfId="0" applyFont="1" applyFill="1" applyBorder="1" applyAlignment="1">
      <alignment horizontal="center" vertical="center" wrapText="1"/>
    </xf>
    <xf numFmtId="0" fontId="24" fillId="0" borderId="7" xfId="8" applyFont="1" applyFill="1" applyBorder="1" applyAlignment="1" applyProtection="1">
      <alignment horizontal="center" vertical="center"/>
      <protection locked="0"/>
    </xf>
    <xf numFmtId="0" fontId="57" fillId="0" borderId="0" xfId="0" applyFont="1" applyFill="1" applyAlignment="1" applyProtection="1">
      <alignment horizontal="center" vertical="center" wrapText="1"/>
    </xf>
    <xf numFmtId="14" fontId="24" fillId="0" borderId="7" xfId="8" applyNumberFormat="1" applyFont="1" applyFill="1" applyBorder="1" applyAlignment="1" applyProtection="1">
      <alignment horizontal="center" vertical="center" wrapText="1"/>
      <protection locked="0"/>
    </xf>
    <xf numFmtId="0" fontId="24" fillId="0" borderId="0" xfId="0" applyFont="1" applyFill="1" applyBorder="1" applyAlignment="1" applyProtection="1">
      <alignment horizontal="center" vertical="center"/>
      <protection locked="0"/>
    </xf>
    <xf numFmtId="0" fontId="24" fillId="0" borderId="3" xfId="0" applyFont="1" applyFill="1" applyBorder="1" applyAlignment="1" applyProtection="1">
      <alignment vertical="center" wrapText="1"/>
    </xf>
    <xf numFmtId="169" fontId="38" fillId="0" borderId="1" xfId="0" applyNumberFormat="1" applyFont="1" applyFill="1" applyBorder="1" applyAlignment="1" applyProtection="1">
      <alignment horizontal="center" vertical="center"/>
    </xf>
    <xf numFmtId="167" fontId="62" fillId="0" borderId="5" xfId="0" applyNumberFormat="1" applyFont="1" applyFill="1" applyBorder="1" applyAlignment="1" applyProtection="1">
      <alignment horizontal="center" vertical="center"/>
    </xf>
    <xf numFmtId="177" fontId="38" fillId="0" borderId="14" xfId="0" applyNumberFormat="1" applyFont="1" applyFill="1" applyBorder="1" applyAlignment="1" applyProtection="1">
      <alignment horizontal="center" vertical="center"/>
    </xf>
    <xf numFmtId="166" fontId="38" fillId="0" borderId="1" xfId="0" applyNumberFormat="1" applyFont="1" applyFill="1" applyBorder="1" applyAlignment="1" applyProtection="1">
      <alignment horizontal="center" vertical="center"/>
    </xf>
    <xf numFmtId="176" fontId="38" fillId="0" borderId="14" xfId="0" applyNumberFormat="1" applyFont="1" applyFill="1" applyBorder="1" applyAlignment="1" applyProtection="1">
      <alignment horizontal="center" vertical="center"/>
    </xf>
    <xf numFmtId="167" fontId="58" fillId="0" borderId="5" xfId="0" applyNumberFormat="1" applyFont="1" applyFill="1" applyBorder="1" applyAlignment="1" applyProtection="1">
      <alignment horizontal="center" vertical="center"/>
    </xf>
    <xf numFmtId="170" fontId="38" fillId="0" borderId="1" xfId="0" applyNumberFormat="1" applyFont="1" applyFill="1" applyBorder="1" applyAlignment="1" applyProtection="1">
      <alignment horizontal="center" vertical="center"/>
    </xf>
    <xf numFmtId="0" fontId="64" fillId="0" borderId="0" xfId="0" applyFont="1" applyAlignment="1" applyProtection="1">
      <alignment vertical="center"/>
    </xf>
    <xf numFmtId="0" fontId="10" fillId="0" borderId="0" xfId="0" applyFont="1" applyBorder="1" applyAlignment="1" applyProtection="1">
      <alignment horizontal="center" vertical="center"/>
    </xf>
    <xf numFmtId="166" fontId="10" fillId="0" borderId="5" xfId="0" applyNumberFormat="1" applyFont="1" applyFill="1" applyBorder="1" applyAlignment="1" applyProtection="1">
      <alignment horizontal="right" vertical="center"/>
    </xf>
    <xf numFmtId="177" fontId="10" fillId="0" borderId="14" xfId="1" applyNumberFormat="1" applyFont="1" applyFill="1" applyBorder="1" applyAlignment="1" applyProtection="1">
      <alignment horizontal="center" vertical="center"/>
    </xf>
    <xf numFmtId="166" fontId="17" fillId="0" borderId="1" xfId="0" applyNumberFormat="1" applyFont="1" applyFill="1" applyBorder="1" applyAlignment="1" applyProtection="1">
      <alignment horizontal="center" vertical="center"/>
    </xf>
    <xf numFmtId="176" fontId="10" fillId="0" borderId="14" xfId="1" applyNumberFormat="1" applyFont="1" applyFill="1" applyBorder="1" applyAlignment="1" applyProtection="1">
      <alignment horizontal="center" vertical="center"/>
    </xf>
    <xf numFmtId="166" fontId="10" fillId="0" borderId="1" xfId="0" applyNumberFormat="1" applyFont="1" applyFill="1" applyBorder="1" applyAlignment="1" applyProtection="1">
      <alignment horizontal="center" vertical="center"/>
    </xf>
    <xf numFmtId="173" fontId="10" fillId="0" borderId="1" xfId="7" applyNumberFormat="1" applyFont="1" applyFill="1" applyBorder="1" applyAlignment="1" applyProtection="1">
      <alignment horizontal="center" vertical="center"/>
    </xf>
    <xf numFmtId="0" fontId="6"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protection locked="0"/>
    </xf>
    <xf numFmtId="0" fontId="14" fillId="0" borderId="1" xfId="0" applyFont="1" applyFill="1" applyBorder="1" applyAlignment="1" applyProtection="1">
      <alignment horizontal="center" vertical="center" wrapText="1"/>
    </xf>
    <xf numFmtId="0" fontId="10" fillId="0" borderId="3" xfId="0" applyFont="1" applyBorder="1" applyAlignment="1" applyProtection="1">
      <alignment horizontal="center" vertical="center"/>
    </xf>
    <xf numFmtId="0" fontId="10"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0" fillId="0" borderId="1" xfId="0" applyFont="1" applyFill="1" applyBorder="1" applyAlignment="1" applyProtection="1">
      <alignment horizontal="center" vertical="center"/>
    </xf>
    <xf numFmtId="176" fontId="38" fillId="0" borderId="1" xfId="0" applyNumberFormat="1" applyFont="1" applyFill="1" applyBorder="1" applyAlignment="1" applyProtection="1">
      <alignment horizontal="center" vertical="center"/>
    </xf>
    <xf numFmtId="176" fontId="24" fillId="0" borderId="14"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38" fillId="0" borderId="5" xfId="0" quotePrefix="1" applyFont="1" applyFill="1" applyBorder="1" applyAlignment="1" applyProtection="1">
      <alignment vertical="center" wrapText="1"/>
    </xf>
    <xf numFmtId="0" fontId="38" fillId="0" borderId="4" xfId="0" quotePrefix="1" applyFont="1" applyFill="1" applyBorder="1" applyAlignment="1" applyProtection="1">
      <alignment vertical="center" wrapText="1"/>
    </xf>
    <xf numFmtId="0" fontId="38" fillId="0" borderId="6" xfId="0" applyFont="1" applyFill="1" applyBorder="1" applyAlignment="1" applyProtection="1">
      <alignment horizontal="center" vertical="center"/>
    </xf>
    <xf numFmtId="168" fontId="38" fillId="9" borderId="1" xfId="0" applyNumberFormat="1" applyFont="1" applyFill="1" applyBorder="1" applyAlignment="1">
      <alignment horizontal="center" vertical="center"/>
    </xf>
    <xf numFmtId="171" fontId="38" fillId="0" borderId="1" xfId="0" applyNumberFormat="1" applyFont="1" applyFill="1" applyBorder="1" applyAlignment="1">
      <alignment horizontal="center" vertical="center"/>
    </xf>
    <xf numFmtId="170" fontId="38" fillId="0" borderId="1" xfId="0" applyNumberFormat="1" applyFont="1" applyFill="1" applyBorder="1" applyAlignment="1" applyProtection="1">
      <alignment horizontal="center" vertical="center"/>
      <protection locked="0"/>
    </xf>
    <xf numFmtId="0" fontId="38" fillId="0" borderId="0" xfId="0" applyFont="1" applyFill="1" applyAlignment="1" applyProtection="1">
      <alignment horizontal="center" vertical="center"/>
    </xf>
    <xf numFmtId="0" fontId="38" fillId="0" borderId="0" xfId="0" applyFont="1" applyFill="1" applyBorder="1" applyAlignment="1" applyProtection="1">
      <alignment horizontal="center" vertical="center" wrapText="1"/>
    </xf>
    <xf numFmtId="0" fontId="38" fillId="0" borderId="5" xfId="0" applyFont="1" applyFill="1" applyBorder="1" applyAlignment="1" applyProtection="1">
      <alignment vertical="center" wrapText="1"/>
    </xf>
    <xf numFmtId="0" fontId="38" fillId="0" borderId="9" xfId="0"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wrapText="1"/>
    </xf>
    <xf numFmtId="0" fontId="38" fillId="0" borderId="1" xfId="8" applyFont="1" applyFill="1" applyBorder="1" applyAlignment="1" applyProtection="1">
      <alignment horizontal="center" vertical="center"/>
    </xf>
    <xf numFmtId="0" fontId="42" fillId="0" borderId="1" xfId="0" applyFont="1" applyFill="1" applyBorder="1" applyAlignment="1">
      <alignment horizontal="center" vertical="center"/>
    </xf>
    <xf numFmtId="0" fontId="38" fillId="0" borderId="9" xfId="0" applyNumberFormat="1" applyFont="1" applyFill="1" applyBorder="1" applyAlignment="1">
      <alignment horizontal="center" vertical="center" wrapText="1"/>
    </xf>
    <xf numFmtId="0" fontId="38" fillId="9" borderId="1" xfId="0" applyFont="1" applyFill="1" applyBorder="1" applyAlignment="1">
      <alignment horizontal="center" vertical="center"/>
    </xf>
    <xf numFmtId="0" fontId="38" fillId="0" borderId="6" xfId="0" applyNumberFormat="1" applyFont="1" applyFill="1" applyBorder="1" applyAlignment="1">
      <alignment horizontal="center" vertical="center" wrapText="1"/>
    </xf>
    <xf numFmtId="0" fontId="38" fillId="0" borderId="5" xfId="0" applyNumberFormat="1" applyFont="1" applyFill="1" applyBorder="1" applyAlignment="1">
      <alignment horizontal="center" vertical="center"/>
    </xf>
    <xf numFmtId="0" fontId="38" fillId="0" borderId="0" xfId="0" applyFont="1" applyFill="1" applyBorder="1" applyAlignment="1" applyProtection="1">
      <alignment horizontal="center" vertical="center" wrapText="1"/>
      <protection locked="0"/>
    </xf>
    <xf numFmtId="170" fontId="14" fillId="0" borderId="0" xfId="0" applyNumberFormat="1" applyFont="1" applyFill="1" applyAlignment="1">
      <alignment horizontal="center" vertical="center"/>
    </xf>
    <xf numFmtId="0" fontId="38" fillId="0" borderId="1" xfId="0" applyFont="1" applyFill="1" applyBorder="1" applyAlignment="1">
      <alignment horizontal="center" vertical="center" wrapText="1"/>
    </xf>
    <xf numFmtId="0" fontId="24" fillId="0" borderId="1" xfId="8" applyFont="1" applyFill="1" applyBorder="1" applyAlignment="1" applyProtection="1">
      <alignment horizontal="center" vertical="center"/>
    </xf>
    <xf numFmtId="167" fontId="24" fillId="0" borderId="1" xfId="8" applyNumberFormat="1"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4" fillId="0" borderId="5" xfId="0" applyFont="1" applyBorder="1" applyAlignment="1">
      <alignment horizontal="center" vertical="center"/>
    </xf>
    <xf numFmtId="0" fontId="24" fillId="0" borderId="5" xfId="0" applyFont="1" applyFill="1" applyBorder="1" applyAlignment="1">
      <alignment horizontal="center" vertical="center" wrapText="1"/>
    </xf>
    <xf numFmtId="20" fontId="0" fillId="6" borderId="0" xfId="0" applyNumberFormat="1" applyFill="1" applyBorder="1">
      <alignment vertical="center"/>
    </xf>
    <xf numFmtId="0" fontId="24"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8" fillId="6" borderId="13" xfId="0" applyFont="1" applyFill="1" applyBorder="1" applyAlignment="1">
      <alignment vertical="center"/>
    </xf>
    <xf numFmtId="0" fontId="38" fillId="6" borderId="8" xfId="0" applyFont="1" applyFill="1" applyBorder="1" applyAlignment="1">
      <alignment vertical="center"/>
    </xf>
    <xf numFmtId="0" fontId="38"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8" fillId="6" borderId="1" xfId="0" applyFont="1" applyFill="1" applyBorder="1" applyAlignment="1" applyProtection="1">
      <alignment horizontal="center" vertical="center"/>
    </xf>
    <xf numFmtId="0" fontId="62" fillId="6" borderId="1" xfId="0" applyFont="1" applyFill="1" applyBorder="1" applyAlignment="1" applyProtection="1">
      <alignment horizontal="center" vertical="center" wrapText="1"/>
    </xf>
    <xf numFmtId="0" fontId="24" fillId="6" borderId="1" xfId="0" applyFont="1" applyFill="1" applyBorder="1" applyAlignment="1" applyProtection="1">
      <alignment horizontal="center" vertical="center"/>
    </xf>
    <xf numFmtId="0" fontId="14" fillId="6" borderId="5" xfId="0" applyFont="1" applyFill="1" applyBorder="1" applyAlignment="1" applyProtection="1">
      <alignment horizontal="center" vertical="center" wrapText="1"/>
    </xf>
    <xf numFmtId="0" fontId="14" fillId="6" borderId="9" xfId="0" applyFont="1" applyFill="1" applyBorder="1" applyAlignment="1" applyProtection="1">
      <alignment horizontal="center" vertical="center" wrapText="1"/>
    </xf>
    <xf numFmtId="0" fontId="14"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2"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1" fillId="5" borderId="0" xfId="8" applyNumberFormat="1" applyFont="1" applyFill="1" applyBorder="1" applyAlignment="1" applyProtection="1">
      <alignment horizontal="center" vertical="center" wrapText="1"/>
      <protection locked="0"/>
    </xf>
    <xf numFmtId="0" fontId="24" fillId="0" borderId="4" xfId="0" applyFont="1" applyBorder="1" applyAlignment="1">
      <alignment horizontal="center" vertical="center"/>
    </xf>
    <xf numFmtId="0" fontId="14" fillId="6"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24" fillId="6" borderId="13" xfId="0" applyFont="1" applyFill="1" applyBorder="1" applyAlignment="1" applyProtection="1">
      <alignment horizontal="center" vertical="center"/>
    </xf>
    <xf numFmtId="0" fontId="24" fillId="6" borderId="11" xfId="0" applyFont="1" applyFill="1" applyBorder="1" applyAlignment="1" applyProtection="1">
      <alignment horizontal="center" vertical="center"/>
    </xf>
    <xf numFmtId="0" fontId="10" fillId="0" borderId="0" xfId="0" applyFont="1" applyBorder="1" applyAlignment="1" applyProtection="1">
      <alignment vertical="center" wrapText="1"/>
    </xf>
    <xf numFmtId="14" fontId="72" fillId="5" borderId="0" xfId="8" applyNumberFormat="1" applyFont="1" applyFill="1" applyBorder="1" applyAlignment="1" applyProtection="1">
      <alignment horizontal="center" vertical="center" wrapText="1"/>
      <protection locked="0"/>
    </xf>
    <xf numFmtId="175" fontId="10" fillId="0" borderId="0" xfId="0" applyNumberFormat="1" applyFont="1" applyFill="1" applyBorder="1" applyAlignment="1" applyProtection="1">
      <alignment vertical="center" wrapText="1"/>
    </xf>
    <xf numFmtId="14" fontId="24" fillId="0" borderId="0" xfId="8" applyNumberFormat="1" applyFont="1" applyFill="1" applyBorder="1" applyAlignment="1" applyProtection="1">
      <alignment vertical="center" wrapText="1"/>
      <protection locked="0"/>
    </xf>
    <xf numFmtId="0" fontId="14" fillId="0" borderId="0" xfId="8" applyFont="1" applyFill="1" applyBorder="1" applyAlignment="1" applyProtection="1">
      <alignment horizontal="center" vertical="center" wrapText="1"/>
      <protection locked="0"/>
    </xf>
    <xf numFmtId="20" fontId="14" fillId="0" borderId="0" xfId="8" applyNumberFormat="1" applyFont="1" applyFill="1" applyBorder="1" applyAlignment="1" applyProtection="1">
      <alignment horizontal="center" vertical="center" wrapText="1"/>
      <protection locked="0"/>
    </xf>
    <xf numFmtId="0" fontId="14" fillId="0" borderId="0"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14" fontId="24" fillId="0" borderId="0" xfId="8" applyNumberFormat="1" applyFont="1" applyFill="1" applyBorder="1" applyAlignment="1" applyProtection="1">
      <alignment horizontal="center" vertical="center" wrapText="1"/>
      <protection locked="0"/>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24" fillId="0" borderId="0" xfId="0" applyFont="1" applyBorder="1" applyAlignment="1">
      <alignment horizontal="center" vertical="center"/>
    </xf>
    <xf numFmtId="0" fontId="24" fillId="0" borderId="13" xfId="8" applyFont="1" applyFill="1" applyBorder="1" applyAlignment="1" applyProtection="1">
      <alignment horizontal="center" vertical="center"/>
    </xf>
    <xf numFmtId="14" fontId="24" fillId="0" borderId="8" xfId="8" applyNumberFormat="1" applyFont="1" applyFill="1" applyBorder="1" applyAlignment="1" applyProtection="1">
      <alignment horizontal="center" vertical="center" wrapText="1"/>
    </xf>
    <xf numFmtId="0" fontId="24"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8" fillId="6" borderId="24" xfId="0" applyFont="1" applyFill="1" applyBorder="1" applyAlignment="1">
      <alignment vertical="center"/>
    </xf>
    <xf numFmtId="0" fontId="38"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4"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8" fillId="6" borderId="1" xfId="0" applyFont="1" applyFill="1" applyBorder="1" applyAlignment="1">
      <alignment horizontal="center" vertical="center"/>
    </xf>
    <xf numFmtId="0" fontId="18" fillId="0" borderId="0" xfId="0" applyFont="1" applyFill="1" applyAlignment="1">
      <alignment horizontal="left" vertical="center"/>
    </xf>
    <xf numFmtId="0" fontId="38" fillId="4" borderId="0" xfId="0" applyFont="1" applyFill="1" applyAlignment="1" applyProtection="1">
      <alignment horizontal="center" vertical="center"/>
    </xf>
    <xf numFmtId="0" fontId="38" fillId="0" borderId="9" xfId="8" applyFont="1" applyFill="1" applyBorder="1" applyAlignment="1" applyProtection="1">
      <alignment horizontal="center" vertical="center"/>
    </xf>
    <xf numFmtId="0" fontId="38" fillId="14" borderId="1" xfId="0" applyFont="1" applyFill="1" applyBorder="1" applyAlignment="1">
      <alignment horizontal="center" vertical="center"/>
    </xf>
    <xf numFmtId="0" fontId="38" fillId="14" borderId="1" xfId="0" applyFont="1" applyFill="1" applyBorder="1" applyAlignment="1">
      <alignment horizontal="center" vertical="center" wrapText="1"/>
    </xf>
    <xf numFmtId="0" fontId="17" fillId="0" borderId="1" xfId="0" applyFont="1" applyFill="1" applyBorder="1" applyAlignment="1" applyProtection="1">
      <alignment horizontal="center" vertical="center"/>
    </xf>
    <xf numFmtId="0" fontId="38" fillId="14" borderId="4" xfId="0" applyFont="1" applyFill="1" applyBorder="1" applyAlignment="1">
      <alignment horizontal="left" vertical="center" wrapText="1"/>
    </xf>
    <xf numFmtId="168" fontId="38" fillId="0" borderId="5" xfId="0" applyNumberFormat="1" applyFont="1" applyFill="1" applyBorder="1" applyAlignment="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1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170" fontId="38" fillId="0" borderId="6" xfId="0" applyNumberFormat="1" applyFont="1" applyFill="1" applyBorder="1" applyAlignment="1" applyProtection="1">
      <alignment horizontal="center" vertical="center"/>
      <protection locked="0"/>
    </xf>
    <xf numFmtId="0" fontId="52" fillId="0" borderId="0" xfId="0" applyFont="1" applyFill="1" applyAlignment="1" applyProtection="1">
      <alignment horizontal="center" vertical="center"/>
      <protection locked="0"/>
    </xf>
    <xf numFmtId="0" fontId="68" fillId="0" borderId="0" xfId="0" applyFont="1" applyFill="1" applyAlignment="1" applyProtection="1">
      <alignment horizontal="center" vertical="center"/>
      <protection locked="0"/>
    </xf>
    <xf numFmtId="0" fontId="70"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70" fillId="0" borderId="1" xfId="0" applyFont="1" applyFill="1" applyBorder="1" applyAlignment="1">
      <alignment horizontal="center" vertical="center"/>
    </xf>
    <xf numFmtId="14" fontId="77" fillId="5" borderId="8" xfId="8" applyNumberFormat="1" applyFont="1" applyFill="1" applyBorder="1" applyAlignment="1" applyProtection="1">
      <alignment horizontal="center" vertical="center" wrapText="1"/>
      <protection locked="0"/>
    </xf>
    <xf numFmtId="0" fontId="10" fillId="0" borderId="5" xfId="0" applyFont="1" applyBorder="1" applyAlignment="1" applyProtection="1">
      <alignment vertical="center" wrapText="1"/>
    </xf>
    <xf numFmtId="0" fontId="10" fillId="0" borderId="9" xfId="0" applyFont="1" applyBorder="1" applyAlignment="1" applyProtection="1">
      <alignment vertical="center" wrapText="1"/>
    </xf>
    <xf numFmtId="0" fontId="10" fillId="0" borderId="6" xfId="0" applyFont="1" applyBorder="1" applyAlignment="1" applyProtection="1">
      <alignment vertical="center" wrapText="1"/>
    </xf>
    <xf numFmtId="0" fontId="10" fillId="0" borderId="9" xfId="0" applyFont="1" applyBorder="1" applyAlignment="1" applyProtection="1">
      <alignment vertical="center"/>
    </xf>
    <xf numFmtId="0" fontId="62" fillId="0" borderId="5" xfId="0" applyFont="1" applyFill="1" applyBorder="1" applyAlignment="1" applyProtection="1">
      <alignment vertical="center" wrapText="1"/>
    </xf>
    <xf numFmtId="0" fontId="62" fillId="0" borderId="9" xfId="0" applyFont="1" applyFill="1" applyBorder="1" applyAlignment="1" applyProtection="1">
      <alignment vertical="center" wrapText="1"/>
    </xf>
    <xf numFmtId="0" fontId="62" fillId="0" borderId="6" xfId="0" applyFont="1" applyFill="1" applyBorder="1" applyAlignment="1" applyProtection="1">
      <alignment vertical="center" wrapText="1"/>
    </xf>
    <xf numFmtId="0" fontId="62" fillId="0" borderId="9" xfId="0" applyFont="1" applyFill="1" applyBorder="1" applyAlignment="1" applyProtection="1">
      <alignment vertical="center"/>
    </xf>
    <xf numFmtId="0" fontId="24" fillId="0" borderId="5" xfId="8" applyFont="1" applyFill="1" applyBorder="1" applyAlignment="1" applyProtection="1">
      <alignment vertical="center" wrapText="1"/>
    </xf>
    <xf numFmtId="0" fontId="24" fillId="0" borderId="9" xfId="8" applyFont="1" applyFill="1" applyBorder="1" applyAlignment="1" applyProtection="1">
      <alignment vertical="center" wrapText="1"/>
    </xf>
    <xf numFmtId="0" fontId="24" fillId="0" borderId="6" xfId="8" applyFont="1" applyFill="1" applyBorder="1" applyAlignment="1" applyProtection="1">
      <alignment vertical="center" wrapText="1"/>
    </xf>
    <xf numFmtId="0" fontId="14" fillId="0" borderId="1" xfId="8" applyNumberFormat="1" applyFont="1" applyFill="1" applyBorder="1" applyAlignment="1" applyProtection="1">
      <alignment horizontal="center" vertical="center"/>
      <protection locked="0"/>
    </xf>
    <xf numFmtId="0" fontId="14" fillId="0" borderId="1" xfId="8" applyNumberFormat="1" applyFont="1" applyFill="1" applyBorder="1" applyAlignment="1" applyProtection="1">
      <alignment horizontal="center" vertical="center" wrapText="1"/>
      <protection locked="0"/>
    </xf>
    <xf numFmtId="49" fontId="91" fillId="0" borderId="1" xfId="0" applyNumberFormat="1" applyFont="1" applyBorder="1" applyAlignment="1">
      <alignment horizontal="center" vertical="center"/>
    </xf>
    <xf numFmtId="0" fontId="38" fillId="0" borderId="0" xfId="0" applyFont="1" applyFill="1" applyAlignment="1">
      <alignment horizontal="center" vertical="center"/>
    </xf>
    <xf numFmtId="0" fontId="38" fillId="0" borderId="7" xfId="0" applyFont="1" applyFill="1" applyBorder="1" applyAlignment="1">
      <alignment horizontal="center" vertical="center"/>
    </xf>
    <xf numFmtId="0" fontId="38" fillId="0" borderId="1" xfId="8" applyNumberFormat="1" applyFont="1" applyFill="1" applyBorder="1" applyAlignment="1" applyProtection="1">
      <alignment horizontal="center" vertical="center"/>
      <protection locked="0"/>
    </xf>
    <xf numFmtId="0" fontId="38" fillId="0" borderId="7" xfId="0" applyFont="1" applyFill="1" applyBorder="1" applyAlignment="1" applyProtection="1">
      <alignment vertical="center"/>
    </xf>
    <xf numFmtId="0" fontId="38" fillId="0" borderId="9" xfId="0" quotePrefix="1" applyFont="1" applyFill="1" applyBorder="1" applyAlignment="1" applyProtection="1">
      <alignment horizontal="centerContinuous" vertical="center"/>
    </xf>
    <xf numFmtId="0" fontId="38" fillId="0" borderId="6" xfId="0" quotePrefix="1" applyFont="1" applyFill="1" applyBorder="1" applyAlignment="1" applyProtection="1">
      <alignment horizontal="centerContinuous" vertical="center"/>
    </xf>
    <xf numFmtId="0" fontId="24" fillId="0" borderId="1" xfId="8" applyFont="1" applyFill="1" applyBorder="1" applyAlignment="1" applyProtection="1">
      <alignment horizontal="center" vertical="center" wrapText="1"/>
      <protection locked="0"/>
    </xf>
    <xf numFmtId="168" fontId="50" fillId="0" borderId="1" xfId="0" applyNumberFormat="1" applyFont="1" applyFill="1" applyBorder="1" applyAlignment="1">
      <alignment horizontal="center" vertical="center"/>
    </xf>
    <xf numFmtId="0" fontId="51" fillId="0" borderId="1" xfId="0" applyFont="1" applyFill="1" applyBorder="1" applyAlignment="1">
      <alignment horizontal="center" vertical="center"/>
    </xf>
    <xf numFmtId="0" fontId="38" fillId="0" borderId="9" xfId="0" applyFont="1" applyFill="1" applyBorder="1" applyAlignment="1" applyProtection="1">
      <alignment horizontal="center" vertical="center"/>
    </xf>
    <xf numFmtId="0" fontId="38" fillId="0" borderId="3" xfId="0" applyFont="1" applyFill="1" applyBorder="1" applyAlignment="1">
      <alignment horizontal="center" vertical="center"/>
    </xf>
    <xf numFmtId="0" fontId="38" fillId="0" borderId="2" xfId="0" applyFont="1" applyFill="1" applyBorder="1" applyAlignment="1">
      <alignment horizontal="center" vertical="center"/>
    </xf>
    <xf numFmtId="0" fontId="50" fillId="0" borderId="2" xfId="0" applyFont="1" applyFill="1" applyBorder="1" applyAlignment="1" applyProtection="1">
      <alignment horizontal="center" vertical="center" wrapText="1"/>
    </xf>
    <xf numFmtId="0" fontId="38" fillId="0" borderId="2" xfId="0" applyFont="1" applyFill="1" applyBorder="1" applyAlignment="1" applyProtection="1">
      <alignment horizontal="center" vertical="center" wrapText="1"/>
    </xf>
    <xf numFmtId="0" fontId="38" fillId="0" borderId="2" xfId="0" applyNumberFormat="1" applyFont="1" applyFill="1" applyBorder="1" applyAlignment="1" applyProtection="1">
      <alignment horizontal="center" vertical="center" wrapText="1"/>
    </xf>
    <xf numFmtId="0" fontId="38" fillId="0" borderId="5" xfId="0" applyFont="1" applyFill="1" applyBorder="1" applyAlignment="1" applyProtection="1">
      <alignment horizontal="centerContinuous" vertical="center" wrapText="1"/>
    </xf>
    <xf numFmtId="0" fontId="38" fillId="0" borderId="9" xfId="0" applyFont="1" applyFill="1" applyBorder="1" applyAlignment="1" applyProtection="1">
      <alignment horizontal="centerContinuous" vertical="center" wrapText="1"/>
    </xf>
    <xf numFmtId="0" fontId="38" fillId="0" borderId="5" xfId="0" quotePrefix="1" applyFont="1" applyFill="1" applyBorder="1" applyAlignment="1" applyProtection="1">
      <alignment horizontal="centerContinuous" vertical="center"/>
    </xf>
    <xf numFmtId="0" fontId="38" fillId="0" borderId="9" xfId="0" applyFont="1" applyFill="1" applyBorder="1" applyAlignment="1" applyProtection="1">
      <alignment horizontal="centerContinuous" vertical="center"/>
    </xf>
    <xf numFmtId="0" fontId="38" fillId="0" borderId="6" xfId="0" applyFont="1" applyFill="1" applyBorder="1" applyAlignment="1" applyProtection="1">
      <alignment horizontal="centerContinuous" vertical="center"/>
    </xf>
    <xf numFmtId="0" fontId="73" fillId="4" borderId="9" xfId="0" applyFont="1" applyFill="1" applyBorder="1" applyAlignment="1" applyProtection="1">
      <alignment horizontal="centerContinuous" vertical="center"/>
    </xf>
    <xf numFmtId="0" fontId="38" fillId="4" borderId="9" xfId="0" applyFont="1" applyFill="1" applyBorder="1" applyAlignment="1" applyProtection="1">
      <alignment horizontal="centerContinuous" vertical="center"/>
    </xf>
    <xf numFmtId="0" fontId="38" fillId="4" borderId="0" xfId="0" applyFont="1" applyFill="1" applyAlignment="1" applyProtection="1">
      <alignment horizontal="centerContinuous" vertical="center"/>
    </xf>
    <xf numFmtId="0" fontId="94" fillId="0" borderId="0" xfId="0" applyFont="1" applyFill="1" applyAlignment="1">
      <alignment horizontal="center" vertical="center"/>
    </xf>
    <xf numFmtId="0" fontId="94" fillId="0" borderId="0" xfId="0" applyFont="1" applyFill="1" applyAlignment="1">
      <alignment horizontal="centerContinuous" vertical="center" wrapText="1"/>
    </xf>
    <xf numFmtId="0" fontId="94" fillId="0" borderId="0" xfId="0" applyFont="1" applyFill="1" applyAlignment="1">
      <alignment horizontal="centerContinuous" vertical="center"/>
    </xf>
    <xf numFmtId="0" fontId="94" fillId="0" borderId="7" xfId="0" applyFont="1" applyFill="1" applyBorder="1" applyAlignment="1">
      <alignment horizontal="centerContinuous" vertical="center"/>
    </xf>
    <xf numFmtId="0" fontId="38" fillId="0" borderId="3" xfId="0" applyFont="1" applyFill="1" applyBorder="1" applyAlignment="1">
      <alignment vertical="center" wrapText="1"/>
    </xf>
    <xf numFmtId="0" fontId="38"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50" fillId="0" borderId="5" xfId="0" applyFont="1" applyFill="1" applyBorder="1" applyAlignment="1" applyProtection="1">
      <alignment vertical="center"/>
    </xf>
    <xf numFmtId="0" fontId="50" fillId="0" borderId="9" xfId="0" applyFont="1" applyFill="1" applyBorder="1" applyAlignment="1" applyProtection="1">
      <alignment horizontal="centerContinuous" vertical="center"/>
    </xf>
    <xf numFmtId="169" fontId="50" fillId="0" borderId="1" xfId="0" applyNumberFormat="1" applyFont="1" applyFill="1" applyBorder="1" applyAlignment="1" applyProtection="1">
      <alignment horizontal="center" vertical="center"/>
    </xf>
    <xf numFmtId="166" fontId="50" fillId="0" borderId="5" xfId="0" applyNumberFormat="1" applyFont="1" applyFill="1" applyBorder="1" applyAlignment="1">
      <alignment horizontal="center" vertical="center"/>
    </xf>
    <xf numFmtId="170" fontId="50" fillId="0" borderId="1" xfId="0" applyNumberFormat="1" applyFont="1" applyFill="1" applyBorder="1" applyAlignment="1" applyProtection="1">
      <alignment horizontal="center" vertical="center"/>
    </xf>
    <xf numFmtId="173" fontId="50" fillId="0" borderId="1" xfId="7" applyNumberFormat="1" applyFont="1" applyFill="1" applyBorder="1" applyAlignment="1" applyProtection="1">
      <alignment horizontal="center" vertical="center"/>
    </xf>
    <xf numFmtId="169" fontId="50" fillId="0" borderId="1" xfId="0" applyNumberFormat="1" applyFont="1" applyFill="1" applyBorder="1" applyAlignment="1">
      <alignment horizontal="center" vertical="center"/>
    </xf>
    <xf numFmtId="10" fontId="50" fillId="0" borderId="1" xfId="7" applyNumberFormat="1" applyFont="1" applyFill="1" applyBorder="1" applyAlignment="1" applyProtection="1">
      <alignment horizontal="center" vertical="center"/>
    </xf>
    <xf numFmtId="0" fontId="50" fillId="4" borderId="9" xfId="0" applyFont="1" applyFill="1" applyBorder="1" applyAlignment="1" applyProtection="1">
      <alignment horizontal="centerContinuous" vertical="center"/>
    </xf>
    <xf numFmtId="0" fontId="50" fillId="0" borderId="5" xfId="0" applyFont="1" applyFill="1" applyBorder="1" applyAlignment="1" applyProtection="1">
      <alignment horizontal="centerContinuous" vertical="center" wrapText="1"/>
    </xf>
    <xf numFmtId="0" fontId="50" fillId="0" borderId="9" xfId="0" applyFont="1" applyFill="1" applyBorder="1" applyAlignment="1" applyProtection="1">
      <alignment horizontal="centerContinuous" vertical="center" wrapText="1"/>
    </xf>
    <xf numFmtId="0" fontId="93" fillId="0" borderId="6" xfId="0" applyFont="1" applyBorder="1" applyAlignment="1">
      <alignment horizontal="centerContinuous" vertical="center" wrapText="1"/>
    </xf>
    <xf numFmtId="0" fontId="50" fillId="0" borderId="0" xfId="0" applyFont="1" applyFill="1" applyBorder="1" applyAlignment="1">
      <alignment horizontal="center" vertical="center"/>
    </xf>
    <xf numFmtId="0" fontId="50" fillId="4" borderId="0" xfId="0" applyFont="1" applyFill="1" applyAlignment="1" applyProtection="1">
      <alignment horizontal="centerContinuous" vertical="center"/>
    </xf>
    <xf numFmtId="0" fontId="5" fillId="0" borderId="0" xfId="82"/>
    <xf numFmtId="43" fontId="97" fillId="36" borderId="1" xfId="83" applyFont="1" applyFill="1" applyBorder="1" applyAlignment="1">
      <alignment horizontal="center" vertical="center"/>
    </xf>
    <xf numFmtId="0" fontId="97" fillId="36" borderId="1" xfId="82" applyFont="1" applyFill="1" applyBorder="1" applyAlignment="1">
      <alignment horizontal="center" vertical="center"/>
    </xf>
    <xf numFmtId="0" fontId="96" fillId="0" borderId="0" xfId="82" applyFont="1"/>
    <xf numFmtId="43" fontId="0" fillId="0" borderId="0" xfId="83" applyFont="1"/>
    <xf numFmtId="0" fontId="97" fillId="0" borderId="0" xfId="82" applyFont="1"/>
    <xf numFmtId="0" fontId="5" fillId="0" borderId="1" xfId="82" applyFont="1" applyBorder="1"/>
    <xf numFmtId="0" fontId="5" fillId="0" borderId="0" xfId="82" applyFont="1"/>
    <xf numFmtId="0" fontId="38" fillId="35" borderId="0" xfId="0" applyFont="1" applyFill="1">
      <alignment vertical="center"/>
    </xf>
    <xf numFmtId="0" fontId="98" fillId="35" borderId="0" xfId="0" applyFont="1" applyFill="1">
      <alignment vertical="center"/>
    </xf>
    <xf numFmtId="0" fontId="100" fillId="0" borderId="0" xfId="0" applyFont="1" applyAlignment="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52" fillId="0" borderId="5" xfId="0" applyFont="1" applyFill="1" applyBorder="1" applyAlignment="1">
      <alignment horizontal="center" vertical="center" wrapText="1"/>
    </xf>
    <xf numFmtId="0" fontId="17" fillId="0" borderId="6" xfId="0" applyFont="1" applyFill="1" applyBorder="1" applyAlignment="1" applyProtection="1">
      <alignment horizontal="center" vertical="center" wrapText="1"/>
    </xf>
    <xf numFmtId="0" fontId="32" fillId="0" borderId="1"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18" fillId="0" borderId="0" xfId="0" applyFont="1">
      <alignment vertical="center"/>
    </xf>
    <xf numFmtId="0" fontId="38" fillId="0" borderId="0" xfId="0" applyFont="1">
      <alignment vertical="center"/>
    </xf>
    <xf numFmtId="0" fontId="98" fillId="0" borderId="0" xfId="0" applyFont="1">
      <alignment vertical="center"/>
    </xf>
    <xf numFmtId="0" fontId="50" fillId="0" borderId="0" xfId="0" applyFont="1">
      <alignment vertical="center"/>
    </xf>
    <xf numFmtId="0" fontId="102" fillId="0" borderId="0" xfId="0" applyFont="1">
      <alignment vertical="center"/>
    </xf>
    <xf numFmtId="20" fontId="102" fillId="0" borderId="0" xfId="0" applyNumberFormat="1" applyFont="1" applyAlignment="1">
      <alignment horizontal="left" vertical="center"/>
    </xf>
    <xf numFmtId="0" fontId="103" fillId="0" borderId="0" xfId="0" applyFont="1">
      <alignment vertical="center"/>
    </xf>
    <xf numFmtId="20" fontId="98" fillId="0" borderId="0" xfId="0" applyNumberFormat="1" applyFont="1" applyAlignment="1">
      <alignment horizontal="left" vertical="center"/>
    </xf>
    <xf numFmtId="0" fontId="103" fillId="0" borderId="1" xfId="0" applyFont="1" applyBorder="1" applyAlignment="1">
      <alignment horizontal="center" vertical="center"/>
    </xf>
    <xf numFmtId="0" fontId="103" fillId="0" borderId="1" xfId="0" applyFont="1" applyBorder="1" applyAlignment="1">
      <alignment horizontal="center" wrapText="1"/>
    </xf>
    <xf numFmtId="0" fontId="103" fillId="0" borderId="1" xfId="0" applyFont="1" applyFill="1" applyBorder="1" applyAlignment="1">
      <alignment horizontal="center" vertical="center"/>
    </xf>
    <xf numFmtId="0" fontId="38" fillId="0" borderId="0" xfId="0" applyFont="1" applyAlignment="1">
      <alignment horizontal="center" vertical="center"/>
    </xf>
    <xf numFmtId="0" fontId="50" fillId="0" borderId="1" xfId="0" applyFont="1" applyBorder="1" applyAlignment="1">
      <alignment horizontal="center" vertical="center"/>
    </xf>
    <xf numFmtId="0" fontId="50" fillId="0" borderId="1" xfId="0" applyFont="1" applyBorder="1" applyAlignment="1">
      <alignment horizontal="center" wrapText="1"/>
    </xf>
    <xf numFmtId="0" fontId="50" fillId="0" borderId="0" xfId="0" applyFont="1" applyAlignment="1">
      <alignment horizontal="center" vertical="center"/>
    </xf>
    <xf numFmtId="0" fontId="103" fillId="0" borderId="1" xfId="0" applyFont="1" applyBorder="1" applyAlignment="1"/>
    <xf numFmtId="0" fontId="103" fillId="11" borderId="1" xfId="0" applyFont="1" applyFill="1" applyBorder="1" applyAlignment="1" applyProtection="1">
      <protection locked="0"/>
    </xf>
    <xf numFmtId="10" fontId="103" fillId="0" borderId="1" xfId="7" applyNumberFormat="1" applyFont="1" applyBorder="1" applyAlignment="1"/>
    <xf numFmtId="0" fontId="50" fillId="0" borderId="1" xfId="0" applyFont="1" applyBorder="1" applyAlignment="1"/>
    <xf numFmtId="0" fontId="50" fillId="11" borderId="1" xfId="0" applyFont="1" applyFill="1" applyBorder="1" applyAlignment="1" applyProtection="1">
      <protection locked="0"/>
    </xf>
    <xf numFmtId="10" fontId="50" fillId="0" borderId="1" xfId="7" applyNumberFormat="1" applyFont="1" applyBorder="1" applyAlignment="1"/>
    <xf numFmtId="0" fontId="103" fillId="0" borderId="0" xfId="0" applyFont="1" applyAlignment="1"/>
    <xf numFmtId="10" fontId="103" fillId="5" borderId="0" xfId="0" applyNumberFormat="1" applyFont="1" applyFill="1" applyAlignment="1"/>
    <xf numFmtId="0" fontId="50" fillId="0" borderId="0" xfId="0" applyFont="1" applyAlignment="1"/>
    <xf numFmtId="10" fontId="50" fillId="5" borderId="0" xfId="0" applyNumberFormat="1" applyFont="1" applyFill="1" applyAlignment="1"/>
    <xf numFmtId="0" fontId="51" fillId="0" borderId="0" xfId="0" applyFont="1" applyFill="1" applyAlignment="1"/>
    <xf numFmtId="20" fontId="54" fillId="0" borderId="0" xfId="0" applyNumberFormat="1" applyFont="1" applyAlignment="1">
      <alignment horizontal="left" vertical="center"/>
    </xf>
    <xf numFmtId="10" fontId="51" fillId="0" borderId="0" xfId="0" applyNumberFormat="1" applyFont="1" applyFill="1" applyAlignment="1"/>
    <xf numFmtId="0" fontId="38" fillId="0" borderId="0" xfId="0" applyFont="1" applyFill="1">
      <alignment vertical="center"/>
    </xf>
    <xf numFmtId="0" fontId="50" fillId="0" borderId="0" xfId="0" applyFont="1" applyFill="1" applyAlignment="1"/>
    <xf numFmtId="10" fontId="50" fillId="0" borderId="0" xfId="0" applyNumberFormat="1" applyFont="1" applyFill="1" applyAlignment="1"/>
    <xf numFmtId="0" fontId="50" fillId="0" borderId="0" xfId="0" applyFont="1" applyFill="1">
      <alignment vertical="center"/>
    </xf>
    <xf numFmtId="0" fontId="51" fillId="0" borderId="1" xfId="0" applyFont="1" applyBorder="1" applyAlignment="1">
      <alignment horizontal="center" vertical="center"/>
    </xf>
    <xf numFmtId="0" fontId="51" fillId="0" borderId="1" xfId="0" applyFont="1" applyBorder="1" applyAlignment="1">
      <alignment horizontal="center" wrapText="1"/>
    </xf>
    <xf numFmtId="0" fontId="51" fillId="0" borderId="1" xfId="0" applyFont="1" applyBorder="1" applyAlignment="1"/>
    <xf numFmtId="0" fontId="51" fillId="11" borderId="1" xfId="0" applyFont="1" applyFill="1" applyBorder="1" applyAlignment="1" applyProtection="1">
      <protection locked="0"/>
    </xf>
    <xf numFmtId="10" fontId="51" fillId="0" borderId="1" xfId="7" applyNumberFormat="1" applyFont="1" applyBorder="1" applyAlignment="1"/>
    <xf numFmtId="0" fontId="51" fillId="0" borderId="0" xfId="0" applyFont="1" applyAlignment="1"/>
    <xf numFmtId="10" fontId="51" fillId="5" borderId="0" xfId="0" applyNumberFormat="1" applyFont="1" applyFill="1" applyAlignment="1"/>
    <xf numFmtId="10" fontId="104" fillId="38" borderId="6" xfId="7" applyNumberFormat="1" applyFont="1" applyFill="1" applyBorder="1" applyAlignment="1" applyProtection="1">
      <alignment horizontal="center" vertical="center" wrapText="1"/>
      <protection locked="0"/>
    </xf>
    <xf numFmtId="10" fontId="105" fillId="38" borderId="6" xfId="7" applyNumberFormat="1" applyFont="1" applyFill="1" applyBorder="1" applyAlignment="1" applyProtection="1">
      <alignment horizontal="center" vertical="center" wrapText="1"/>
      <protection locked="0"/>
    </xf>
    <xf numFmtId="0" fontId="103" fillId="0" borderId="0" xfId="0" applyFont="1" applyBorder="1" applyAlignment="1"/>
    <xf numFmtId="10" fontId="103" fillId="0" borderId="0" xfId="7" applyNumberFormat="1" applyFont="1" applyBorder="1" applyAlignment="1"/>
    <xf numFmtId="0" fontId="103" fillId="0" borderId="0" xfId="0" applyFont="1" applyFill="1" applyAlignment="1"/>
    <xf numFmtId="10" fontId="55" fillId="38" borderId="6" xfId="7" applyNumberFormat="1" applyFont="1" applyFill="1" applyBorder="1" applyAlignment="1" applyProtection="1">
      <alignment horizontal="center" vertical="center" wrapText="1"/>
      <protection locked="0"/>
    </xf>
    <xf numFmtId="0" fontId="51" fillId="0" borderId="0" xfId="0" applyFont="1">
      <alignment vertical="center"/>
    </xf>
    <xf numFmtId="20" fontId="54" fillId="0" borderId="0" xfId="0" applyNumberFormat="1" applyFont="1" applyFill="1" applyAlignment="1">
      <alignment horizontal="left" vertical="center"/>
    </xf>
    <xf numFmtId="0" fontId="51" fillId="0" borderId="0" xfId="0" applyFont="1" applyFill="1">
      <alignment vertical="center"/>
    </xf>
    <xf numFmtId="0" fontId="51" fillId="0" borderId="1" xfId="0" applyFont="1" applyFill="1" applyBorder="1" applyAlignment="1">
      <alignment horizontal="center" wrapText="1"/>
    </xf>
    <xf numFmtId="0" fontId="51" fillId="0" borderId="0" xfId="0" applyFont="1" applyBorder="1" applyAlignment="1"/>
    <xf numFmtId="10" fontId="51" fillId="0" borderId="0" xfId="7" applyNumberFormat="1" applyFont="1" applyBorder="1" applyAlignment="1"/>
    <xf numFmtId="0" fontId="38" fillId="0" borderId="0" xfId="0" applyFont="1" applyAlignment="1"/>
    <xf numFmtId="0" fontId="24" fillId="0" borderId="11"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24" fillId="0" borderId="3" xfId="0" applyFont="1" applyFill="1" applyBorder="1" applyAlignment="1">
      <alignment vertical="center" wrapText="1"/>
    </xf>
    <xf numFmtId="0" fontId="106" fillId="0" borderId="10" xfId="0" applyFont="1" applyFill="1" applyBorder="1" applyAlignment="1">
      <alignment horizontal="left" vertical="center" wrapText="1"/>
    </xf>
    <xf numFmtId="0" fontId="106" fillId="0" borderId="2" xfId="0" applyFont="1" applyFill="1" applyBorder="1" applyAlignment="1">
      <alignment horizontal="left" vertical="center" wrapText="1"/>
    </xf>
    <xf numFmtId="0" fontId="24" fillId="0" borderId="13" xfId="0" applyFont="1" applyFill="1" applyBorder="1" applyAlignment="1">
      <alignment vertical="center" wrapText="1"/>
    </xf>
    <xf numFmtId="0" fontId="106" fillId="0" borderId="0" xfId="0" applyFont="1" applyFill="1" applyBorder="1" applyAlignment="1">
      <alignment horizontal="left" vertical="center" wrapText="1"/>
    </xf>
    <xf numFmtId="0" fontId="106" fillId="0" borderId="4" xfId="0" applyFont="1" applyFill="1" applyBorder="1" applyAlignment="1">
      <alignment horizontal="left" vertical="center" wrapText="1"/>
    </xf>
    <xf numFmtId="0" fontId="24" fillId="14" borderId="4" xfId="0" applyFont="1" applyFill="1" applyBorder="1" applyAlignment="1" applyProtection="1">
      <alignment horizontal="center" vertical="center" wrapText="1"/>
      <protection locked="0"/>
    </xf>
    <xf numFmtId="0" fontId="106" fillId="14"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0" xfId="0" applyFont="1" applyFill="1" applyBorder="1" applyAlignment="1" applyProtection="1">
      <alignment horizontal="center" vertical="center" wrapText="1"/>
      <protection locked="0"/>
    </xf>
    <xf numFmtId="0" fontId="24" fillId="0" borderId="0" xfId="0" applyFont="1" applyBorder="1" applyAlignment="1" applyProtection="1">
      <alignment horizontal="center" vertical="center"/>
      <protection locked="0"/>
    </xf>
    <xf numFmtId="0" fontId="24" fillId="0" borderId="4"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protection locked="0"/>
    </xf>
    <xf numFmtId="0" fontId="107" fillId="0" borderId="0" xfId="0" applyFont="1" applyFill="1" applyBorder="1" applyAlignment="1" applyProtection="1">
      <alignment horizontal="centerContinuous" vertical="distributed" wrapText="1"/>
    </xf>
    <xf numFmtId="0" fontId="108" fillId="0" borderId="0" xfId="0" applyFont="1" applyFill="1" applyBorder="1" applyAlignment="1" applyProtection="1">
      <alignment horizontal="centerContinuous" vertical="distributed" wrapText="1"/>
    </xf>
    <xf numFmtId="0" fontId="50" fillId="0" borderId="0" xfId="0" applyFont="1" applyFill="1" applyAlignment="1">
      <alignment horizontal="left" vertical="center"/>
    </xf>
    <xf numFmtId="0" fontId="50" fillId="0" borderId="13" xfId="0" applyFont="1" applyFill="1" applyBorder="1" applyAlignment="1" applyProtection="1">
      <alignment horizontal="center" vertical="center"/>
    </xf>
    <xf numFmtId="0" fontId="50" fillId="9" borderId="13" xfId="0" quotePrefix="1" applyFont="1" applyFill="1" applyBorder="1" applyAlignment="1" applyProtection="1">
      <alignment vertical="center" wrapText="1"/>
    </xf>
    <xf numFmtId="0" fontId="50" fillId="0" borderId="5" xfId="0" quotePrefix="1" applyFont="1" applyFill="1" applyBorder="1" applyAlignment="1" applyProtection="1">
      <alignment vertical="center" wrapText="1"/>
    </xf>
    <xf numFmtId="0" fontId="50" fillId="0" borderId="1" xfId="0" quotePrefix="1" applyFont="1" applyFill="1" applyBorder="1" applyAlignment="1" applyProtection="1">
      <alignment vertical="center" wrapText="1"/>
    </xf>
    <xf numFmtId="0" fontId="38" fillId="0" borderId="0" xfId="0" applyFont="1" applyFill="1" applyBorder="1" applyAlignment="1" applyProtection="1">
      <alignment horizontal="center" vertical="center"/>
    </xf>
    <xf numFmtId="0" fontId="50" fillId="9" borderId="4" xfId="0" applyFont="1" applyFill="1" applyBorder="1" applyAlignment="1" applyProtection="1">
      <alignment vertical="center" wrapText="1"/>
    </xf>
    <xf numFmtId="0" fontId="50" fillId="0" borderId="1" xfId="0" applyNumberFormat="1" applyFont="1" applyFill="1" applyBorder="1" applyAlignment="1" applyProtection="1">
      <alignment horizontal="center" vertical="center"/>
    </xf>
    <xf numFmtId="184" fontId="50" fillId="9" borderId="6" xfId="0" applyNumberFormat="1" applyFont="1" applyFill="1" applyBorder="1" applyAlignment="1" applyProtection="1">
      <alignment horizontal="center" vertical="center"/>
    </xf>
    <xf numFmtId="185" fontId="50" fillId="0" borderId="6" xfId="0" applyNumberFormat="1" applyFont="1" applyFill="1" applyBorder="1" applyAlignment="1" applyProtection="1">
      <alignment horizontal="center" vertical="center"/>
    </xf>
    <xf numFmtId="170" fontId="50" fillId="0" borderId="6" xfId="0" applyNumberFormat="1" applyFont="1" applyFill="1" applyBorder="1" applyAlignment="1" applyProtection="1">
      <alignment horizontal="center" vertical="center"/>
      <protection locked="0"/>
    </xf>
    <xf numFmtId="170" fontId="50" fillId="0" borderId="1" xfId="0" applyNumberFormat="1" applyFont="1" applyFill="1" applyBorder="1" applyAlignment="1" applyProtection="1">
      <alignment horizontal="center" vertical="center"/>
      <protection locked="0"/>
    </xf>
    <xf numFmtId="186" fontId="50" fillId="9" borderId="6" xfId="0" applyNumberFormat="1" applyFont="1" applyFill="1" applyBorder="1" applyAlignment="1" applyProtection="1">
      <alignment horizontal="center" vertical="center"/>
    </xf>
    <xf numFmtId="185" fontId="50" fillId="9" borderId="6" xfId="0" applyNumberFormat="1" applyFont="1" applyFill="1" applyBorder="1" applyAlignment="1" applyProtection="1">
      <alignment horizontal="center" vertical="center"/>
    </xf>
    <xf numFmtId="170" fontId="50" fillId="0" borderId="1" xfId="0" applyNumberFormat="1" applyFont="1" applyFill="1" applyBorder="1" applyAlignment="1">
      <alignment horizontal="center" vertical="center"/>
    </xf>
    <xf numFmtId="176" fontId="50" fillId="9" borderId="1" xfId="1" applyNumberFormat="1" applyFont="1" applyFill="1" applyBorder="1" applyAlignment="1">
      <alignment horizontal="center" vertical="center"/>
    </xf>
    <xf numFmtId="0" fontId="50" fillId="0" borderId="8" xfId="0" applyFont="1" applyFill="1" applyBorder="1" applyAlignment="1">
      <alignment horizontal="center" vertical="center" wrapText="1"/>
    </xf>
    <xf numFmtId="0" fontId="50" fillId="0" borderId="9" xfId="0" applyNumberFormat="1" applyFont="1" applyFill="1" applyBorder="1" applyAlignment="1">
      <alignment horizontal="center" vertical="center" wrapText="1"/>
    </xf>
    <xf numFmtId="0" fontId="50" fillId="0" borderId="9" xfId="0" applyFont="1" applyFill="1" applyBorder="1" applyAlignment="1">
      <alignment vertical="center"/>
    </xf>
    <xf numFmtId="0" fontId="38" fillId="0" borderId="13" xfId="0" applyFont="1" applyFill="1" applyBorder="1" applyAlignment="1" applyProtection="1">
      <alignment horizontal="center" vertical="center"/>
    </xf>
    <xf numFmtId="0" fontId="50" fillId="9" borderId="11" xfId="0" quotePrefix="1" applyFont="1" applyFill="1" applyBorder="1" applyAlignment="1" applyProtection="1">
      <alignment vertical="center" wrapText="1"/>
    </xf>
    <xf numFmtId="0" fontId="50" fillId="0" borderId="4" xfId="0" quotePrefix="1" applyFont="1" applyFill="1" applyBorder="1" applyAlignment="1" applyProtection="1">
      <alignment vertical="center" wrapText="1"/>
    </xf>
    <xf numFmtId="0" fontId="50" fillId="0" borderId="3" xfId="0" applyFont="1" applyFill="1" applyBorder="1" applyAlignment="1">
      <alignment horizontal="center" vertical="center"/>
    </xf>
    <xf numFmtId="186" fontId="50" fillId="0" borderId="6" xfId="0" applyNumberFormat="1" applyFont="1" applyFill="1" applyBorder="1" applyAlignment="1" applyProtection="1">
      <alignment horizontal="center" vertical="center"/>
    </xf>
    <xf numFmtId="168" fontId="38" fillId="0" borderId="1" xfId="0" applyNumberFormat="1" applyFont="1" applyFill="1" applyBorder="1" applyAlignment="1" applyProtection="1">
      <alignment horizontal="center" vertical="center"/>
    </xf>
    <xf numFmtId="184" fontId="50" fillId="0" borderId="6" xfId="0" applyNumberFormat="1" applyFont="1" applyFill="1" applyBorder="1" applyAlignment="1" applyProtection="1">
      <alignment horizontal="center" vertical="center"/>
    </xf>
    <xf numFmtId="0" fontId="50" fillId="0" borderId="0" xfId="0" applyNumberFormat="1" applyFont="1" applyFill="1" applyBorder="1" applyAlignment="1">
      <alignment horizontal="center" vertical="center" wrapText="1"/>
    </xf>
    <xf numFmtId="0" fontId="50" fillId="0" borderId="7" xfId="0" applyFont="1" applyFill="1" applyBorder="1" applyAlignment="1">
      <alignment vertical="center"/>
    </xf>
    <xf numFmtId="0" fontId="50" fillId="0" borderId="0" xfId="0" applyFont="1" applyFill="1" applyBorder="1" applyAlignment="1" applyProtection="1">
      <alignment horizontal="center" vertical="center"/>
    </xf>
    <xf numFmtId="0" fontId="50" fillId="0" borderId="0" xfId="0" applyFont="1" applyFill="1" applyBorder="1" applyAlignment="1">
      <alignment horizontal="center" vertical="center" wrapText="1"/>
    </xf>
    <xf numFmtId="16" fontId="38" fillId="0" borderId="1" xfId="0" applyNumberFormat="1" applyFont="1" applyFill="1" applyBorder="1" applyAlignment="1">
      <alignment horizontal="center" vertical="center" wrapText="1"/>
    </xf>
    <xf numFmtId="170" fontId="38" fillId="0" borderId="1" xfId="0" applyNumberFormat="1" applyFont="1" applyFill="1" applyBorder="1" applyAlignment="1">
      <alignment horizontal="left" vertical="center"/>
    </xf>
    <xf numFmtId="170" fontId="38" fillId="0" borderId="1" xfId="0" applyNumberFormat="1" applyFont="1" applyFill="1" applyBorder="1" applyAlignment="1">
      <alignment horizontal="right" vertical="center"/>
    </xf>
    <xf numFmtId="0" fontId="50" fillId="4" borderId="5" xfId="0" applyFont="1" applyFill="1" applyBorder="1" applyAlignment="1">
      <alignment vertical="center" wrapText="1"/>
    </xf>
    <xf numFmtId="0" fontId="50" fillId="4" borderId="9" xfId="0" applyFont="1" applyFill="1" applyBorder="1" applyAlignment="1">
      <alignment vertical="center" wrapText="1"/>
    </xf>
    <xf numFmtId="0" fontId="50" fillId="4" borderId="9" xfId="0" applyFont="1" applyFill="1" applyBorder="1" applyAlignment="1">
      <alignment vertical="center"/>
    </xf>
    <xf numFmtId="0" fontId="50" fillId="4" borderId="0" xfId="0" applyFont="1" applyFill="1" applyBorder="1" applyAlignment="1">
      <alignment vertical="center" wrapText="1"/>
    </xf>
    <xf numFmtId="0" fontId="25" fillId="0" borderId="5" xfId="0" applyFont="1" applyFill="1" applyBorder="1" applyAlignment="1" applyProtection="1">
      <alignment horizontal="center" vertical="center"/>
    </xf>
    <xf numFmtId="0" fontId="50" fillId="0" borderId="11" xfId="0" applyFont="1" applyFill="1" applyBorder="1" applyAlignment="1" applyProtection="1">
      <alignment horizontal="center" vertical="center"/>
    </xf>
    <xf numFmtId="0" fontId="50" fillId="0" borderId="5" xfId="0" applyNumberFormat="1" applyFont="1" applyFill="1" applyBorder="1" applyAlignment="1" applyProtection="1">
      <alignment horizontal="center" vertical="center"/>
    </xf>
    <xf numFmtId="0" fontId="38" fillId="39" borderId="6" xfId="0" applyNumberFormat="1" applyFont="1" applyFill="1" applyBorder="1" applyAlignment="1" applyProtection="1">
      <alignment horizontal="center" vertical="center"/>
    </xf>
    <xf numFmtId="0" fontId="50" fillId="9" borderId="1" xfId="0" applyFont="1" applyFill="1" applyBorder="1" applyAlignment="1" applyProtection="1">
      <alignment horizontal="center" vertical="center"/>
      <protection locked="0"/>
    </xf>
    <xf numFmtId="170" fontId="50" fillId="0" borderId="5" xfId="0" applyNumberFormat="1" applyFont="1" applyFill="1" applyBorder="1" applyAlignment="1" applyProtection="1">
      <alignment horizontal="center" vertical="center"/>
      <protection locked="0"/>
    </xf>
    <xf numFmtId="170" fontId="38" fillId="39" borderId="6" xfId="0" applyNumberFormat="1" applyFont="1" applyFill="1" applyBorder="1" applyAlignment="1" applyProtection="1">
      <alignment horizontal="center" vertical="center"/>
      <protection locked="0"/>
    </xf>
    <xf numFmtId="168" fontId="50" fillId="9" borderId="1" xfId="0" applyNumberFormat="1" applyFont="1" applyFill="1" applyBorder="1" applyAlignment="1">
      <alignment horizontal="center" vertical="center"/>
    </xf>
    <xf numFmtId="0" fontId="50" fillId="9" borderId="1" xfId="0" applyFont="1" applyFill="1" applyBorder="1" applyAlignment="1">
      <alignment horizontal="center" vertical="center"/>
    </xf>
    <xf numFmtId="170" fontId="38" fillId="39" borderId="9" xfId="0" applyNumberFormat="1" applyFont="1" applyFill="1" applyBorder="1" applyAlignment="1" applyProtection="1">
      <alignment horizontal="center" vertical="center"/>
      <protection locked="0"/>
    </xf>
    <xf numFmtId="0" fontId="38" fillId="39" borderId="6" xfId="0" applyFont="1" applyFill="1" applyBorder="1" applyAlignment="1">
      <alignment horizontal="center" vertical="center" wrapText="1"/>
    </xf>
    <xf numFmtId="0" fontId="38" fillId="39" borderId="9" xfId="0" applyNumberFormat="1" applyFont="1" applyFill="1" applyBorder="1" applyAlignment="1" applyProtection="1">
      <alignment horizontal="center" vertical="center" wrapText="1"/>
      <protection locked="0"/>
    </xf>
    <xf numFmtId="0" fontId="38" fillId="39" borderId="0" xfId="0" applyFont="1" applyFill="1" applyAlignment="1">
      <alignment horizontal="center" vertical="center"/>
    </xf>
    <xf numFmtId="0" fontId="112" fillId="0" borderId="0" xfId="0" applyFont="1" applyFill="1" applyAlignment="1" applyProtection="1">
      <alignment horizontal="center" vertical="center" wrapText="1"/>
    </xf>
    <xf numFmtId="0" fontId="113" fillId="0" borderId="0" xfId="0" applyFont="1" applyFill="1" applyAlignment="1" applyProtection="1">
      <alignment horizontal="center" vertical="center" wrapText="1"/>
    </xf>
    <xf numFmtId="14" fontId="32" fillId="0" borderId="7" xfId="8" applyNumberFormat="1" applyFont="1" applyFill="1" applyBorder="1" applyAlignment="1" applyProtection="1">
      <alignment horizontal="center" vertical="center" wrapText="1"/>
      <protection locked="0"/>
    </xf>
    <xf numFmtId="0" fontId="24" fillId="0" borderId="0" xfId="8" applyFont="1" applyFill="1" applyBorder="1" applyAlignment="1" applyProtection="1">
      <alignment horizontal="center" vertical="center" wrapText="1"/>
      <protection locked="0"/>
    </xf>
    <xf numFmtId="0" fontId="18" fillId="0" borderId="5" xfId="0" applyFont="1" applyFill="1" applyBorder="1" applyAlignment="1" applyProtection="1">
      <alignment horizontal="center" vertical="center"/>
      <protection locked="0"/>
    </xf>
    <xf numFmtId="0" fontId="115" fillId="0" borderId="9" xfId="0" applyFont="1" applyFill="1" applyBorder="1" applyAlignment="1" applyProtection="1">
      <alignment vertical="center"/>
    </xf>
    <xf numFmtId="0" fontId="18" fillId="0" borderId="9" xfId="0" applyFont="1" applyFill="1" applyBorder="1" applyAlignment="1" applyProtection="1">
      <alignment vertical="center" wrapText="1"/>
    </xf>
    <xf numFmtId="0" fontId="25" fillId="0" borderId="9" xfId="0" applyFont="1" applyFill="1" applyBorder="1" applyAlignment="1" applyProtection="1">
      <alignment vertical="center" wrapText="1"/>
    </xf>
    <xf numFmtId="0" fontId="25" fillId="0" borderId="6" xfId="0" applyFont="1" applyFill="1" applyBorder="1" applyAlignment="1" applyProtection="1">
      <alignment vertical="center" wrapText="1"/>
    </xf>
    <xf numFmtId="0" fontId="25" fillId="0" borderId="0" xfId="0" applyFont="1" applyFill="1" applyBorder="1" applyAlignment="1" applyProtection="1">
      <alignment horizontal="center" vertical="center"/>
      <protection locked="0"/>
    </xf>
    <xf numFmtId="0" fontId="25" fillId="0" borderId="1" xfId="0" applyFont="1" applyFill="1" applyBorder="1" applyAlignment="1" applyProtection="1">
      <alignment vertical="center"/>
    </xf>
    <xf numFmtId="169" fontId="38" fillId="0" borderId="1" xfId="0" applyNumberFormat="1" applyFont="1" applyFill="1" applyBorder="1" applyAlignment="1">
      <alignment horizontal="left" vertical="center"/>
    </xf>
    <xf numFmtId="169" fontId="38" fillId="0" borderId="1" xfId="0" applyNumberFormat="1" applyFont="1" applyFill="1" applyBorder="1" applyAlignment="1">
      <alignment horizontal="right" vertical="center"/>
    </xf>
    <xf numFmtId="0" fontId="116" fillId="4" borderId="5" xfId="0" applyFont="1" applyFill="1" applyBorder="1" applyAlignment="1" applyProtection="1">
      <alignment vertical="center" wrapText="1"/>
    </xf>
    <xf numFmtId="0" fontId="116" fillId="4" borderId="9" xfId="0" applyFont="1" applyFill="1" applyBorder="1" applyAlignment="1" applyProtection="1">
      <alignment vertical="center" wrapText="1"/>
    </xf>
    <xf numFmtId="0" fontId="116" fillId="4" borderId="9" xfId="0" applyFont="1" applyFill="1" applyBorder="1" applyAlignment="1" applyProtection="1">
      <alignment vertical="center"/>
    </xf>
    <xf numFmtId="0" fontId="116" fillId="4" borderId="6" xfId="0" applyFont="1" applyFill="1" applyBorder="1" applyAlignment="1" applyProtection="1">
      <alignment vertical="center" wrapText="1"/>
    </xf>
    <xf numFmtId="0" fontId="25" fillId="0" borderId="1" xfId="0"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xf>
    <xf numFmtId="0" fontId="77" fillId="4" borderId="5" xfId="0" applyFont="1" applyFill="1" applyBorder="1" applyAlignment="1" applyProtection="1">
      <alignment vertical="center" wrapText="1"/>
    </xf>
    <xf numFmtId="0" fontId="77" fillId="4" borderId="9" xfId="0" applyFont="1" applyFill="1" applyBorder="1" applyAlignment="1" applyProtection="1">
      <alignment vertical="center" wrapText="1"/>
    </xf>
    <xf numFmtId="0" fontId="77" fillId="4" borderId="9" xfId="0" applyFont="1" applyFill="1" applyBorder="1" applyAlignment="1" applyProtection="1">
      <alignment vertical="center"/>
    </xf>
    <xf numFmtId="0" fontId="77" fillId="4" borderId="6" xfId="0" applyFont="1" applyFill="1" applyBorder="1" applyAlignment="1" applyProtection="1">
      <alignment vertical="center" wrapText="1"/>
    </xf>
    <xf numFmtId="0" fontId="117" fillId="0" borderId="0" xfId="0" applyFont="1" applyFill="1" applyAlignment="1" applyProtection="1">
      <alignment horizontal="center" vertical="center" wrapText="1"/>
    </xf>
    <xf numFmtId="0" fontId="30" fillId="0" borderId="0" xfId="0" applyFont="1" applyFill="1" applyAlignment="1" applyProtection="1">
      <alignment horizontal="center" vertical="center"/>
    </xf>
    <xf numFmtId="0" fontId="63" fillId="0" borderId="0" xfId="0" applyFont="1" applyFill="1" applyAlignment="1" applyProtection="1">
      <alignment horizontal="center" vertical="center"/>
    </xf>
    <xf numFmtId="0" fontId="18" fillId="0" borderId="0" xfId="0" applyFont="1" applyFill="1" applyBorder="1" applyAlignment="1" applyProtection="1">
      <alignment horizontal="center" vertical="center" wrapText="1"/>
    </xf>
    <xf numFmtId="0" fontId="63" fillId="0" borderId="7" xfId="0" applyFont="1" applyFill="1" applyBorder="1" applyAlignment="1" applyProtection="1">
      <alignment vertical="center"/>
    </xf>
    <xf numFmtId="174" fontId="121" fillId="0" borderId="7" xfId="0" applyNumberFormat="1" applyFont="1" applyFill="1" applyBorder="1" applyAlignment="1" applyProtection="1">
      <alignment vertical="center" wrapText="1"/>
    </xf>
    <xf numFmtId="174" fontId="121" fillId="0" borderId="7" xfId="0" quotePrefix="1" applyNumberFormat="1" applyFont="1" applyFill="1" applyBorder="1" applyAlignment="1" applyProtection="1">
      <alignment horizontal="center" vertical="center" wrapText="1"/>
    </xf>
    <xf numFmtId="179" fontId="59" fillId="0" borderId="7" xfId="0" applyNumberFormat="1" applyFont="1" applyFill="1" applyBorder="1" applyAlignment="1" applyProtection="1">
      <alignment horizontal="center" vertical="center"/>
      <protection locked="0"/>
    </xf>
    <xf numFmtId="0" fontId="63" fillId="0" borderId="0" xfId="0" applyFont="1" applyFill="1" applyBorder="1" applyAlignment="1" applyProtection="1">
      <alignment vertical="center"/>
    </xf>
    <xf numFmtId="0" fontId="63" fillId="0" borderId="1" xfId="0" applyFont="1" applyFill="1" applyBorder="1" applyAlignment="1" applyProtection="1">
      <alignment horizontal="center" vertical="center" wrapText="1"/>
    </xf>
    <xf numFmtId="0" fontId="121" fillId="0" borderId="0" xfId="0"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0" fontId="63" fillId="0" borderId="10" xfId="0" applyFont="1" applyFill="1" applyBorder="1" applyAlignment="1" applyProtection="1">
      <alignment horizontal="center" vertical="center" wrapText="1"/>
    </xf>
    <xf numFmtId="0" fontId="63" fillId="0" borderId="1" xfId="0" applyFont="1" applyFill="1" applyBorder="1" applyAlignment="1">
      <alignment horizontal="center" vertical="center" wrapText="1"/>
    </xf>
    <xf numFmtId="0" fontId="30"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171" fontId="63" fillId="0" borderId="1" xfId="0" applyNumberFormat="1" applyFont="1" applyFill="1" applyBorder="1" applyAlignment="1" applyProtection="1">
      <alignment horizontal="center" vertical="center"/>
    </xf>
    <xf numFmtId="166" fontId="63" fillId="0" borderId="5" xfId="0" quotePrefix="1" applyNumberFormat="1" applyFont="1" applyFill="1" applyBorder="1" applyAlignment="1" applyProtection="1">
      <alignment horizontal="center" vertical="center"/>
    </xf>
    <xf numFmtId="168" fontId="63" fillId="0" borderId="6" xfId="0" applyNumberFormat="1" applyFont="1" applyFill="1" applyBorder="1" applyAlignment="1" applyProtection="1">
      <alignment horizontal="center" vertical="center"/>
    </xf>
    <xf numFmtId="0" fontId="63" fillId="0" borderId="3" xfId="0" applyFont="1" applyFill="1" applyBorder="1" applyAlignment="1">
      <alignment horizontal="center" vertical="center" wrapText="1"/>
    </xf>
    <xf numFmtId="182" fontId="51" fillId="0" borderId="1" xfId="0" applyNumberFormat="1" applyFont="1" applyFill="1" applyBorder="1" applyAlignment="1">
      <alignment horizontal="center" vertical="center"/>
    </xf>
    <xf numFmtId="166" fontId="17" fillId="0" borderId="5" xfId="0" quotePrefix="1" applyNumberFormat="1" applyFont="1" applyFill="1" applyBorder="1" applyAlignment="1" applyProtection="1">
      <alignment horizontal="center" vertical="center"/>
    </xf>
    <xf numFmtId="168" fontId="17" fillId="0" borderId="6" xfId="0" applyNumberFormat="1"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166" fontId="63" fillId="0" borderId="1" xfId="0" applyNumberFormat="1" applyFont="1" applyFill="1" applyBorder="1" applyAlignment="1" applyProtection="1">
      <alignment horizontal="center" vertical="center"/>
    </xf>
    <xf numFmtId="0" fontId="63" fillId="0" borderId="1" xfId="0" applyFont="1" applyFill="1" applyBorder="1" applyAlignment="1">
      <alignment horizontal="center" vertical="center"/>
    </xf>
    <xf numFmtId="171" fontId="63" fillId="0" borderId="6" xfId="0" applyNumberFormat="1" applyFont="1" applyFill="1" applyBorder="1" applyAlignment="1" applyProtection="1">
      <alignment horizontal="center" vertical="center"/>
    </xf>
    <xf numFmtId="0" fontId="123" fillId="0" borderId="1" xfId="0" applyFont="1" applyFill="1" applyBorder="1" applyAlignment="1" applyProtection="1">
      <alignment horizontal="center" vertical="center"/>
    </xf>
    <xf numFmtId="0" fontId="123" fillId="0" borderId="0" xfId="0" applyFont="1" applyFill="1" applyAlignment="1" applyProtection="1">
      <alignment horizontal="center" vertical="center"/>
    </xf>
    <xf numFmtId="0" fontId="63" fillId="0" borderId="2" xfId="0"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xf>
    <xf numFmtId="0" fontId="125" fillId="0" borderId="1" xfId="0" applyFont="1" applyFill="1" applyBorder="1" applyAlignment="1" applyProtection="1">
      <alignment horizontal="center" vertical="center"/>
    </xf>
    <xf numFmtId="0" fontId="59" fillId="0" borderId="1" xfId="0" applyFont="1" applyFill="1" applyBorder="1" applyAlignment="1">
      <alignment horizontal="center" vertical="center" wrapText="1"/>
    </xf>
    <xf numFmtId="0" fontId="30" fillId="0" borderId="1" xfId="8" applyFont="1" applyFill="1" applyBorder="1" applyAlignment="1" applyProtection="1">
      <alignment vertical="center" wrapText="1"/>
    </xf>
    <xf numFmtId="0" fontId="33" fillId="0" borderId="1" xfId="0" applyFont="1" applyFill="1" applyBorder="1" applyAlignment="1" applyProtection="1">
      <alignment horizontal="center" vertical="center"/>
    </xf>
    <xf numFmtId="0" fontId="63" fillId="0" borderId="0" xfId="0" applyFont="1" applyFill="1" applyBorder="1" applyAlignment="1" applyProtection="1">
      <alignment horizontal="center" vertical="center"/>
    </xf>
    <xf numFmtId="0" fontId="59" fillId="0" borderId="0" xfId="0" applyFont="1" applyFill="1" applyBorder="1" applyAlignment="1" applyProtection="1">
      <alignment horizontal="center" vertical="center" wrapText="1"/>
    </xf>
    <xf numFmtId="0" fontId="125" fillId="0" borderId="0" xfId="0" applyFont="1" applyFill="1" applyBorder="1" applyAlignment="1" applyProtection="1">
      <alignment horizontal="center" vertical="center"/>
    </xf>
    <xf numFmtId="0" fontId="59" fillId="0" borderId="0" xfId="0" applyFont="1" applyFill="1" applyBorder="1" applyAlignment="1">
      <alignment horizontal="center" vertical="center" wrapText="1"/>
    </xf>
    <xf numFmtId="0" fontId="33" fillId="0" borderId="0" xfId="0"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xf>
    <xf numFmtId="0" fontId="30" fillId="0" borderId="0" xfId="8" applyFont="1" applyFill="1" applyBorder="1" applyAlignment="1" applyProtection="1">
      <alignment vertical="center"/>
    </xf>
    <xf numFmtId="0" fontId="63" fillId="0" borderId="0" xfId="0" applyFont="1" applyFill="1" applyBorder="1" applyAlignment="1" applyProtection="1">
      <alignment horizontal="center" vertical="center" wrapText="1"/>
    </xf>
    <xf numFmtId="0" fontId="127" fillId="0" borderId="0" xfId="0" applyFont="1" applyFill="1" applyBorder="1" applyAlignment="1" applyProtection="1">
      <alignment horizontal="center" vertical="center"/>
    </xf>
    <xf numFmtId="0" fontId="63" fillId="0" borderId="0" xfId="8" applyFont="1" applyFill="1" applyAlignment="1" applyProtection="1">
      <alignment horizontal="left" vertical="center"/>
    </xf>
    <xf numFmtId="173" fontId="63" fillId="0" borderId="0" xfId="7" applyNumberFormat="1" applyFont="1" applyFill="1" applyBorder="1" applyAlignment="1" applyProtection="1">
      <alignment horizontal="center" vertical="center"/>
    </xf>
    <xf numFmtId="166" fontId="63" fillId="0" borderId="0" xfId="0" quotePrefix="1" applyNumberFormat="1" applyFont="1" applyFill="1" applyBorder="1" applyAlignment="1" applyProtection="1">
      <alignment horizontal="center" vertical="center"/>
    </xf>
    <xf numFmtId="0" fontId="123" fillId="0" borderId="0" xfId="0" applyFont="1" applyFill="1" applyBorder="1" applyAlignment="1" applyProtection="1">
      <alignment horizontal="center" vertical="center"/>
    </xf>
    <xf numFmtId="0" fontId="63" fillId="0" borderId="0" xfId="0" applyFont="1" applyFill="1" applyAlignment="1" applyProtection="1">
      <alignment horizontal="left" vertical="center"/>
    </xf>
    <xf numFmtId="0" fontId="63" fillId="0" borderId="0" xfId="0" applyNumberFormat="1" applyFont="1" applyFill="1" applyAlignment="1" applyProtection="1">
      <alignment horizontal="center" vertical="center"/>
    </xf>
    <xf numFmtId="0" fontId="63" fillId="0" borderId="0" xfId="0" applyFont="1" applyFill="1" applyBorder="1" applyAlignment="1" applyProtection="1">
      <alignment horizontal="left" vertical="center" wrapText="1"/>
    </xf>
    <xf numFmtId="0" fontId="10" fillId="0" borderId="3" xfId="0" applyFont="1" applyBorder="1" applyAlignment="1" applyProtection="1">
      <alignment horizontal="center" vertical="center"/>
      <protection locked="0"/>
    </xf>
    <xf numFmtId="0" fontId="128" fillId="0" borderId="0" xfId="0" applyFont="1" applyFill="1" applyBorder="1" applyAlignment="1" applyProtection="1">
      <alignment horizontal="center" vertical="center"/>
    </xf>
    <xf numFmtId="0" fontId="17" fillId="0" borderId="10" xfId="0" applyFont="1" applyFill="1" applyBorder="1" applyAlignment="1" applyProtection="1">
      <alignment horizontal="center" vertical="center" wrapText="1"/>
    </xf>
    <xf numFmtId="0" fontId="128" fillId="0" borderId="2" xfId="0" applyFont="1" applyFill="1" applyBorder="1" applyAlignment="1" applyProtection="1">
      <alignment horizontal="center" vertical="center"/>
    </xf>
    <xf numFmtId="0" fontId="17"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171" fontId="17" fillId="0" borderId="1" xfId="0" applyNumberFormat="1"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0" xfId="0" applyFont="1" applyFill="1" applyAlignment="1" applyProtection="1">
      <alignment horizontal="center" vertical="center"/>
    </xf>
    <xf numFmtId="166" fontId="17" fillId="0" borderId="6" xfId="0" applyNumberFormat="1" applyFont="1" applyFill="1" applyBorder="1" applyAlignment="1" applyProtection="1">
      <alignment horizontal="center" vertical="center"/>
    </xf>
    <xf numFmtId="0" fontId="11" fillId="0" borderId="1" xfId="0" applyNumberFormat="1" applyFont="1" applyFill="1" applyBorder="1" applyAlignment="1" applyProtection="1">
      <alignment horizontal="center" vertical="center"/>
    </xf>
    <xf numFmtId="171" fontId="17" fillId="0" borderId="6"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protection locked="0"/>
    </xf>
    <xf numFmtId="0" fontId="129" fillId="0" borderId="0" xfId="0" applyFont="1" applyFill="1" applyAlignment="1" applyProtection="1">
      <alignment horizontal="center" vertical="center"/>
    </xf>
    <xf numFmtId="0" fontId="14"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32" fillId="0" borderId="1" xfId="0" applyFont="1" applyFill="1" applyBorder="1" applyAlignment="1" applyProtection="1">
      <alignment horizontal="center" vertical="center"/>
    </xf>
    <xf numFmtId="0" fontId="10" fillId="0" borderId="0" xfId="0" applyFont="1" applyFill="1" applyBorder="1" applyAlignment="1" applyProtection="1">
      <alignment horizontal="center" vertical="center" wrapText="1"/>
    </xf>
    <xf numFmtId="0" fontId="10" fillId="0" borderId="0" xfId="0" applyFont="1" applyBorder="1" applyAlignment="1" applyProtection="1">
      <alignment horizontal="center" vertical="center"/>
      <protection locked="0"/>
    </xf>
    <xf numFmtId="171" fontId="17" fillId="0" borderId="5" xfId="0" quotePrefix="1" applyNumberFormat="1" applyFont="1" applyFill="1" applyBorder="1" applyAlignment="1" applyProtection="1">
      <alignment horizontal="center" vertical="center"/>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9" xfId="0" applyFont="1" applyFill="1" applyBorder="1" applyAlignment="1" applyProtection="1">
      <alignment horizontal="center" vertical="center" wrapText="1"/>
    </xf>
    <xf numFmtId="0" fontId="30" fillId="0" borderId="1" xfId="8" applyFont="1" applyFill="1" applyBorder="1" applyAlignment="1" applyProtection="1">
      <alignment horizontal="center" vertical="center" wrapText="1"/>
      <protection locked="0"/>
    </xf>
    <xf numFmtId="0" fontId="63" fillId="0" borderId="1" xfId="0" applyNumberFormat="1" applyFont="1" applyFill="1" applyBorder="1" applyAlignment="1" applyProtection="1">
      <alignment horizontal="center" vertical="center"/>
    </xf>
    <xf numFmtId="0" fontId="10" fillId="0" borderId="0" xfId="0" applyFont="1" applyFill="1" applyAlignment="1">
      <alignment horizontal="center" vertical="center"/>
    </xf>
    <xf numFmtId="0" fontId="10" fillId="0" borderId="7" xfId="0" applyFont="1" applyFill="1" applyBorder="1" applyAlignment="1">
      <alignment vertical="center" wrapText="1"/>
    </xf>
    <xf numFmtId="0" fontId="10" fillId="0" borderId="0" xfId="0" applyFont="1" applyFill="1" applyBorder="1" applyAlignment="1">
      <alignment horizontal="left" vertical="center" wrapText="1"/>
    </xf>
    <xf numFmtId="0" fontId="10" fillId="0" borderId="5" xfId="0" applyFont="1" applyFill="1" applyBorder="1" applyAlignment="1">
      <alignment horizontal="centerContinuous" vertical="center" wrapText="1"/>
    </xf>
    <xf numFmtId="0" fontId="10" fillId="0" borderId="9" xfId="0" applyFont="1" applyFill="1" applyBorder="1" applyAlignment="1">
      <alignment horizontal="centerContinuous" vertical="center" wrapText="1"/>
    </xf>
    <xf numFmtId="0" fontId="10" fillId="0" borderId="6" xfId="0" applyFont="1" applyFill="1" applyBorder="1" applyAlignment="1">
      <alignment horizontal="centerContinuous" vertical="center" wrapText="1"/>
    </xf>
    <xf numFmtId="0" fontId="10" fillId="0" borderId="0" xfId="0" applyFont="1" applyFill="1" applyBorder="1" applyAlignment="1">
      <alignment horizontal="center" vertical="center"/>
    </xf>
    <xf numFmtId="0" fontId="24" fillId="0" borderId="1" xfId="8" applyFont="1" applyFill="1" applyBorder="1" applyAlignment="1">
      <alignment horizontal="center" vertical="center" wrapText="1"/>
    </xf>
    <xf numFmtId="0" fontId="24" fillId="0" borderId="1" xfId="0" applyFont="1" applyFill="1" applyBorder="1" applyAlignment="1">
      <alignment horizontal="center" vertical="center" wrapText="1"/>
    </xf>
    <xf numFmtId="0" fontId="21" fillId="0" borderId="1" xfId="0" applyFont="1" applyFill="1" applyBorder="1" applyAlignment="1" applyProtection="1">
      <alignment horizontal="center" vertical="center" wrapText="1"/>
      <protection locked="0"/>
    </xf>
    <xf numFmtId="0" fontId="10" fillId="0" borderId="5" xfId="0" applyNumberFormat="1" applyFont="1" applyFill="1" applyBorder="1" applyAlignment="1" applyProtection="1">
      <alignment vertical="center"/>
      <protection locked="0"/>
    </xf>
    <xf numFmtId="0" fontId="10" fillId="0" borderId="46" xfId="8" applyFont="1" applyFill="1" applyBorder="1" applyAlignment="1">
      <alignment vertical="center"/>
    </xf>
    <xf numFmtId="0" fontId="137" fillId="0" borderId="1" xfId="0" applyFont="1" applyFill="1" applyBorder="1" applyAlignment="1" applyProtection="1">
      <alignment horizontal="center" vertical="center" wrapText="1"/>
      <protection locked="0"/>
    </xf>
    <xf numFmtId="0" fontId="10" fillId="0" borderId="47" xfId="86" applyFont="1" applyFill="1" applyBorder="1" applyAlignment="1" applyProtection="1">
      <alignment horizontal="center" vertical="center" shrinkToFit="1"/>
    </xf>
    <xf numFmtId="167" fontId="10" fillId="0" borderId="5" xfId="0" applyNumberFormat="1" applyFont="1" applyFill="1" applyBorder="1" applyAlignment="1" applyProtection="1">
      <alignment horizontal="left" vertical="center"/>
      <protection locked="0"/>
    </xf>
    <xf numFmtId="0" fontId="10" fillId="0" borderId="2" xfId="0" applyFont="1" applyFill="1" applyBorder="1" applyAlignment="1" applyProtection="1">
      <alignment horizontal="center" vertical="center"/>
    </xf>
    <xf numFmtId="0" fontId="10" fillId="0" borderId="4" xfId="0" applyFont="1" applyFill="1" applyBorder="1" applyAlignment="1">
      <alignment horizontal="centerContinuous" vertical="center" wrapText="1"/>
    </xf>
    <xf numFmtId="0" fontId="10" fillId="0" borderId="7" xfId="0" applyFont="1" applyFill="1" applyBorder="1" applyAlignment="1">
      <alignment horizontal="centerContinuous" vertical="center" wrapText="1"/>
    </xf>
    <xf numFmtId="0" fontId="10" fillId="0" borderId="15" xfId="0" applyFont="1" applyFill="1" applyBorder="1" applyAlignment="1">
      <alignment horizontal="centerContinuous" vertical="center" wrapText="1"/>
    </xf>
    <xf numFmtId="0" fontId="26" fillId="0" borderId="1" xfId="0" applyFont="1" applyFill="1" applyBorder="1" applyAlignment="1">
      <alignment horizontal="center" vertical="center"/>
    </xf>
    <xf numFmtId="0" fontId="10" fillId="0" borderId="0" xfId="0" applyFont="1" applyFill="1" applyAlignment="1">
      <alignment horizontal="left" vertical="center"/>
    </xf>
    <xf numFmtId="0" fontId="10" fillId="0" borderId="0" xfId="0" applyNumberFormat="1" applyFont="1" applyFill="1" applyAlignment="1">
      <alignment horizontal="center" vertical="center"/>
    </xf>
    <xf numFmtId="0" fontId="140"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52" fillId="0" borderId="1" xfId="0" applyFont="1" applyFill="1" applyBorder="1" applyAlignment="1" applyProtection="1">
      <alignment horizontal="center" vertical="center" wrapText="1"/>
    </xf>
    <xf numFmtId="14" fontId="75" fillId="0" borderId="7" xfId="8" applyNumberFormat="1" applyFont="1" applyFill="1" applyBorder="1" applyAlignment="1" applyProtection="1">
      <alignment horizontal="center" vertical="center" wrapText="1"/>
      <protection locked="0"/>
    </xf>
    <xf numFmtId="14" fontId="143" fillId="0" borderId="7" xfId="8" applyNumberFormat="1" applyFont="1" applyFill="1" applyBorder="1" applyAlignment="1" applyProtection="1">
      <alignment horizontal="center" vertical="center" wrapText="1"/>
      <protection locked="0"/>
    </xf>
    <xf numFmtId="0" fontId="55" fillId="0" borderId="7" xfId="8" applyFont="1" applyFill="1" applyBorder="1" applyAlignment="1" applyProtection="1">
      <alignment horizontal="center" vertical="center" wrapText="1"/>
      <protection locked="0"/>
    </xf>
    <xf numFmtId="20" fontId="55" fillId="0" borderId="7" xfId="8" applyNumberFormat="1" applyFont="1" applyFill="1" applyBorder="1" applyAlignment="1" applyProtection="1">
      <alignment horizontal="center" vertical="center" wrapText="1"/>
      <protection locked="0"/>
    </xf>
    <xf numFmtId="0" fontId="52" fillId="0" borderId="7" xfId="8" applyFont="1" applyFill="1" applyBorder="1" applyAlignment="1" applyProtection="1">
      <alignment horizontal="center" vertical="center" wrapText="1"/>
      <protection locked="0"/>
    </xf>
    <xf numFmtId="0" fontId="52" fillId="0" borderId="3" xfId="0" applyFont="1" applyFill="1" applyBorder="1" applyAlignment="1" applyProtection="1">
      <alignment horizontal="center" vertical="center"/>
      <protection locked="0"/>
    </xf>
    <xf numFmtId="0" fontId="75" fillId="0" borderId="0" xfId="0" applyFont="1" applyFill="1" applyBorder="1" applyAlignment="1" applyProtection="1">
      <alignment horizontal="center" vertical="center"/>
      <protection locked="0"/>
    </xf>
    <xf numFmtId="0" fontId="75" fillId="0" borderId="1" xfId="0" applyFont="1" applyFill="1" applyBorder="1" applyAlignment="1" applyProtection="1">
      <alignment vertical="center"/>
    </xf>
    <xf numFmtId="177" fontId="50" fillId="0" borderId="14" xfId="0" applyNumberFormat="1" applyFont="1" applyFill="1" applyBorder="1" applyAlignment="1" applyProtection="1">
      <alignment horizontal="center" vertical="center"/>
    </xf>
    <xf numFmtId="166" fontId="50" fillId="0" borderId="1" xfId="0" applyNumberFormat="1" applyFont="1" applyFill="1" applyBorder="1" applyAlignment="1" applyProtection="1">
      <alignment horizontal="center" vertical="center"/>
    </xf>
    <xf numFmtId="0" fontId="52" fillId="0" borderId="1" xfId="8" applyFont="1" applyFill="1" applyBorder="1" applyAlignment="1" applyProtection="1">
      <alignment horizontal="center" vertical="center" wrapText="1"/>
      <protection locked="0"/>
    </xf>
    <xf numFmtId="169" fontId="50" fillId="0" borderId="1" xfId="0" applyNumberFormat="1" applyFont="1" applyFill="1" applyBorder="1" applyAlignment="1">
      <alignment horizontal="left" vertical="center"/>
    </xf>
    <xf numFmtId="169" fontId="50" fillId="0" borderId="1" xfId="0" applyNumberFormat="1" applyFont="1" applyFill="1" applyBorder="1" applyAlignment="1">
      <alignment horizontal="right" vertical="center"/>
    </xf>
    <xf numFmtId="16" fontId="50" fillId="0" borderId="1" xfId="0" applyNumberFormat="1" applyFont="1" applyFill="1" applyBorder="1" applyAlignment="1">
      <alignment horizontal="center" vertical="center" wrapText="1"/>
    </xf>
    <xf numFmtId="170" fontId="50" fillId="0" borderId="1" xfId="0" applyNumberFormat="1" applyFont="1" applyFill="1" applyBorder="1" applyAlignment="1">
      <alignment horizontal="left" vertical="center"/>
    </xf>
    <xf numFmtId="170" fontId="50" fillId="0" borderId="1" xfId="0" applyNumberFormat="1" applyFont="1" applyFill="1" applyBorder="1" applyAlignment="1">
      <alignment horizontal="right" vertical="center"/>
    </xf>
    <xf numFmtId="165" fontId="50" fillId="0" borderId="1" xfId="1" applyNumberFormat="1" applyFont="1" applyFill="1" applyBorder="1" applyAlignment="1" applyProtection="1">
      <alignment horizontal="center" vertical="center"/>
    </xf>
    <xf numFmtId="0" fontId="9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protection locked="0"/>
    </xf>
    <xf numFmtId="0" fontId="143" fillId="0" borderId="1" xfId="0" applyFont="1" applyFill="1" applyBorder="1" applyAlignment="1" applyProtection="1">
      <alignment horizontal="center" vertical="center" wrapText="1"/>
    </xf>
    <xf numFmtId="0" fontId="55" fillId="0" borderId="0" xfId="0" applyFont="1" applyFill="1" applyAlignment="1" applyProtection="1">
      <alignment horizontal="center" vertical="center"/>
      <protection locked="0"/>
    </xf>
    <xf numFmtId="0" fontId="52" fillId="0" borderId="0" xfId="0" applyNumberFormat="1" applyFont="1" applyFill="1" applyAlignment="1" applyProtection="1">
      <alignment horizontal="center" vertical="center"/>
      <protection locked="0"/>
    </xf>
    <xf numFmtId="0" fontId="117" fillId="0" borderId="0" xfId="0" applyFont="1" applyFill="1" applyAlignment="1" applyProtection="1">
      <alignment vertical="center" wrapText="1"/>
    </xf>
    <xf numFmtId="169" fontId="59" fillId="0" borderId="1" xfId="0" applyNumberFormat="1" applyFont="1" applyFill="1" applyBorder="1" applyAlignment="1">
      <alignment horizontal="center" vertical="center"/>
    </xf>
    <xf numFmtId="170" fontId="59" fillId="0" borderId="1" xfId="0" applyNumberFormat="1" applyFont="1" applyFill="1" applyBorder="1" applyAlignment="1">
      <alignment horizontal="center" vertical="center"/>
    </xf>
    <xf numFmtId="0" fontId="132" fillId="0" borderId="0" xfId="0" applyFont="1" applyFill="1" applyBorder="1" applyAlignment="1" applyProtection="1">
      <alignment horizontal="center" vertical="center"/>
    </xf>
    <xf numFmtId="0" fontId="17" fillId="0" borderId="0"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166" fontId="17" fillId="0" borderId="0" xfId="0" applyNumberFormat="1" applyFont="1" applyFill="1" applyBorder="1" applyAlignment="1" applyProtection="1">
      <alignment horizontal="center" vertical="center"/>
    </xf>
    <xf numFmtId="0" fontId="38" fillId="0" borderId="0" xfId="0" applyFont="1" applyFill="1" applyBorder="1" applyAlignment="1">
      <alignment horizontal="center" vertical="center" wrapText="1"/>
    </xf>
    <xf numFmtId="0" fontId="38" fillId="0" borderId="5" xfId="0" applyFont="1" applyFill="1" applyBorder="1" applyAlignment="1" applyProtection="1">
      <alignment vertical="center" wrapText="1"/>
      <protection locked="0"/>
    </xf>
    <xf numFmtId="0" fontId="76" fillId="0" borderId="0" xfId="0" applyFont="1" applyFill="1" applyAlignment="1">
      <alignment horizontal="center" vertical="center"/>
    </xf>
    <xf numFmtId="0" fontId="144" fillId="0" borderId="7" xfId="0" applyFont="1" applyFill="1" applyBorder="1" applyAlignment="1">
      <alignment horizontal="center" vertical="center" wrapText="1"/>
    </xf>
    <xf numFmtId="0" fontId="98" fillId="0" borderId="7" xfId="0" applyFont="1" applyFill="1" applyBorder="1" applyAlignment="1">
      <alignment horizontal="center" vertical="center" wrapText="1"/>
    </xf>
    <xf numFmtId="0" fontId="50" fillId="0" borderId="7" xfId="0" applyFont="1" applyFill="1" applyBorder="1" applyAlignment="1">
      <alignment horizontal="center" vertical="center" wrapText="1"/>
    </xf>
    <xf numFmtId="168" fontId="50" fillId="0" borderId="7" xfId="0" quotePrefix="1" applyNumberFormat="1" applyFont="1" applyFill="1" applyBorder="1" applyAlignment="1">
      <alignment horizontal="center" vertical="center" wrapText="1"/>
    </xf>
    <xf numFmtId="0" fontId="146" fillId="0" borderId="0" xfId="0" applyFont="1" applyFill="1" applyAlignment="1">
      <alignment horizontal="center" vertical="center"/>
    </xf>
    <xf numFmtId="0" fontId="148" fillId="0" borderId="11" xfId="0" quotePrefix="1" applyFont="1" applyFill="1" applyBorder="1" applyAlignment="1" applyProtection="1">
      <alignment vertical="center" wrapText="1"/>
    </xf>
    <xf numFmtId="0" fontId="148" fillId="0" borderId="4" xfId="0" quotePrefix="1" applyFont="1" applyFill="1" applyBorder="1" applyAlignment="1" applyProtection="1">
      <alignment vertical="center" wrapText="1"/>
    </xf>
    <xf numFmtId="0" fontId="149" fillId="0" borderId="1" xfId="0" quotePrefix="1" applyFont="1" applyFill="1" applyBorder="1" applyAlignment="1" applyProtection="1">
      <alignment vertical="center" wrapText="1"/>
    </xf>
    <xf numFmtId="0" fontId="150" fillId="0" borderId="4" xfId="0" applyFont="1" applyFill="1" applyBorder="1" applyAlignment="1" applyProtection="1">
      <alignment vertical="center" wrapText="1"/>
    </xf>
    <xf numFmtId="0" fontId="53" fillId="0" borderId="1" xfId="0" applyNumberFormat="1" applyFont="1" applyFill="1" applyBorder="1" applyAlignment="1" applyProtection="1">
      <alignment horizontal="center" vertical="center"/>
    </xf>
    <xf numFmtId="0" fontId="147" fillId="0" borderId="6" xfId="0" applyFont="1" applyFill="1" applyBorder="1" applyAlignment="1" applyProtection="1">
      <alignment horizontal="center" vertical="center"/>
    </xf>
    <xf numFmtId="0" fontId="147" fillId="0" borderId="5" xfId="0" applyFont="1" applyFill="1" applyBorder="1" applyAlignment="1" applyProtection="1">
      <alignment vertical="center"/>
    </xf>
    <xf numFmtId="0" fontId="147" fillId="0" borderId="5" xfId="0" applyFont="1" applyFill="1" applyBorder="1" applyAlignment="1" applyProtection="1">
      <alignment horizontal="center" vertical="center"/>
    </xf>
    <xf numFmtId="0" fontId="76" fillId="0" borderId="1" xfId="0" applyFont="1" applyFill="1" applyBorder="1" applyAlignment="1">
      <alignment horizontal="center" vertical="center"/>
    </xf>
    <xf numFmtId="0" fontId="76" fillId="0" borderId="3" xfId="0" applyFont="1" applyFill="1" applyBorder="1" applyAlignment="1">
      <alignment horizontal="center" vertical="center"/>
    </xf>
    <xf numFmtId="0" fontId="53" fillId="0" borderId="1" xfId="0" applyFont="1" applyFill="1" applyBorder="1" applyAlignment="1">
      <alignment horizontal="center" vertical="center" wrapText="1"/>
    </xf>
    <xf numFmtId="186" fontId="76" fillId="0" borderId="6" xfId="0" applyNumberFormat="1" applyFont="1" applyFill="1" applyBorder="1" applyAlignment="1" applyProtection="1">
      <alignment horizontal="center" vertical="center"/>
    </xf>
    <xf numFmtId="185" fontId="76" fillId="0" borderId="6" xfId="0" applyNumberFormat="1" applyFont="1" applyFill="1" applyBorder="1" applyAlignment="1" applyProtection="1">
      <alignment horizontal="center" vertical="center"/>
    </xf>
    <xf numFmtId="185" fontId="153" fillId="0" borderId="6" xfId="0" applyNumberFormat="1" applyFont="1" applyFill="1" applyBorder="1" applyAlignment="1" applyProtection="1">
      <alignment horizontal="center" vertical="center"/>
    </xf>
    <xf numFmtId="169" fontId="98" fillId="0" borderId="1" xfId="0" applyNumberFormat="1" applyFont="1" applyFill="1" applyBorder="1" applyAlignment="1">
      <alignment horizontal="center" vertical="center"/>
    </xf>
    <xf numFmtId="166" fontId="153" fillId="0" borderId="5" xfId="0" applyNumberFormat="1" applyFont="1" applyFill="1" applyBorder="1" applyAlignment="1">
      <alignment horizontal="center" vertical="center"/>
    </xf>
    <xf numFmtId="168" fontId="153" fillId="0" borderId="1" xfId="0" applyNumberFormat="1" applyFont="1" applyFill="1" applyBorder="1" applyAlignment="1">
      <alignment horizontal="center" vertical="center"/>
    </xf>
    <xf numFmtId="0" fontId="53" fillId="0" borderId="1" xfId="0" applyFont="1" applyFill="1" applyBorder="1" applyAlignment="1" applyProtection="1">
      <alignment horizontal="center" vertical="center"/>
    </xf>
    <xf numFmtId="169" fontId="98" fillId="40" borderId="1" xfId="0" applyNumberFormat="1" applyFont="1" applyFill="1" applyBorder="1" applyAlignment="1">
      <alignment horizontal="center" vertical="center"/>
    </xf>
    <xf numFmtId="166" fontId="153" fillId="40" borderId="5" xfId="0" applyNumberFormat="1" applyFont="1" applyFill="1" applyBorder="1" applyAlignment="1">
      <alignment horizontal="center" vertical="center"/>
    </xf>
    <xf numFmtId="168" fontId="153" fillId="40" borderId="1" xfId="0" applyNumberFormat="1" applyFont="1" applyFill="1" applyBorder="1" applyAlignment="1">
      <alignment horizontal="center" vertical="center"/>
    </xf>
    <xf numFmtId="185" fontId="153" fillId="41" borderId="6" xfId="0" applyNumberFormat="1" applyFont="1" applyFill="1" applyBorder="1" applyAlignment="1" applyProtection="1">
      <alignment horizontal="center" vertical="center"/>
    </xf>
    <xf numFmtId="184" fontId="76" fillId="0" borderId="6" xfId="0" applyNumberFormat="1" applyFont="1" applyFill="1" applyBorder="1" applyAlignment="1" applyProtection="1">
      <alignment horizontal="center" vertical="center"/>
    </xf>
    <xf numFmtId="170" fontId="98" fillId="0" borderId="1" xfId="0" applyNumberFormat="1" applyFont="1" applyFill="1" applyBorder="1" applyAlignment="1">
      <alignment horizontal="center" vertical="center"/>
    </xf>
    <xf numFmtId="170" fontId="153" fillId="0" borderId="5" xfId="0" applyNumberFormat="1" applyFont="1" applyFill="1" applyBorder="1" applyAlignment="1">
      <alignment horizontal="center" vertical="center"/>
    </xf>
    <xf numFmtId="170" fontId="153" fillId="0" borderId="1" xfId="0" applyNumberFormat="1" applyFont="1" applyFill="1" applyBorder="1" applyAlignment="1">
      <alignment horizontal="center" vertical="center"/>
    </xf>
    <xf numFmtId="170" fontId="153" fillId="0" borderId="6" xfId="0" applyNumberFormat="1" applyFont="1" applyFill="1" applyBorder="1" applyAlignment="1" applyProtection="1">
      <alignment horizontal="center" vertical="center"/>
    </xf>
    <xf numFmtId="170" fontId="98" fillId="40" borderId="1" xfId="0" applyNumberFormat="1" applyFont="1" applyFill="1" applyBorder="1" applyAlignment="1">
      <alignment horizontal="center" vertical="center"/>
    </xf>
    <xf numFmtId="170" fontId="153" fillId="40" borderId="5" xfId="0" applyNumberFormat="1" applyFont="1" applyFill="1" applyBorder="1" applyAlignment="1">
      <alignment horizontal="center" vertical="center"/>
    </xf>
    <xf numFmtId="170" fontId="153" fillId="40" borderId="1" xfId="0" applyNumberFormat="1" applyFont="1" applyFill="1" applyBorder="1" applyAlignment="1">
      <alignment horizontal="center" vertical="center"/>
    </xf>
    <xf numFmtId="0" fontId="150" fillId="0" borderId="1" xfId="0" applyFont="1" applyFill="1" applyBorder="1" applyAlignment="1">
      <alignment horizontal="center" vertical="center" wrapText="1"/>
    </xf>
    <xf numFmtId="165" fontId="76" fillId="0" borderId="1" xfId="1" applyFont="1" applyFill="1" applyBorder="1" applyAlignment="1">
      <alignment horizontal="center" vertical="center"/>
    </xf>
    <xf numFmtId="0" fontId="146" fillId="0" borderId="5" xfId="0" applyFont="1" applyFill="1" applyBorder="1" applyAlignment="1" applyProtection="1">
      <alignment vertical="center"/>
    </xf>
    <xf numFmtId="0" fontId="146" fillId="0" borderId="9" xfId="0" applyFont="1" applyFill="1" applyBorder="1" applyAlignment="1" applyProtection="1">
      <alignment vertical="center"/>
    </xf>
    <xf numFmtId="0" fontId="150" fillId="0" borderId="1" xfId="0" applyFont="1" applyFill="1" applyBorder="1" applyAlignment="1" applyProtection="1">
      <alignment horizontal="center" vertical="center"/>
    </xf>
    <xf numFmtId="0" fontId="150" fillId="0" borderId="1" xfId="0" applyFont="1" applyFill="1" applyBorder="1" applyAlignment="1" applyProtection="1">
      <alignment horizontal="center" vertical="center" wrapText="1"/>
    </xf>
    <xf numFmtId="0" fontId="144" fillId="0" borderId="5" xfId="0" applyFont="1" applyFill="1" applyBorder="1" applyAlignment="1" applyProtection="1">
      <alignment vertical="center"/>
    </xf>
    <xf numFmtId="0" fontId="93" fillId="0" borderId="9" xfId="0" applyFont="1" applyBorder="1" applyAlignment="1">
      <alignment vertical="center"/>
    </xf>
    <xf numFmtId="0" fontId="157" fillId="0" borderId="1" xfId="0" applyFont="1" applyFill="1" applyBorder="1" applyAlignment="1" applyProtection="1">
      <alignment horizontal="center" vertical="center"/>
    </xf>
    <xf numFmtId="169" fontId="98" fillId="41" borderId="1" xfId="0" applyNumberFormat="1" applyFont="1" applyFill="1" applyBorder="1" applyAlignment="1">
      <alignment horizontal="center" vertical="center"/>
    </xf>
    <xf numFmtId="169" fontId="98" fillId="41" borderId="1" xfId="0" applyNumberFormat="1" applyFont="1" applyFill="1" applyBorder="1" applyAlignment="1" applyProtection="1">
      <alignment horizontal="center" vertical="center"/>
      <protection locked="0"/>
    </xf>
    <xf numFmtId="165" fontId="76" fillId="0" borderId="3" xfId="1" applyFont="1" applyFill="1" applyBorder="1" applyAlignment="1">
      <alignment horizontal="center" vertical="center"/>
    </xf>
    <xf numFmtId="185" fontId="76" fillId="0" borderId="12" xfId="0" applyNumberFormat="1" applyFont="1" applyFill="1" applyBorder="1" applyAlignment="1" applyProtection="1">
      <alignment horizontal="center" vertical="center"/>
    </xf>
    <xf numFmtId="185" fontId="153" fillId="0" borderId="12" xfId="0" applyNumberFormat="1" applyFont="1" applyFill="1" applyBorder="1" applyAlignment="1" applyProtection="1">
      <alignment horizontal="center" vertical="center"/>
    </xf>
    <xf numFmtId="169" fontId="98" fillId="0" borderId="3" xfId="0" applyNumberFormat="1" applyFont="1" applyFill="1" applyBorder="1" applyAlignment="1">
      <alignment horizontal="center" vertical="center"/>
    </xf>
    <xf numFmtId="166" fontId="153" fillId="0" borderId="13" xfId="0" applyNumberFormat="1" applyFont="1" applyFill="1" applyBorder="1" applyAlignment="1">
      <alignment horizontal="center" vertical="center"/>
    </xf>
    <xf numFmtId="168" fontId="153" fillId="0" borderId="3" xfId="0" applyNumberFormat="1" applyFont="1" applyFill="1" applyBorder="1" applyAlignment="1">
      <alignment horizontal="center" vertical="center"/>
    </xf>
    <xf numFmtId="0" fontId="53" fillId="0" borderId="0" xfId="0" applyFont="1" applyFill="1" applyAlignment="1">
      <alignment horizontal="center" vertical="center"/>
    </xf>
    <xf numFmtId="0" fontId="153" fillId="0" borderId="0" xfId="0" applyFont="1" applyFill="1" applyAlignment="1">
      <alignment horizontal="center" vertical="center"/>
    </xf>
    <xf numFmtId="168" fontId="76" fillId="0" borderId="0" xfId="0" applyNumberFormat="1" applyFont="1" applyFill="1" applyAlignment="1">
      <alignment horizontal="center" vertical="center"/>
    </xf>
    <xf numFmtId="0" fontId="24" fillId="0" borderId="0" xfId="0" applyFont="1">
      <alignment vertical="center"/>
    </xf>
    <xf numFmtId="179" fontId="58" fillId="0" borderId="0" xfId="0" applyNumberFormat="1" applyFont="1" applyFill="1" applyBorder="1" applyAlignment="1" applyProtection="1">
      <alignment vertical="center"/>
      <protection locked="0"/>
    </xf>
    <xf numFmtId="0" fontId="24" fillId="0" borderId="0" xfId="0" applyFont="1" applyBorder="1">
      <alignment vertical="center"/>
    </xf>
    <xf numFmtId="0" fontId="24" fillId="5" borderId="0" xfId="0" applyFont="1" applyFill="1">
      <alignment vertical="center"/>
    </xf>
    <xf numFmtId="179" fontId="55" fillId="43" borderId="0" xfId="0" applyNumberFormat="1" applyFont="1" applyFill="1" applyBorder="1" applyAlignment="1" applyProtection="1">
      <alignment vertical="center"/>
      <protection locked="0"/>
    </xf>
    <xf numFmtId="0" fontId="24" fillId="6" borderId="0" xfId="0" applyFont="1" applyFill="1" applyBorder="1" applyAlignment="1" applyProtection="1">
      <alignment horizontal="center" vertical="center" wrapText="1"/>
    </xf>
    <xf numFmtId="0" fontId="24" fillId="6" borderId="0" xfId="0" applyFont="1" applyFill="1" applyBorder="1" applyAlignment="1">
      <alignment vertical="center"/>
    </xf>
    <xf numFmtId="0" fontId="25" fillId="0" borderId="0" xfId="0" applyFont="1" applyFill="1" applyBorder="1" applyAlignment="1" applyProtection="1">
      <alignment horizontal="center" vertical="center"/>
    </xf>
    <xf numFmtId="0" fontId="24" fillId="6" borderId="0" xfId="0" applyFont="1" applyFill="1" applyBorder="1" applyAlignment="1" applyProtection="1">
      <alignment horizontal="center" vertical="center"/>
    </xf>
    <xf numFmtId="20" fontId="24" fillId="6" borderId="0" xfId="0" applyNumberFormat="1" applyFont="1" applyFill="1" applyBorder="1">
      <alignment vertical="center"/>
    </xf>
    <xf numFmtId="0" fontId="24" fillId="0" borderId="48" xfId="0" applyFont="1" applyFill="1" applyBorder="1" applyAlignment="1" applyProtection="1">
      <alignment horizontal="center" vertical="center"/>
    </xf>
    <xf numFmtId="0" fontId="24" fillId="0" borderId="49" xfId="0" applyFont="1" applyFill="1" applyBorder="1" applyAlignment="1" applyProtection="1">
      <alignment horizontal="center" vertical="center"/>
    </xf>
    <xf numFmtId="0" fontId="24" fillId="0" borderId="50" xfId="0" applyFont="1" applyFill="1" applyBorder="1" applyAlignment="1" applyProtection="1">
      <alignment horizontal="center" vertical="center"/>
    </xf>
    <xf numFmtId="0" fontId="24" fillId="0" borderId="0" xfId="0" applyFont="1" applyFill="1" applyAlignment="1" applyProtection="1">
      <alignment horizontal="center" vertical="center"/>
    </xf>
    <xf numFmtId="0" fontId="24" fillId="0" borderId="51" xfId="0" applyFont="1" applyFill="1" applyBorder="1" applyAlignment="1" applyProtection="1">
      <alignment horizontal="center" vertical="center"/>
    </xf>
    <xf numFmtId="0" fontId="24" fillId="0" borderId="0" xfId="0" applyFont="1" applyFill="1" applyBorder="1" applyAlignment="1" applyProtection="1">
      <alignment horizontal="center" vertical="center"/>
    </xf>
    <xf numFmtId="0" fontId="24" fillId="0" borderId="52" xfId="0" applyFont="1" applyFill="1" applyBorder="1" applyAlignment="1" applyProtection="1">
      <alignment horizontal="center" vertical="center"/>
    </xf>
    <xf numFmtId="0" fontId="158" fillId="0" borderId="0" xfId="0" applyFont="1" applyFill="1" applyBorder="1" applyAlignment="1">
      <alignment horizontal="center" vertical="center" wrapText="1"/>
    </xf>
    <xf numFmtId="0" fontId="27" fillId="0" borderId="0" xfId="0" applyFont="1" applyFill="1" applyAlignment="1" applyProtection="1">
      <alignment horizontal="center" vertical="center"/>
    </xf>
    <xf numFmtId="0" fontId="24" fillId="6" borderId="51" xfId="0" applyFont="1" applyFill="1" applyBorder="1" applyAlignment="1">
      <alignment vertical="center"/>
    </xf>
    <xf numFmtId="0" fontId="27" fillId="0" borderId="5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20" fontId="24" fillId="6" borderId="51" xfId="0" applyNumberFormat="1" applyFont="1" applyFill="1" applyBorder="1">
      <alignment vertical="center"/>
    </xf>
    <xf numFmtId="20" fontId="24" fillId="6" borderId="52" xfId="0" applyNumberFormat="1" applyFont="1" applyFill="1" applyBorder="1">
      <alignment vertical="center"/>
    </xf>
    <xf numFmtId="0" fontId="52" fillId="0" borderId="5"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24" fillId="0" borderId="52" xfId="0" applyFont="1" applyBorder="1">
      <alignment vertical="center"/>
    </xf>
    <xf numFmtId="1" fontId="24" fillId="0" borderId="51" xfId="0" applyNumberFormat="1" applyFont="1" applyFill="1" applyBorder="1" applyAlignment="1" applyProtection="1">
      <alignment horizontal="center" vertical="center"/>
    </xf>
    <xf numFmtId="1" fontId="24" fillId="0" borderId="0" xfId="0" applyNumberFormat="1" applyFont="1" applyFill="1" applyBorder="1" applyAlignment="1" applyProtection="1">
      <alignment horizontal="center" vertical="center"/>
    </xf>
    <xf numFmtId="1" fontId="24" fillId="0" borderId="52" xfId="0" applyNumberFormat="1" applyFont="1" applyFill="1" applyBorder="1" applyAlignment="1" applyProtection="1">
      <alignment horizontal="center" vertical="center"/>
    </xf>
    <xf numFmtId="0" fontId="24" fillId="0" borderId="51" xfId="0" applyFont="1" applyBorder="1">
      <alignment vertical="center"/>
    </xf>
    <xf numFmtId="0" fontId="24" fillId="5" borderId="0" xfId="0" applyFont="1" applyFill="1" applyBorder="1">
      <alignment vertical="center"/>
    </xf>
    <xf numFmtId="0" fontId="24" fillId="0" borderId="13" xfId="0" applyFont="1" applyFill="1" applyBorder="1" applyAlignment="1">
      <alignment horizontal="center" vertical="center" wrapText="1"/>
    </xf>
    <xf numFmtId="0" fontId="24" fillId="0" borderId="0" xfId="0" applyFont="1" applyFill="1" applyBorder="1" applyAlignment="1" applyProtection="1">
      <alignment horizontal="center" vertical="center" wrapText="1"/>
    </xf>
    <xf numFmtId="1" fontId="24" fillId="0" borderId="52" xfId="0" applyNumberFormat="1" applyFont="1" applyBorder="1">
      <alignment vertical="center"/>
    </xf>
    <xf numFmtId="0" fontId="24" fillId="38" borderId="0" xfId="0" applyFont="1" applyFill="1" applyBorder="1" applyAlignment="1" applyProtection="1">
      <alignment horizontal="center" vertical="center"/>
    </xf>
    <xf numFmtId="0" fontId="24" fillId="38" borderId="0" xfId="0" applyFont="1" applyFill="1" applyBorder="1" applyAlignment="1">
      <alignment horizontal="center" vertical="center" wrapText="1"/>
    </xf>
    <xf numFmtId="1" fontId="24" fillId="38" borderId="51" xfId="0" applyNumberFormat="1" applyFont="1" applyFill="1" applyBorder="1" applyAlignment="1" applyProtection="1">
      <alignment horizontal="center" vertical="center"/>
    </xf>
    <xf numFmtId="1" fontId="24" fillId="38" borderId="0" xfId="0" applyNumberFormat="1" applyFont="1" applyFill="1" applyBorder="1" applyAlignment="1" applyProtection="1">
      <alignment horizontal="center" vertical="center"/>
    </xf>
    <xf numFmtId="0" fontId="24" fillId="38" borderId="52" xfId="0" applyFont="1" applyFill="1" applyBorder="1">
      <alignment vertical="center"/>
    </xf>
    <xf numFmtId="0" fontId="24" fillId="38" borderId="0" xfId="0" applyFont="1" applyFill="1">
      <alignment vertical="center"/>
    </xf>
    <xf numFmtId="0" fontId="38" fillId="38" borderId="5" xfId="85" applyFont="1" applyFill="1" applyBorder="1" applyAlignment="1">
      <alignment vertical="center" wrapText="1"/>
    </xf>
    <xf numFmtId="0" fontId="38" fillId="38" borderId="9" xfId="85" applyFont="1" applyFill="1" applyBorder="1" applyAlignment="1">
      <alignment vertical="center" wrapText="1"/>
    </xf>
    <xf numFmtId="0" fontId="24" fillId="38" borderId="51" xfId="0" applyFont="1" applyFill="1" applyBorder="1" applyAlignment="1" applyProtection="1">
      <alignment horizontal="center" vertical="center" wrapText="1"/>
      <protection locked="0"/>
    </xf>
    <xf numFmtId="0" fontId="24" fillId="38" borderId="0" xfId="0" applyFont="1" applyFill="1" applyBorder="1" applyAlignment="1" applyProtection="1">
      <alignment horizontal="center" vertical="center" wrapText="1"/>
      <protection locked="0"/>
    </xf>
    <xf numFmtId="0" fontId="24" fillId="38" borderId="52" xfId="0" applyFont="1" applyFill="1" applyBorder="1" applyAlignment="1" applyProtection="1">
      <alignment horizontal="center" vertical="center" wrapText="1"/>
      <protection locked="0"/>
    </xf>
    <xf numFmtId="1" fontId="24" fillId="38" borderId="52" xfId="0" applyNumberFormat="1" applyFont="1" applyFill="1" applyBorder="1" applyAlignment="1" applyProtection="1">
      <alignment horizontal="center" vertical="center"/>
    </xf>
    <xf numFmtId="1" fontId="24" fillId="0" borderId="53" xfId="0" applyNumberFormat="1" applyFont="1" applyFill="1" applyBorder="1" applyAlignment="1" applyProtection="1">
      <alignment horizontal="center" vertical="center"/>
    </xf>
    <xf numFmtId="1" fontId="24" fillId="0" borderId="54" xfId="0" applyNumberFormat="1" applyFont="1" applyFill="1" applyBorder="1" applyAlignment="1" applyProtection="1">
      <alignment horizontal="center" vertical="center"/>
    </xf>
    <xf numFmtId="0" fontId="24" fillId="0" borderId="55" xfId="0" applyFont="1" applyBorder="1">
      <alignment vertical="center"/>
    </xf>
    <xf numFmtId="0" fontId="24" fillId="0" borderId="3" xfId="0" applyFont="1" applyFill="1" applyBorder="1" applyAlignment="1" applyProtection="1">
      <alignment vertical="center"/>
    </xf>
    <xf numFmtId="0" fontId="24" fillId="0" borderId="17" xfId="0" applyFont="1" applyBorder="1">
      <alignment vertical="center"/>
    </xf>
    <xf numFmtId="0" fontId="24" fillId="0" borderId="19" xfId="0" applyFont="1" applyBorder="1">
      <alignment vertical="center"/>
    </xf>
    <xf numFmtId="0" fontId="24" fillId="0" borderId="22" xfId="0" applyFont="1" applyBorder="1">
      <alignment vertical="center"/>
    </xf>
    <xf numFmtId="0" fontId="24" fillId="0" borderId="23" xfId="0" applyFont="1" applyBorder="1">
      <alignment vertical="center"/>
    </xf>
    <xf numFmtId="0" fontId="24" fillId="0" borderId="5" xfId="0" applyFont="1" applyFill="1" applyBorder="1" applyAlignment="1" applyProtection="1">
      <alignment horizontal="left" vertical="center" wrapText="1"/>
    </xf>
    <xf numFmtId="0" fontId="68" fillId="0" borderId="3" xfId="0" applyFont="1" applyFill="1" applyBorder="1" applyAlignment="1" applyProtection="1">
      <alignment vertical="center"/>
    </xf>
    <xf numFmtId="0" fontId="68" fillId="0" borderId="5" xfId="0" applyFont="1" applyFill="1" applyBorder="1" applyAlignment="1" applyProtection="1">
      <alignment horizontal="left" vertical="center" wrapText="1"/>
    </xf>
    <xf numFmtId="0" fontId="25" fillId="0" borderId="5" xfId="0" applyFont="1" applyFill="1" applyBorder="1" applyAlignment="1" applyProtection="1">
      <alignment horizontal="center" vertical="center" wrapText="1"/>
    </xf>
    <xf numFmtId="0" fontId="24" fillId="6" borderId="22" xfId="0" applyFont="1" applyFill="1" applyBorder="1" applyAlignment="1">
      <alignment vertical="center"/>
    </xf>
    <xf numFmtId="0" fontId="24" fillId="6" borderId="23" xfId="0" applyFont="1" applyFill="1" applyBorder="1">
      <alignment vertical="center"/>
    </xf>
    <xf numFmtId="20" fontId="24" fillId="6" borderId="22" xfId="0" applyNumberFormat="1" applyFont="1" applyFill="1" applyBorder="1">
      <alignment vertical="center"/>
    </xf>
    <xf numFmtId="20" fontId="24" fillId="6" borderId="23" xfId="0" applyNumberFormat="1" applyFont="1" applyFill="1" applyBorder="1">
      <alignment vertical="center"/>
    </xf>
    <xf numFmtId="0" fontId="25" fillId="6" borderId="5" xfId="0" applyFont="1" applyFill="1" applyBorder="1" applyAlignment="1" applyProtection="1">
      <alignment horizontal="center" vertical="center" wrapText="1"/>
    </xf>
    <xf numFmtId="0" fontId="14" fillId="0" borderId="5" xfId="0" applyFont="1" applyFill="1" applyBorder="1" applyAlignment="1" applyProtection="1">
      <alignment vertical="center" wrapText="1"/>
    </xf>
    <xf numFmtId="0" fontId="25" fillId="0" borderId="3" xfId="0" applyFont="1" applyFill="1" applyBorder="1" applyAlignment="1" applyProtection="1">
      <alignment horizontal="center" vertical="center"/>
    </xf>
    <xf numFmtId="0" fontId="38" fillId="0" borderId="5" xfId="0" applyFont="1" applyFill="1" applyBorder="1" applyAlignment="1">
      <alignment vertical="center" wrapText="1"/>
    </xf>
    <xf numFmtId="0" fontId="25" fillId="6" borderId="3" xfId="0" applyFont="1" applyFill="1" applyBorder="1" applyAlignment="1" applyProtection="1">
      <alignment vertical="center"/>
    </xf>
    <xf numFmtId="0" fontId="25" fillId="6" borderId="13" xfId="0" applyFont="1" applyFill="1" applyBorder="1" applyAlignment="1" applyProtection="1">
      <alignment vertical="center" wrapText="1"/>
    </xf>
    <xf numFmtId="0" fontId="24" fillId="6" borderId="22" xfId="0" applyFont="1" applyFill="1" applyBorder="1">
      <alignment vertical="center"/>
    </xf>
    <xf numFmtId="0" fontId="25" fillId="6" borderId="2" xfId="0" applyFont="1" applyFill="1" applyBorder="1" applyAlignment="1" applyProtection="1">
      <alignment vertical="center"/>
    </xf>
    <xf numFmtId="0" fontId="25" fillId="6" borderId="4" xfId="0" applyFont="1" applyFill="1" applyBorder="1" applyAlignment="1" applyProtection="1">
      <alignment vertical="center" wrapText="1"/>
    </xf>
    <xf numFmtId="1" fontId="24" fillId="0" borderId="22" xfId="0" applyNumberFormat="1" applyFont="1" applyBorder="1">
      <alignment vertical="center"/>
    </xf>
    <xf numFmtId="1" fontId="24" fillId="0" borderId="23" xfId="0" applyNumberFormat="1" applyFont="1" applyBorder="1">
      <alignment vertical="center"/>
    </xf>
    <xf numFmtId="0" fontId="24" fillId="0" borderId="26" xfId="0" applyFont="1" applyBorder="1">
      <alignment vertical="center"/>
    </xf>
    <xf numFmtId="0" fontId="24" fillId="0" borderId="28" xfId="0" applyFont="1" applyBorder="1">
      <alignment vertical="center"/>
    </xf>
    <xf numFmtId="0" fontId="52" fillId="0" borderId="1" xfId="0" applyFont="1" applyFill="1" applyBorder="1" applyAlignment="1">
      <alignment horizontal="center" vertical="center"/>
    </xf>
    <xf numFmtId="0" fontId="52" fillId="0" borderId="5" xfId="0" applyFont="1" applyFill="1" applyBorder="1" applyAlignment="1">
      <alignment horizontal="center" vertical="center"/>
    </xf>
    <xf numFmtId="0" fontId="52" fillId="0" borderId="56" xfId="86" applyFont="1" applyFill="1" applyBorder="1" applyAlignment="1" applyProtection="1">
      <alignment horizontal="center" vertical="center" shrinkToFit="1"/>
    </xf>
    <xf numFmtId="0" fontId="52" fillId="0" borderId="4" xfId="0" applyFont="1" applyFill="1" applyBorder="1" applyAlignment="1" applyProtection="1">
      <alignment horizontal="center" vertical="center"/>
    </xf>
    <xf numFmtId="0" fontId="52" fillId="0" borderId="57" xfId="86" applyFont="1" applyFill="1" applyBorder="1" applyAlignment="1" applyProtection="1">
      <alignment horizontal="center" vertical="center" shrinkToFit="1"/>
    </xf>
    <xf numFmtId="0" fontId="52" fillId="6" borderId="5" xfId="0" applyFont="1" applyFill="1" applyBorder="1" applyAlignment="1">
      <alignment vertical="center" wrapText="1"/>
    </xf>
    <xf numFmtId="0" fontId="24" fillId="6" borderId="23" xfId="0" applyFont="1" applyFill="1" applyBorder="1" applyAlignment="1">
      <alignment vertical="center"/>
    </xf>
    <xf numFmtId="0" fontId="52" fillId="6" borderId="4" xfId="0" applyFont="1" applyFill="1" applyBorder="1" applyAlignment="1" applyProtection="1">
      <alignment horizontal="center" vertical="center" wrapText="1"/>
    </xf>
    <xf numFmtId="0" fontId="24" fillId="0" borderId="0" xfId="0" applyFont="1" applyFill="1" applyBorder="1" applyAlignment="1">
      <alignment horizontal="center" vertical="center"/>
    </xf>
    <xf numFmtId="0" fontId="38" fillId="38" borderId="0" xfId="85" applyFont="1" applyFill="1" applyBorder="1" applyAlignment="1">
      <alignment vertical="center" wrapText="1"/>
    </xf>
    <xf numFmtId="180" fontId="24" fillId="38" borderId="51" xfId="0" applyNumberFormat="1" applyFont="1" applyFill="1" applyBorder="1" applyAlignment="1" applyProtection="1">
      <alignment horizontal="center" vertical="center"/>
    </xf>
    <xf numFmtId="180" fontId="24" fillId="38" borderId="0" xfId="0" applyNumberFormat="1" applyFont="1" applyFill="1" applyBorder="1" applyAlignment="1" applyProtection="1">
      <alignment horizontal="center" vertical="center"/>
    </xf>
    <xf numFmtId="180" fontId="24" fillId="38" borderId="52" xfId="0" applyNumberFormat="1" applyFont="1" applyFill="1" applyBorder="1" applyAlignment="1" applyProtection="1">
      <alignment horizontal="center" vertical="center"/>
    </xf>
    <xf numFmtId="1" fontId="24" fillId="0" borderId="28" xfId="0" applyNumberFormat="1" applyFont="1" applyBorder="1">
      <alignment vertical="center"/>
    </xf>
    <xf numFmtId="0" fontId="5" fillId="5" borderId="1" xfId="82" applyFont="1" applyFill="1" applyBorder="1"/>
    <xf numFmtId="0" fontId="50" fillId="35" borderId="0" xfId="0" applyFont="1" applyFill="1">
      <alignment vertical="center"/>
    </xf>
    <xf numFmtId="0" fontId="50" fillId="0" borderId="0" xfId="0" quotePrefix="1" applyFont="1" applyFill="1" applyBorder="1" applyAlignment="1" applyProtection="1">
      <alignment vertical="center"/>
    </xf>
    <xf numFmtId="0" fontId="50" fillId="0" borderId="0" xfId="0" applyFont="1" applyFill="1" applyBorder="1" applyAlignment="1" applyProtection="1">
      <alignment vertical="center"/>
    </xf>
    <xf numFmtId="169" fontId="50" fillId="0" borderId="0" xfId="0" applyNumberFormat="1" applyFont="1" applyFill="1" applyBorder="1" applyAlignment="1">
      <alignment horizontal="center" vertical="center"/>
    </xf>
    <xf numFmtId="166" fontId="50" fillId="0" borderId="0" xfId="0" applyNumberFormat="1" applyFont="1" applyFill="1" applyBorder="1" applyAlignment="1">
      <alignment horizontal="center" vertical="center"/>
    </xf>
    <xf numFmtId="168" fontId="50" fillId="0" borderId="0" xfId="0" applyNumberFormat="1" applyFont="1" applyFill="1" applyBorder="1" applyAlignment="1" applyProtection="1">
      <alignment horizontal="center" vertical="center"/>
    </xf>
    <xf numFmtId="168" fontId="50" fillId="0" borderId="0" xfId="0" applyNumberFormat="1" applyFont="1" applyFill="1" applyBorder="1" applyAlignment="1">
      <alignment horizontal="center" vertical="center"/>
    </xf>
    <xf numFmtId="171" fontId="50" fillId="0" borderId="0" xfId="0" applyNumberFormat="1" applyFont="1" applyFill="1" applyBorder="1" applyAlignment="1" applyProtection="1">
      <alignment horizontal="center" vertical="center"/>
    </xf>
    <xf numFmtId="0" fontId="50" fillId="0" borderId="0" xfId="0" applyFont="1" applyFill="1" applyBorder="1" applyAlignment="1" applyProtection="1">
      <alignment vertical="center" wrapText="1"/>
      <protection locked="0"/>
    </xf>
    <xf numFmtId="0" fontId="50" fillId="0" borderId="0" xfId="0" applyFont="1" applyFill="1" applyBorder="1" applyAlignment="1" applyProtection="1">
      <alignment vertical="center" wrapText="1"/>
    </xf>
    <xf numFmtId="0" fontId="98" fillId="0" borderId="0" xfId="0" applyFont="1" applyFill="1" applyAlignment="1">
      <alignment horizontal="left" vertical="center"/>
    </xf>
    <xf numFmtId="0" fontId="161" fillId="0" borderId="7" xfId="82" applyFont="1" applyBorder="1" applyAlignment="1">
      <alignment horizontal="centerContinuous" vertical="center"/>
    </xf>
    <xf numFmtId="0" fontId="161" fillId="0" borderId="0" xfId="82" applyFont="1" applyBorder="1" applyAlignment="1">
      <alignment horizontal="centerContinuous" vertical="center"/>
    </xf>
    <xf numFmtId="0" fontId="162" fillId="0" borderId="0" xfId="82" applyFont="1" applyAlignment="1">
      <alignment horizontal="centerContinuous"/>
    </xf>
    <xf numFmtId="0" fontId="163" fillId="0" borderId="1" xfId="0" applyFont="1" applyBorder="1" applyAlignment="1"/>
    <xf numFmtId="0" fontId="0" fillId="0" borderId="0" xfId="0" applyAlignment="1"/>
    <xf numFmtId="0" fontId="163" fillId="0" borderId="3" xfId="0" applyFont="1" applyBorder="1" applyAlignment="1"/>
    <xf numFmtId="0" fontId="163" fillId="36" borderId="3" xfId="0" applyFont="1" applyFill="1" applyBorder="1" applyAlignment="1">
      <alignment horizontal="center" vertical="center"/>
    </xf>
    <xf numFmtId="0" fontId="164" fillId="0" borderId="7" xfId="82" applyFont="1" applyBorder="1" applyAlignment="1">
      <alignment horizontal="centerContinuous" vertical="center" wrapText="1"/>
    </xf>
    <xf numFmtId="0" fontId="5"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187" fontId="97" fillId="5" borderId="1" xfId="83" applyNumberFormat="1" applyFont="1" applyFill="1" applyBorder="1" applyAlignment="1">
      <alignment horizontal="center" vertical="center"/>
    </xf>
    <xf numFmtId="0" fontId="5" fillId="6" borderId="0" xfId="82" applyFont="1" applyFill="1"/>
    <xf numFmtId="0" fontId="166" fillId="0" borderId="0" xfId="82" applyFont="1" applyFill="1"/>
    <xf numFmtId="43" fontId="0" fillId="0" borderId="1" xfId="1" applyNumberFormat="1" applyFont="1" applyFill="1" applyBorder="1" applyAlignment="1"/>
    <xf numFmtId="0" fontId="3" fillId="0" borderId="0" xfId="82" applyFont="1"/>
    <xf numFmtId="0" fontId="161" fillId="0" borderId="7" xfId="82" applyFont="1" applyFill="1" applyBorder="1" applyAlignment="1">
      <alignment horizontal="centerContinuous" vertical="center"/>
    </xf>
    <xf numFmtId="43" fontId="97" fillId="0" borderId="1" xfId="83" applyFont="1" applyFill="1" applyBorder="1" applyAlignment="1">
      <alignment horizontal="center" vertical="center"/>
    </xf>
    <xf numFmtId="0" fontId="97"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5" fillId="0" borderId="0" xfId="82" applyFill="1"/>
    <xf numFmtId="0" fontId="4" fillId="5" borderId="1" xfId="82" applyFont="1" applyFill="1" applyBorder="1"/>
    <xf numFmtId="0" fontId="4" fillId="5" borderId="0" xfId="82" applyFont="1" applyFill="1"/>
    <xf numFmtId="0" fontId="5" fillId="5" borderId="0" xfId="82" applyFont="1" applyFill="1"/>
    <xf numFmtId="14" fontId="5" fillId="0" borderId="1" xfId="82" quotePrefix="1" applyNumberFormat="1" applyFont="1" applyFill="1" applyBorder="1"/>
    <xf numFmtId="41" fontId="24" fillId="0" borderId="22" xfId="0" applyNumberFormat="1" applyFont="1" applyBorder="1">
      <alignment vertical="center"/>
    </xf>
    <xf numFmtId="41" fontId="24" fillId="0" borderId="23" xfId="0" applyNumberFormat="1" applyFont="1" applyBorder="1">
      <alignment vertical="center"/>
    </xf>
    <xf numFmtId="187" fontId="97" fillId="6" borderId="1" xfId="83" applyNumberFormat="1" applyFont="1" applyFill="1" applyBorder="1" applyAlignment="1">
      <alignment horizontal="center" vertical="center"/>
    </xf>
    <xf numFmtId="0" fontId="5" fillId="0" borderId="13" xfId="82" applyFont="1" applyBorder="1"/>
    <xf numFmtId="0" fontId="5" fillId="0" borderId="8" xfId="82" applyFont="1" applyBorder="1"/>
    <xf numFmtId="0" fontId="5" fillId="0" borderId="12" xfId="82" applyFont="1" applyBorder="1"/>
    <xf numFmtId="0" fontId="5" fillId="0" borderId="11" xfId="82" applyFont="1" applyBorder="1"/>
    <xf numFmtId="0" fontId="5" fillId="0" borderId="0" xfId="82" applyFont="1" applyBorder="1"/>
    <xf numFmtId="0" fontId="5" fillId="0" borderId="16" xfId="82" applyFont="1" applyBorder="1"/>
    <xf numFmtId="0" fontId="5" fillId="0" borderId="4" xfId="82" applyFont="1" applyBorder="1"/>
    <xf numFmtId="0" fontId="5" fillId="0" borderId="7" xfId="82" applyFont="1" applyBorder="1"/>
    <xf numFmtId="0" fontId="5" fillId="0" borderId="15" xfId="82" applyFont="1" applyBorder="1"/>
    <xf numFmtId="0" fontId="5" fillId="0" borderId="13" xfId="82" applyFont="1" applyFill="1" applyBorder="1"/>
    <xf numFmtId="0" fontId="5" fillId="0" borderId="8" xfId="82" applyFont="1" applyFill="1" applyBorder="1"/>
    <xf numFmtId="0" fontId="5" fillId="0" borderId="11" xfId="82" applyFont="1" applyFill="1" applyBorder="1"/>
    <xf numFmtId="0" fontId="5" fillId="0" borderId="0" xfId="82" applyFont="1" applyFill="1" applyBorder="1"/>
    <xf numFmtId="0" fontId="5" fillId="0" borderId="4" xfId="82" applyFont="1" applyFill="1" applyBorder="1"/>
    <xf numFmtId="0" fontId="5" fillId="0" borderId="7" xfId="82" applyFont="1" applyFill="1" applyBorder="1"/>
    <xf numFmtId="0" fontId="5" fillId="0" borderId="12" xfId="82" applyFont="1" applyFill="1" applyBorder="1"/>
    <xf numFmtId="0" fontId="5" fillId="0" borderId="16" xfId="82" applyFont="1" applyFill="1" applyBorder="1"/>
    <xf numFmtId="0" fontId="5" fillId="0" borderId="15" xfId="82" applyFont="1" applyFill="1" applyBorder="1"/>
    <xf numFmtId="166" fontId="11" fillId="0" borderId="5" xfId="0" applyNumberFormat="1" applyFont="1" applyFill="1" applyBorder="1" applyAlignment="1" applyProtection="1">
      <alignment horizontal="right" vertical="center"/>
    </xf>
    <xf numFmtId="177" fontId="11" fillId="0" borderId="14" xfId="1" applyNumberFormat="1" applyFont="1" applyFill="1" applyBorder="1" applyAlignment="1" applyProtection="1">
      <alignment horizontal="center" vertical="center"/>
    </xf>
    <xf numFmtId="0" fontId="25" fillId="0" borderId="0" xfId="0" applyFont="1" applyAlignment="1">
      <alignment horizontal="center" vertical="center"/>
    </xf>
    <xf numFmtId="0" fontId="51" fillId="0" borderId="0" xfId="0" applyFont="1" applyAlignment="1">
      <alignment horizontal="center" vertical="center"/>
    </xf>
    <xf numFmtId="14" fontId="168" fillId="4" borderId="1" xfId="0" applyNumberFormat="1" applyFont="1" applyFill="1" applyBorder="1" applyAlignment="1">
      <alignment horizontal="center" vertical="center"/>
    </xf>
    <xf numFmtId="173" fontId="169" fillId="0" borderId="1" xfId="7" applyNumberFormat="1" applyFont="1" applyFill="1" applyBorder="1" applyAlignment="1">
      <alignment horizontal="center" vertical="center"/>
    </xf>
    <xf numFmtId="20" fontId="169"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69" fillId="0" borderId="1" xfId="0" applyFont="1" applyBorder="1" applyAlignment="1">
      <alignment horizontal="center" vertical="center"/>
    </xf>
    <xf numFmtId="0" fontId="25"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58" fillId="5" borderId="1" xfId="0" applyFont="1" applyFill="1" applyBorder="1" applyAlignment="1">
      <alignment horizontal="center" vertical="center"/>
    </xf>
    <xf numFmtId="0" fontId="74" fillId="5" borderId="1" xfId="0" applyFont="1" applyFill="1" applyBorder="1" applyAlignment="1">
      <alignment horizontal="center" vertical="center"/>
    </xf>
    <xf numFmtId="0" fontId="25" fillId="0" borderId="1" xfId="0" applyFont="1" applyBorder="1" applyAlignment="1">
      <alignment horizontal="center" vertical="center"/>
    </xf>
    <xf numFmtId="0" fontId="38" fillId="0" borderId="1" xfId="0" applyFont="1" applyBorder="1" applyAlignment="1">
      <alignment horizontal="center" vertical="center"/>
    </xf>
    <xf numFmtId="188" fontId="5" fillId="5" borderId="1" xfId="82" quotePrefix="1" applyNumberFormat="1" applyFont="1" applyFill="1" applyBorder="1"/>
    <xf numFmtId="0" fontId="63" fillId="0" borderId="1"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182" fontId="156" fillId="0" borderId="1" xfId="0" applyNumberFormat="1" applyFont="1" applyFill="1" applyBorder="1" applyAlignment="1">
      <alignment horizontal="center" vertical="center"/>
    </xf>
    <xf numFmtId="0" fontId="165" fillId="35" borderId="0" xfId="84" applyFont="1" applyFill="1" applyBorder="1" applyAlignment="1" applyProtection="1">
      <alignment horizontal="center" vertical="center"/>
    </xf>
    <xf numFmtId="0" fontId="160" fillId="35" borderId="0" xfId="84" applyFont="1" applyFill="1" applyBorder="1" applyAlignment="1" applyProtection="1">
      <alignment horizontal="center" vertical="center"/>
    </xf>
    <xf numFmtId="0" fontId="38" fillId="35" borderId="0" xfId="0" applyFont="1" applyFill="1" applyBorder="1" applyAlignment="1">
      <alignment vertical="center"/>
    </xf>
    <xf numFmtId="0" fontId="161" fillId="0" borderId="7" xfId="82" applyFont="1" applyBorder="1" applyAlignment="1">
      <alignment horizontal="left" vertical="center"/>
    </xf>
    <xf numFmtId="0" fontId="5" fillId="0" borderId="1" xfId="82" applyFont="1" applyFill="1" applyBorder="1"/>
    <xf numFmtId="0" fontId="97" fillId="0" borderId="1" xfId="82" applyFont="1" applyBorder="1"/>
    <xf numFmtId="0" fontId="172" fillId="0" borderId="7" xfId="82" applyFont="1" applyBorder="1" applyAlignment="1">
      <alignment horizontal="centerContinuous" vertical="center"/>
    </xf>
    <xf numFmtId="0" fontId="172" fillId="0" borderId="7" xfId="82" applyFont="1" applyFill="1" applyBorder="1" applyAlignment="1">
      <alignment horizontal="centerContinuous" vertical="center"/>
    </xf>
    <xf numFmtId="0" fontId="173" fillId="0" borderId="0" xfId="82" applyFont="1"/>
    <xf numFmtId="0" fontId="172" fillId="36" borderId="1" xfId="82" applyFont="1" applyFill="1" applyBorder="1" applyAlignment="1">
      <alignment horizontal="center" vertical="center"/>
    </xf>
    <xf numFmtId="43" fontId="172" fillId="0" borderId="1" xfId="83" applyFont="1" applyFill="1" applyBorder="1" applyAlignment="1">
      <alignment horizontal="center" vertical="center"/>
    </xf>
    <xf numFmtId="0" fontId="172" fillId="0" borderId="0" xfId="82" applyFont="1"/>
    <xf numFmtId="187" fontId="172" fillId="5" borderId="1" xfId="83" applyNumberFormat="1" applyFont="1" applyFill="1" applyBorder="1" applyAlignment="1">
      <alignment horizontal="center" vertical="center"/>
    </xf>
    <xf numFmtId="187" fontId="172" fillId="6" borderId="1" xfId="83" applyNumberFormat="1" applyFont="1" applyFill="1" applyBorder="1" applyAlignment="1">
      <alignment horizontal="center" vertical="center"/>
    </xf>
    <xf numFmtId="0" fontId="173" fillId="0" borderId="1" xfId="82" applyFont="1" applyBorder="1"/>
    <xf numFmtId="43" fontId="174" fillId="0" borderId="1" xfId="1" applyNumberFormat="1" applyFont="1" applyFill="1" applyBorder="1" applyAlignment="1"/>
    <xf numFmtId="0" fontId="173" fillId="0" borderId="1" xfId="82" applyFont="1" applyFill="1" applyBorder="1"/>
    <xf numFmtId="0" fontId="176" fillId="0" borderId="0" xfId="82" applyFont="1"/>
    <xf numFmtId="43" fontId="174" fillId="0" borderId="0" xfId="83" applyFont="1" applyFill="1"/>
    <xf numFmtId="187" fontId="172" fillId="5" borderId="5" xfId="83" applyNumberFormat="1" applyFont="1" applyFill="1" applyBorder="1" applyAlignment="1">
      <alignment horizontal="center" vertical="center"/>
    </xf>
    <xf numFmtId="0" fontId="172" fillId="0" borderId="1" xfId="82" applyFont="1" applyBorder="1"/>
    <xf numFmtId="0" fontId="98" fillId="35" borderId="61" xfId="84" applyFont="1" applyFill="1" applyBorder="1" applyAlignment="1" applyProtection="1">
      <alignment vertical="center"/>
    </xf>
    <xf numFmtId="0" fontId="171" fillId="0" borderId="7" xfId="82" applyFont="1" applyFill="1" applyBorder="1" applyAlignment="1">
      <alignment horizontal="left" vertical="center"/>
    </xf>
    <xf numFmtId="0" fontId="171" fillId="0" borderId="7" xfId="82" applyFont="1" applyBorder="1" applyAlignment="1">
      <alignment horizontal="left" vertical="center"/>
    </xf>
    <xf numFmtId="0" fontId="18" fillId="35" borderId="0" xfId="0" applyFont="1" applyFill="1">
      <alignment vertical="center"/>
    </xf>
    <xf numFmtId="189" fontId="174" fillId="10" borderId="1" xfId="82" quotePrefix="1" applyNumberFormat="1" applyFont="1" applyFill="1" applyBorder="1" applyAlignment="1">
      <alignment horizontal="left"/>
    </xf>
    <xf numFmtId="0" fontId="172" fillId="36" borderId="1" xfId="82" applyFont="1" applyFill="1" applyBorder="1" applyAlignment="1">
      <alignment horizontal="left" vertical="center"/>
    </xf>
    <xf numFmtId="0" fontId="176" fillId="0" borderId="0" xfId="82" applyFont="1" applyAlignment="1">
      <alignment horizontal="left"/>
    </xf>
    <xf numFmtId="189" fontId="174" fillId="0" borderId="1" xfId="82" quotePrefix="1" applyNumberFormat="1" applyFont="1" applyFill="1" applyBorder="1" applyAlignment="1">
      <alignment horizontal="left"/>
    </xf>
    <xf numFmtId="0" fontId="97" fillId="36" borderId="1" xfId="82" applyFont="1" applyFill="1" applyBorder="1" applyAlignment="1">
      <alignment horizontal="left" vertical="center"/>
    </xf>
    <xf numFmtId="0" fontId="96" fillId="0" borderId="0" xfId="82" applyFont="1" applyAlignment="1">
      <alignment horizontal="left"/>
    </xf>
    <xf numFmtId="189" fontId="173" fillId="10" borderId="1" xfId="82" quotePrefix="1" applyNumberFormat="1" applyFont="1" applyFill="1" applyBorder="1" applyAlignment="1">
      <alignment horizontal="left"/>
    </xf>
    <xf numFmtId="189" fontId="173" fillId="0" borderId="1" xfId="82" quotePrefix="1" applyNumberFormat="1" applyFont="1" applyFill="1" applyBorder="1" applyAlignment="1">
      <alignment horizontal="left"/>
    </xf>
    <xf numFmtId="0" fontId="172" fillId="0" borderId="1" xfId="82" applyFont="1" applyFill="1" applyBorder="1" applyAlignment="1">
      <alignment horizontal="left" vertical="center"/>
    </xf>
    <xf numFmtId="0" fontId="176" fillId="0" borderId="0" xfId="82" applyFont="1" applyFill="1" applyAlignment="1">
      <alignment horizontal="left"/>
    </xf>
    <xf numFmtId="0" fontId="173" fillId="35" borderId="1" xfId="82" applyFont="1" applyFill="1" applyBorder="1"/>
    <xf numFmtId="43" fontId="174" fillId="35" borderId="1" xfId="1" applyNumberFormat="1" applyFont="1" applyFill="1" applyBorder="1" applyAlignment="1"/>
    <xf numFmtId="0" fontId="173" fillId="35" borderId="0" xfId="82" applyFont="1" applyFill="1"/>
    <xf numFmtId="0" fontId="175" fillId="35" borderId="0" xfId="82" applyFont="1" applyFill="1"/>
    <xf numFmtId="14" fontId="5" fillId="5" borderId="1" xfId="82" quotePrefix="1" applyNumberFormat="1" applyFont="1" applyFill="1" applyBorder="1"/>
    <xf numFmtId="0" fontId="5" fillId="5" borderId="11" xfId="82" applyFont="1" applyFill="1" applyBorder="1"/>
    <xf numFmtId="0" fontId="5" fillId="5" borderId="0" xfId="82" applyFont="1" applyFill="1" applyBorder="1"/>
    <xf numFmtId="0" fontId="5" fillId="5" borderId="16" xfId="82" applyFont="1" applyFill="1" applyBorder="1"/>
    <xf numFmtId="0" fontId="98" fillId="35" borderId="0" xfId="84" applyFont="1" applyFill="1" applyBorder="1" applyAlignment="1" applyProtection="1">
      <alignment horizontal="center" vertical="center"/>
    </xf>
    <xf numFmtId="189" fontId="143" fillId="35" borderId="0" xfId="0" quotePrefix="1" applyNumberFormat="1" applyFont="1" applyFill="1" applyBorder="1" applyAlignment="1" applyProtection="1">
      <alignment horizontal="center" vertical="center"/>
      <protection locked="0"/>
    </xf>
    <xf numFmtId="189" fontId="143" fillId="35" borderId="0" xfId="0" applyNumberFormat="1" applyFont="1" applyFill="1" applyBorder="1" applyAlignment="1" applyProtection="1">
      <alignment horizontal="center" vertical="center"/>
      <protection locked="0"/>
    </xf>
    <xf numFmtId="0" fontId="98" fillId="35" borderId="0" xfId="84" applyFont="1" applyFill="1" applyBorder="1" applyAlignment="1" applyProtection="1">
      <alignment vertical="center"/>
    </xf>
    <xf numFmtId="0" fontId="52" fillId="0" borderId="0" xfId="4" applyFont="1">
      <alignment vertical="center"/>
    </xf>
    <xf numFmtId="0" fontId="52" fillId="0" borderId="1" xfId="4" applyFont="1" applyBorder="1" applyAlignment="1">
      <alignment horizontal="center" vertical="center"/>
    </xf>
    <xf numFmtId="0" fontId="52" fillId="0" borderId="1" xfId="4" applyFont="1" applyBorder="1">
      <alignment vertical="center"/>
    </xf>
    <xf numFmtId="0" fontId="52" fillId="0" borderId="1" xfId="4" applyFont="1" applyFill="1" applyBorder="1">
      <alignment vertical="center"/>
    </xf>
    <xf numFmtId="0" fontId="52" fillId="0" borderId="0" xfId="4" applyFont="1" applyFill="1">
      <alignment vertical="center"/>
    </xf>
    <xf numFmtId="0" fontId="52" fillId="0" borderId="5" xfId="0" applyFont="1" applyFill="1" applyBorder="1" applyAlignment="1" applyProtection="1">
      <alignment horizontal="center" vertical="center" wrapText="1"/>
    </xf>
    <xf numFmtId="0" fontId="14" fillId="0" borderId="0" xfId="0" applyFont="1" applyFill="1" applyBorder="1" applyAlignment="1">
      <alignment horizontal="center" vertical="center" wrapText="1"/>
    </xf>
    <xf numFmtId="0" fontId="38" fillId="0" borderId="0" xfId="0" applyFont="1" applyAlignment="1">
      <alignment horizontal="left" vertical="center"/>
    </xf>
    <xf numFmtId="0" fontId="10" fillId="0" borderId="6" xfId="0" applyFont="1" applyBorder="1" applyAlignment="1" applyProtection="1">
      <alignment horizontal="center" vertical="center"/>
    </xf>
    <xf numFmtId="49" fontId="91" fillId="0" borderId="1" xfId="0" applyNumberFormat="1" applyFont="1" applyFill="1" applyBorder="1" applyAlignment="1">
      <alignment horizontal="center" vertical="center"/>
    </xf>
    <xf numFmtId="0" fontId="14" fillId="0" borderId="1" xfId="0" applyNumberFormat="1" applyFont="1" applyFill="1" applyBorder="1" applyAlignment="1" applyProtection="1">
      <alignment horizontal="center" vertical="center" wrapText="1"/>
    </xf>
    <xf numFmtId="0" fontId="55" fillId="0" borderId="0" xfId="0" applyFont="1" applyFill="1" applyBorder="1" applyAlignment="1">
      <alignment horizontal="center" vertical="center" wrapText="1"/>
    </xf>
    <xf numFmtId="0" fontId="30" fillId="0" borderId="0" xfId="8" applyFont="1" applyFill="1" applyBorder="1" applyAlignment="1" applyProtection="1">
      <alignment horizontal="center" vertical="center"/>
    </xf>
    <xf numFmtId="9" fontId="38" fillId="0" borderId="0" xfId="0" applyNumberFormat="1" applyFont="1" applyFill="1" applyBorder="1" applyAlignment="1" applyProtection="1">
      <alignment horizontal="center" vertical="center"/>
    </xf>
    <xf numFmtId="0" fontId="24" fillId="0" borderId="10" xfId="8" applyFont="1" applyFill="1" applyBorder="1" applyAlignment="1" applyProtection="1">
      <alignment horizontal="center" vertical="center" wrapText="1"/>
    </xf>
    <xf numFmtId="0" fontId="56" fillId="0" borderId="0" xfId="0" applyFont="1" applyBorder="1" applyAlignment="1" applyProtection="1">
      <alignment horizontal="center" vertical="center" wrapText="1"/>
      <protection locked="0"/>
    </xf>
    <xf numFmtId="0" fontId="57" fillId="0" borderId="0"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wrapText="1"/>
    </xf>
    <xf numFmtId="0" fontId="68" fillId="0" borderId="80" xfId="0" applyFont="1" applyFill="1" applyBorder="1" applyAlignment="1" applyProtection="1">
      <alignment vertical="center" wrapText="1"/>
    </xf>
    <xf numFmtId="169" fontId="51" fillId="0" borderId="80" xfId="0" applyNumberFormat="1" applyFont="1" applyFill="1" applyBorder="1" applyAlignment="1" applyProtection="1">
      <alignment horizontal="center" vertical="center"/>
    </xf>
    <xf numFmtId="167" fontId="68" fillId="0" borderId="81" xfId="8" applyNumberFormat="1" applyFont="1" applyFill="1" applyBorder="1" applyAlignment="1" applyProtection="1">
      <alignment horizontal="center" vertical="center"/>
    </xf>
    <xf numFmtId="166" fontId="68" fillId="0" borderId="82" xfId="8" applyNumberFormat="1" applyFont="1" applyFill="1" applyBorder="1" applyAlignment="1" applyProtection="1">
      <alignment horizontal="center" vertical="center"/>
    </xf>
    <xf numFmtId="167" fontId="193" fillId="0" borderId="81" xfId="0" applyNumberFormat="1" applyFont="1" applyFill="1" applyBorder="1" applyAlignment="1" applyProtection="1">
      <alignment horizontal="center" vertical="center"/>
    </xf>
    <xf numFmtId="166" fontId="51" fillId="0" borderId="82" xfId="0" applyNumberFormat="1" applyFont="1" applyFill="1" applyBorder="1" applyAlignment="1" applyProtection="1">
      <alignment horizontal="center" vertical="center"/>
    </xf>
    <xf numFmtId="170" fontId="68" fillId="0" borderId="81" xfId="8" applyNumberFormat="1" applyFont="1" applyFill="1" applyBorder="1" applyAlignment="1" applyProtection="1">
      <alignment vertical="center"/>
    </xf>
    <xf numFmtId="170" fontId="68" fillId="0" borderId="82" xfId="8" applyNumberFormat="1" applyFont="1" applyFill="1" applyBorder="1" applyAlignment="1" applyProtection="1">
      <alignment vertical="center"/>
    </xf>
    <xf numFmtId="173" fontId="51" fillId="0" borderId="80" xfId="7" applyNumberFormat="1" applyFont="1" applyFill="1" applyBorder="1" applyAlignment="1" applyProtection="1">
      <alignment horizontal="center" vertical="center"/>
    </xf>
    <xf numFmtId="10" fontId="51" fillId="0" borderId="83" xfId="7" applyNumberFormat="1" applyFont="1" applyFill="1" applyBorder="1" applyAlignment="1" applyProtection="1">
      <alignment horizontal="center" vertical="center"/>
    </xf>
    <xf numFmtId="0" fontId="68" fillId="0" borderId="84" xfId="0" applyFont="1" applyFill="1" applyBorder="1" applyAlignment="1" applyProtection="1">
      <alignment vertical="center"/>
    </xf>
    <xf numFmtId="166" fontId="68" fillId="0" borderId="85" xfId="8" applyNumberFormat="1" applyFont="1" applyFill="1" applyBorder="1" applyAlignment="1" applyProtection="1">
      <alignment horizontal="center" vertical="center"/>
    </xf>
    <xf numFmtId="0" fontId="105" fillId="0" borderId="13" xfId="8" applyFont="1" applyFill="1" applyBorder="1" applyAlignment="1" applyProtection="1">
      <alignment horizontal="center" vertical="center" wrapText="1"/>
    </xf>
    <xf numFmtId="0" fontId="105" fillId="0" borderId="8" xfId="8" applyFont="1" applyFill="1" applyBorder="1" applyAlignment="1" applyProtection="1">
      <alignment horizontal="center" vertical="center" wrapText="1"/>
    </xf>
    <xf numFmtId="0" fontId="105" fillId="0" borderId="12" xfId="8" applyFont="1" applyFill="1" applyBorder="1" applyAlignment="1" applyProtection="1">
      <alignment horizontal="center" vertical="center" wrapText="1"/>
    </xf>
    <xf numFmtId="0" fontId="105" fillId="0" borderId="11" xfId="8" applyFont="1" applyFill="1" applyBorder="1" applyAlignment="1" applyProtection="1">
      <alignment horizontal="center" vertical="center" wrapText="1"/>
    </xf>
    <xf numFmtId="0" fontId="105" fillId="0" borderId="0" xfId="8" applyFont="1" applyFill="1" applyBorder="1" applyAlignment="1" applyProtection="1">
      <alignment horizontal="center" vertical="center" wrapText="1"/>
    </xf>
    <xf numFmtId="0" fontId="105" fillId="0" borderId="16" xfId="8" applyFont="1" applyFill="1" applyBorder="1" applyAlignment="1" applyProtection="1">
      <alignment horizontal="center" vertical="center" wrapText="1"/>
    </xf>
    <xf numFmtId="0" fontId="105" fillId="0" borderId="4" xfId="8" applyFont="1" applyFill="1" applyBorder="1" applyAlignment="1" applyProtection="1">
      <alignment horizontal="center" vertical="center" wrapText="1"/>
    </xf>
    <xf numFmtId="0" fontId="105" fillId="0" borderId="69" xfId="8" applyFont="1" applyFill="1" applyBorder="1" applyAlignment="1" applyProtection="1">
      <alignment horizontal="center" vertical="center" wrapText="1"/>
    </xf>
    <xf numFmtId="0" fontId="105" fillId="0" borderId="70" xfId="8" applyFont="1" applyFill="1" applyBorder="1" applyAlignment="1" applyProtection="1">
      <alignment horizontal="center" vertical="center" wrapText="1"/>
    </xf>
    <xf numFmtId="0" fontId="51" fillId="0" borderId="61" xfId="0" applyFont="1" applyFill="1" applyBorder="1" applyAlignment="1" applyProtection="1">
      <alignment horizontal="center" vertical="center" wrapText="1"/>
      <protection locked="0"/>
    </xf>
    <xf numFmtId="0" fontId="51" fillId="0" borderId="16" xfId="0" applyFont="1" applyFill="1" applyBorder="1" applyAlignment="1" applyProtection="1">
      <alignment horizontal="center" vertical="center" wrapText="1"/>
      <protection locked="0"/>
    </xf>
    <xf numFmtId="0" fontId="51" fillId="0" borderId="4" xfId="0" applyFont="1" applyFill="1" applyBorder="1" applyAlignment="1" applyProtection="1">
      <alignment horizontal="center" vertical="center" wrapText="1"/>
      <protection locked="0"/>
    </xf>
    <xf numFmtId="0" fontId="51" fillId="0" borderId="69" xfId="0" applyFont="1" applyFill="1" applyBorder="1" applyAlignment="1" applyProtection="1">
      <alignment horizontal="center" vertical="center" wrapText="1"/>
      <protection locked="0"/>
    </xf>
    <xf numFmtId="0" fontId="51" fillId="0" borderId="70" xfId="0" applyFont="1" applyFill="1" applyBorder="1" applyAlignment="1" applyProtection="1">
      <alignment horizontal="center" vertical="center" wrapText="1"/>
      <protection locked="0"/>
    </xf>
    <xf numFmtId="0" fontId="68" fillId="0" borderId="0" xfId="8" applyFont="1" applyFill="1" applyAlignment="1" applyProtection="1">
      <alignment horizontal="center" vertical="center"/>
    </xf>
    <xf numFmtId="0" fontId="194" fillId="0" borderId="0" xfId="0" applyFont="1" applyAlignment="1" applyProtection="1">
      <alignment vertical="center" wrapText="1"/>
    </xf>
    <xf numFmtId="190" fontId="51" fillId="0" borderId="81" xfId="0" applyNumberFormat="1" applyFont="1" applyFill="1" applyBorder="1" applyAlignment="1" applyProtection="1">
      <alignment vertical="center"/>
    </xf>
    <xf numFmtId="0" fontId="68" fillId="0" borderId="69" xfId="8" applyFont="1" applyFill="1" applyBorder="1" applyAlignment="1" applyProtection="1">
      <alignment horizontal="center" vertical="center" wrapText="1"/>
      <protection locked="0"/>
    </xf>
    <xf numFmtId="190" fontId="51" fillId="0" borderId="81" xfId="0" applyNumberFormat="1" applyFont="1" applyFill="1" applyBorder="1" applyAlignment="1" applyProtection="1">
      <alignment horizontal="center" vertical="center"/>
    </xf>
    <xf numFmtId="0" fontId="68" fillId="0" borderId="7" xfId="8"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protection locked="0"/>
    </xf>
    <xf numFmtId="0" fontId="194"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protection locked="0"/>
    </xf>
    <xf numFmtId="0" fontId="194" fillId="0" borderId="0" xfId="0" applyFont="1" applyFill="1" applyAlignment="1" applyProtection="1">
      <alignment horizontal="center" vertical="center" wrapText="1"/>
    </xf>
    <xf numFmtId="0" fontId="151" fillId="0" borderId="0" xfId="0" applyFont="1" applyFill="1" applyBorder="1" applyAlignment="1" applyProtection="1">
      <alignment horizontal="left" vertical="center" wrapText="1"/>
    </xf>
    <xf numFmtId="0" fontId="151" fillId="0" borderId="0" xfId="0" applyFont="1" applyFill="1" applyBorder="1" applyAlignment="1" applyProtection="1">
      <alignment horizontal="center" vertical="center"/>
    </xf>
    <xf numFmtId="0" fontId="151" fillId="0" borderId="0" xfId="0" applyFont="1" applyFill="1" applyAlignment="1" applyProtection="1">
      <alignment horizontal="center" vertical="center"/>
    </xf>
    <xf numFmtId="0" fontId="195" fillId="0" borderId="0" xfId="0" applyFont="1" applyAlignment="1" applyProtection="1">
      <alignment horizontal="center" vertical="center" wrapText="1"/>
    </xf>
    <xf numFmtId="167" fontId="68" fillId="0" borderId="84" xfId="8" applyNumberFormat="1" applyFont="1" applyFill="1" applyBorder="1" applyAlignment="1" applyProtection="1">
      <alignment horizontal="center" vertical="center"/>
    </xf>
    <xf numFmtId="0" fontId="52" fillId="0" borderId="7" xfId="8" applyFont="1" applyFill="1" applyBorder="1" applyAlignment="1" applyProtection="1">
      <alignment horizontal="center" vertical="center" wrapText="1"/>
    </xf>
    <xf numFmtId="0" fontId="52" fillId="0" borderId="3" xfId="0" applyFont="1" applyFill="1" applyBorder="1" applyAlignment="1" applyProtection="1">
      <alignment vertical="center" wrapText="1"/>
    </xf>
    <xf numFmtId="167" fontId="52" fillId="0" borderId="5" xfId="8" applyNumberFormat="1" applyFont="1" applyFill="1" applyBorder="1" applyAlignment="1" applyProtection="1">
      <alignment horizontal="center" vertical="center"/>
    </xf>
    <xf numFmtId="177" fontId="52" fillId="0" borderId="6" xfId="8" applyNumberFormat="1" applyFont="1" applyFill="1" applyBorder="1" applyAlignment="1" applyProtection="1">
      <alignment horizontal="center" vertical="center"/>
    </xf>
    <xf numFmtId="166" fontId="52" fillId="0" borderId="1" xfId="8" applyNumberFormat="1" applyFont="1" applyFill="1" applyBorder="1" applyAlignment="1" applyProtection="1">
      <alignment horizontal="center" vertical="center"/>
    </xf>
    <xf numFmtId="176" fontId="50" fillId="0" borderId="14" xfId="0" applyNumberFormat="1" applyFont="1" applyFill="1" applyBorder="1" applyAlignment="1" applyProtection="1">
      <alignment horizontal="center" vertical="center"/>
    </xf>
    <xf numFmtId="170" fontId="52" fillId="0" borderId="5" xfId="8" applyNumberFormat="1" applyFont="1" applyFill="1" applyBorder="1" applyAlignment="1" applyProtection="1">
      <alignment vertical="center"/>
    </xf>
    <xf numFmtId="170" fontId="52" fillId="0" borderId="6" xfId="8" applyNumberFormat="1" applyFont="1" applyFill="1" applyBorder="1" applyAlignment="1" applyProtection="1">
      <alignment vertical="center"/>
    </xf>
    <xf numFmtId="176" fontId="52" fillId="0" borderId="6" xfId="8" applyNumberFormat="1" applyFont="1" applyFill="1" applyBorder="1" applyAlignment="1" applyProtection="1">
      <alignment horizontal="center" vertical="center"/>
    </xf>
    <xf numFmtId="0" fontId="52" fillId="0" borderId="0" xfId="8" applyFont="1" applyFill="1" applyAlignment="1" applyProtection="1">
      <alignment horizontal="center" vertical="center"/>
    </xf>
    <xf numFmtId="0" fontId="52" fillId="0" borderId="1" xfId="8" applyFont="1" applyFill="1" applyBorder="1" applyAlignment="1" applyProtection="1">
      <alignment horizontal="center" vertical="center"/>
    </xf>
    <xf numFmtId="0" fontId="52" fillId="0" borderId="1" xfId="0" applyFont="1" applyFill="1" applyBorder="1" applyAlignment="1" applyProtection="1">
      <alignment horizontal="center" vertical="center"/>
    </xf>
    <xf numFmtId="0" fontId="59" fillId="0" borderId="1" xfId="8" applyFont="1" applyFill="1" applyBorder="1" applyAlignment="1" applyProtection="1">
      <alignment horizontal="center" vertical="center"/>
    </xf>
    <xf numFmtId="0" fontId="55" fillId="0" borderId="0" xfId="8" applyFont="1" applyFill="1" applyAlignment="1" applyProtection="1">
      <alignment horizontal="center" vertical="center"/>
    </xf>
    <xf numFmtId="14" fontId="52" fillId="0" borderId="7" xfId="8" applyNumberFormat="1" applyFont="1" applyFill="1" applyBorder="1" applyAlignment="1" applyProtection="1">
      <alignment horizontal="center" vertical="center" wrapText="1"/>
      <protection locked="0"/>
    </xf>
    <xf numFmtId="20" fontId="50" fillId="0" borderId="7" xfId="8" applyNumberFormat="1" applyFont="1" applyFill="1" applyBorder="1" applyAlignment="1" applyProtection="1">
      <alignment horizontal="center" vertical="center" wrapText="1"/>
      <protection locked="0"/>
    </xf>
    <xf numFmtId="0" fontId="50" fillId="0" borderId="1" xfId="8" applyNumberFormat="1" applyFont="1" applyFill="1" applyBorder="1" applyAlignment="1" applyProtection="1">
      <alignment horizontal="center" vertical="center"/>
      <protection locked="0"/>
    </xf>
    <xf numFmtId="0" fontId="52" fillId="0" borderId="7" xfId="8" applyFont="1" applyFill="1" applyBorder="1" applyAlignment="1" applyProtection="1">
      <alignment horizontal="center" vertical="center"/>
      <protection locked="0"/>
    </xf>
    <xf numFmtId="0" fontId="52" fillId="0" borderId="0" xfId="8" applyFont="1" applyFill="1" applyBorder="1" applyAlignment="1" applyProtection="1">
      <alignment horizontal="center" vertical="center"/>
      <protection locked="0"/>
    </xf>
    <xf numFmtId="0" fontId="52" fillId="0" borderId="1" xfId="0" applyFont="1" applyFill="1" applyBorder="1" applyAlignment="1" applyProtection="1">
      <alignment vertical="center" wrapText="1"/>
    </xf>
    <xf numFmtId="0" fontId="53" fillId="0" borderId="7" xfId="0" applyFont="1" applyBorder="1" applyAlignment="1" applyProtection="1">
      <alignment vertical="center" wrapText="1"/>
    </xf>
    <xf numFmtId="0" fontId="53" fillId="0" borderId="7" xfId="0" applyFont="1" applyFill="1" applyBorder="1" applyAlignment="1" applyProtection="1">
      <alignment vertical="center" wrapText="1"/>
    </xf>
    <xf numFmtId="0" fontId="53" fillId="0" borderId="0" xfId="0" applyFont="1" applyFill="1" applyBorder="1" applyAlignment="1" applyProtection="1">
      <alignment horizontal="left" vertical="center" wrapText="1"/>
    </xf>
    <xf numFmtId="166" fontId="53" fillId="0" borderId="5" xfId="0" applyNumberFormat="1" applyFont="1" applyFill="1" applyBorder="1" applyAlignment="1" applyProtection="1">
      <alignment horizontal="right" vertical="center"/>
    </xf>
    <xf numFmtId="177" fontId="53" fillId="0" borderId="14" xfId="1" applyNumberFormat="1" applyFont="1" applyFill="1" applyBorder="1" applyAlignment="1" applyProtection="1">
      <alignment horizontal="center" vertical="center"/>
    </xf>
    <xf numFmtId="168" fontId="53" fillId="0" borderId="9"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176" fontId="53" fillId="0" borderId="14" xfId="1" applyNumberFormat="1" applyFont="1" applyFill="1" applyBorder="1" applyAlignment="1" applyProtection="1">
      <alignment horizontal="center" vertical="center"/>
    </xf>
    <xf numFmtId="173" fontId="53" fillId="0" borderId="1" xfId="7" applyNumberFormat="1" applyFont="1" applyFill="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199" fillId="0" borderId="1" xfId="0" applyFont="1" applyFill="1" applyBorder="1" applyAlignment="1" applyProtection="1">
      <alignment horizontal="center" vertical="center"/>
    </xf>
    <xf numFmtId="0" fontId="53" fillId="0" borderId="0" xfId="0" applyFont="1" applyBorder="1" applyAlignment="1" applyProtection="1">
      <alignment horizontal="center" vertical="center"/>
    </xf>
    <xf numFmtId="0" fontId="53" fillId="0" borderId="0" xfId="0" applyFont="1" applyFill="1" applyBorder="1" applyAlignment="1" applyProtection="1">
      <alignment horizontal="center" vertical="center"/>
    </xf>
    <xf numFmtId="0" fontId="53" fillId="0" borderId="0" xfId="0" applyFont="1" applyAlignment="1" applyProtection="1">
      <alignment horizontal="center" vertical="center"/>
    </xf>
    <xf numFmtId="0" fontId="53" fillId="0" borderId="0" xfId="0" applyFont="1" applyFill="1" applyAlignment="1" applyProtection="1">
      <alignment horizontal="left" vertical="center"/>
    </xf>
    <xf numFmtId="0" fontId="53" fillId="0" borderId="0" xfId="0" applyFont="1" applyFill="1" applyAlignment="1" applyProtection="1">
      <alignment horizontal="center" vertical="center"/>
    </xf>
    <xf numFmtId="0" fontId="133" fillId="0" borderId="0" xfId="0" applyFont="1" applyAlignment="1" applyProtection="1">
      <alignment horizontal="center" vertical="center" wrapText="1"/>
    </xf>
    <xf numFmtId="0" fontId="14" fillId="0" borderId="1" xfId="0" applyFont="1" applyFill="1" applyBorder="1" applyAlignment="1">
      <alignment horizontal="center" vertical="center" wrapText="1"/>
    </xf>
    <xf numFmtId="0" fontId="50" fillId="0" borderId="5" xfId="0" applyFont="1" applyFill="1" applyBorder="1" applyAlignment="1" applyProtection="1">
      <alignment vertical="center" wrapText="1"/>
      <protection locked="0"/>
    </xf>
    <xf numFmtId="0" fontId="50" fillId="0" borderId="9" xfId="0" applyFont="1" applyFill="1" applyBorder="1" applyAlignment="1" applyProtection="1">
      <alignment vertical="center" wrapText="1"/>
      <protection locked="0"/>
    </xf>
    <xf numFmtId="165" fontId="38" fillId="0" borderId="1" xfId="1" applyFont="1" applyFill="1" applyBorder="1" applyAlignment="1" applyProtection="1">
      <alignment horizontal="center" vertical="center"/>
    </xf>
    <xf numFmtId="0" fontId="10" fillId="0" borderId="9" xfId="0" applyFont="1" applyFill="1" applyBorder="1" applyAlignment="1" applyProtection="1">
      <alignment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5"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38" fillId="0" borderId="2"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quotePrefix="1" applyFont="1" applyFill="1" applyBorder="1" applyAlignment="1" applyProtection="1">
      <alignment horizontal="centerContinuous" vertical="center"/>
    </xf>
    <xf numFmtId="0" fontId="38" fillId="4" borderId="6" xfId="0" applyFont="1" applyFill="1" applyBorder="1" applyAlignment="1" applyProtection="1">
      <alignment horizontal="centerContinuous" vertical="center"/>
    </xf>
    <xf numFmtId="0" fontId="38" fillId="0" borderId="1" xfId="8" applyFont="1" applyFill="1" applyBorder="1" applyAlignment="1" applyProtection="1">
      <alignment horizontal="center" vertical="center"/>
      <protection locked="0"/>
    </xf>
    <xf numFmtId="0" fontId="38" fillId="4" borderId="15" xfId="0" applyFont="1" applyFill="1" applyBorder="1" applyAlignment="1" applyProtection="1">
      <alignment horizontal="centerContinuous" vertical="center"/>
    </xf>
    <xf numFmtId="0" fontId="24" fillId="0" borderId="0" xfId="0" applyFont="1" applyAlignment="1">
      <alignment vertical="center"/>
    </xf>
    <xf numFmtId="49" fontId="201"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0" fontId="14"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4" fillId="0" borderId="6" xfId="0" applyNumberFormat="1" applyFont="1" applyFill="1" applyBorder="1" applyAlignment="1">
      <alignment horizontal="center" vertical="center" wrapText="1"/>
    </xf>
    <xf numFmtId="0" fontId="202" fillId="0" borderId="0" xfId="0" applyFont="1" applyFill="1" applyAlignment="1" applyProtection="1">
      <alignment horizontal="center" vertical="center" wrapText="1"/>
    </xf>
    <xf numFmtId="49" fontId="201" fillId="0" borderId="1" xfId="0" applyNumberFormat="1" applyFont="1" applyBorder="1" applyAlignment="1">
      <alignment horizontal="center" vertical="center"/>
    </xf>
    <xf numFmtId="0" fontId="202" fillId="0" borderId="0" xfId="0" applyFont="1" applyAlignment="1" applyProtection="1">
      <alignment vertical="center" wrapText="1"/>
    </xf>
    <xf numFmtId="0" fontId="38" fillId="14" borderId="5" xfId="0" applyFont="1" applyFill="1" applyBorder="1" applyAlignment="1" applyProtection="1">
      <alignment horizontal="center" vertical="center" wrapText="1"/>
    </xf>
    <xf numFmtId="0" fontId="42" fillId="14" borderId="1" xfId="0"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38" fillId="0" borderId="0" xfId="0" applyFont="1" applyAlignment="1">
      <alignment vertical="center"/>
    </xf>
    <xf numFmtId="173" fontId="203" fillId="0" borderId="0" xfId="7" applyNumberFormat="1" applyFont="1" applyFill="1" applyBorder="1" applyAlignment="1">
      <alignment horizontal="center" vertical="center"/>
    </xf>
    <xf numFmtId="173" fontId="77" fillId="0" borderId="0" xfId="7" applyNumberFormat="1" applyFont="1" applyFill="1" applyBorder="1" applyAlignment="1">
      <alignment horizontal="center" vertical="center"/>
    </xf>
    <xf numFmtId="0" fontId="99" fillId="0" borderId="0" xfId="84" applyAlignment="1" applyProtection="1">
      <alignment horizontal="center" vertical="center" wrapText="1"/>
    </xf>
    <xf numFmtId="0" fontId="38" fillId="0" borderId="1" xfId="0" applyFont="1" applyFill="1" applyBorder="1" applyAlignment="1">
      <alignment horizontal="left" vertical="center"/>
    </xf>
    <xf numFmtId="0" fontId="38" fillId="13" borderId="1" xfId="0" applyFont="1" applyFill="1" applyBorder="1" applyAlignment="1">
      <alignment horizontal="center" vertical="center"/>
    </xf>
    <xf numFmtId="0" fontId="73" fillId="0" borderId="0" xfId="0" applyFont="1" applyFill="1" applyAlignment="1" applyProtection="1">
      <alignment vertical="center"/>
    </xf>
    <xf numFmtId="0" fontId="38" fillId="0" borderId="3" xfId="0" applyFont="1" applyFill="1" applyBorder="1" applyAlignment="1" applyProtection="1">
      <alignment horizontal="center" vertical="center" wrapText="1"/>
    </xf>
    <xf numFmtId="14" fontId="38" fillId="13" borderId="5" xfId="0" applyNumberFormat="1" applyFont="1" applyFill="1" applyBorder="1" applyAlignment="1" applyProtection="1">
      <alignment vertical="center"/>
    </xf>
    <xf numFmtId="14" fontId="38" fillId="13" borderId="9" xfId="0" applyNumberFormat="1" applyFont="1" applyFill="1" applyBorder="1" applyAlignment="1" applyProtection="1">
      <alignment vertical="center"/>
    </xf>
    <xf numFmtId="0" fontId="38" fillId="13" borderId="9" xfId="0" applyFont="1" applyFill="1" applyBorder="1" applyAlignment="1" applyProtection="1">
      <alignment vertical="center" wrapText="1"/>
    </xf>
    <xf numFmtId="174" fontId="38" fillId="13" borderId="9" xfId="0" applyNumberFormat="1" applyFont="1" applyFill="1" applyBorder="1" applyAlignment="1" applyProtection="1">
      <alignment vertical="center" wrapText="1"/>
    </xf>
    <xf numFmtId="174" fontId="95" fillId="13" borderId="9" xfId="0" applyNumberFormat="1" applyFont="1" applyFill="1" applyBorder="1" applyAlignment="1" applyProtection="1">
      <alignment vertical="center" wrapText="1"/>
    </xf>
    <xf numFmtId="0" fontId="38" fillId="13" borderId="9" xfId="0" applyFont="1" applyFill="1" applyBorder="1" applyAlignment="1">
      <alignment horizontal="center" vertical="center"/>
    </xf>
    <xf numFmtId="0" fontId="38" fillId="13" borderId="6" xfId="0" applyFont="1" applyFill="1" applyBorder="1" applyAlignment="1">
      <alignment horizontal="center" vertical="center"/>
    </xf>
    <xf numFmtId="0" fontId="24" fillId="0" borderId="5" xfId="0" applyFont="1" applyFill="1" applyBorder="1" applyAlignment="1" applyProtection="1">
      <alignment horizontal="center" vertical="center" wrapText="1"/>
      <protection locked="0"/>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167" fontId="38" fillId="0" borderId="5" xfId="0" applyNumberFormat="1" applyFont="1" applyFill="1" applyBorder="1" applyAlignment="1" applyProtection="1">
      <alignment horizontal="center" vertical="center"/>
    </xf>
    <xf numFmtId="0" fontId="38" fillId="0" borderId="1" xfId="8" applyFont="1" applyFill="1" applyBorder="1" applyAlignment="1" applyProtection="1">
      <alignment horizontal="center" vertical="center" wrapText="1"/>
    </xf>
    <xf numFmtId="167" fontId="38" fillId="0" borderId="1" xfId="8" applyNumberFormat="1" applyFont="1" applyFill="1" applyBorder="1" applyAlignment="1" applyProtection="1">
      <alignment horizontal="center" vertical="center"/>
    </xf>
    <xf numFmtId="168" fontId="11" fillId="0" borderId="9" xfId="0" applyNumberFormat="1"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protection locked="0"/>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0" fillId="0" borderId="9" xfId="0" applyFont="1" applyFill="1" applyBorder="1" applyAlignment="1">
      <alignment horizontal="center" vertical="center" wrapText="1"/>
    </xf>
    <xf numFmtId="0" fontId="50" fillId="0" borderId="3" xfId="0"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protection locked="0"/>
    </xf>
    <xf numFmtId="0" fontId="50" fillId="0" borderId="1" xfId="0" applyFont="1" applyFill="1" applyBorder="1" applyAlignment="1">
      <alignment horizontal="center" vertical="center"/>
    </xf>
    <xf numFmtId="0" fontId="18" fillId="13" borderId="7" xfId="0" applyFont="1" applyFill="1" applyBorder="1" applyAlignment="1">
      <alignment vertical="center"/>
    </xf>
    <xf numFmtId="0" fontId="25" fillId="13" borderId="1" xfId="0" applyFont="1" applyFill="1" applyBorder="1" applyAlignment="1">
      <alignment vertical="center"/>
    </xf>
    <xf numFmtId="0" fontId="25" fillId="13" borderId="5" xfId="0" applyFont="1" applyFill="1" applyBorder="1" applyAlignment="1">
      <alignment vertical="center"/>
    </xf>
    <xf numFmtId="0" fontId="25" fillId="13" borderId="9" xfId="0" applyFont="1" applyFill="1" applyBorder="1" applyAlignment="1">
      <alignment vertical="center"/>
    </xf>
    <xf numFmtId="20" fontId="25" fillId="13" borderId="1" xfId="0" applyNumberFormat="1" applyFont="1" applyFill="1" applyBorder="1" applyAlignment="1">
      <alignment vertical="center"/>
    </xf>
    <xf numFmtId="170" fontId="25" fillId="13" borderId="5" xfId="0" quotePrefix="1" applyNumberFormat="1" applyFont="1" applyFill="1" applyBorder="1" applyAlignment="1" applyProtection="1">
      <alignment horizontal="center" vertical="center"/>
    </xf>
    <xf numFmtId="170" fontId="25" fillId="13" borderId="1" xfId="0" quotePrefix="1" applyNumberFormat="1" applyFont="1" applyFill="1" applyBorder="1" applyAlignment="1" applyProtection="1">
      <alignment horizontal="center" vertical="center"/>
    </xf>
    <xf numFmtId="0" fontId="24" fillId="0" borderId="0" xfId="0" applyFont="1" applyFill="1">
      <alignment vertical="center"/>
    </xf>
    <xf numFmtId="169" fontId="25" fillId="0" borderId="1" xfId="0" applyNumberFormat="1" applyFont="1" applyFill="1" applyBorder="1" applyAlignment="1" applyProtection="1">
      <alignment horizontal="center" vertical="center"/>
      <protection locked="0"/>
    </xf>
    <xf numFmtId="169" fontId="25" fillId="0" borderId="0" xfId="0" applyNumberFormat="1" applyFont="1" applyFill="1" applyBorder="1" applyAlignment="1" applyProtection="1">
      <alignment horizontal="center" vertical="center"/>
      <protection locked="0"/>
    </xf>
    <xf numFmtId="169" fontId="25" fillId="0" borderId="0" xfId="0" applyNumberFormat="1" applyFont="1" applyFill="1" applyAlignment="1">
      <alignment horizontal="center" vertical="center"/>
    </xf>
    <xf numFmtId="170" fontId="32" fillId="13" borderId="5" xfId="0" quotePrefix="1" applyNumberFormat="1" applyFont="1" applyFill="1" applyBorder="1" applyAlignment="1" applyProtection="1">
      <alignment horizontal="center" vertical="center"/>
    </xf>
    <xf numFmtId="170" fontId="32" fillId="13" borderId="1" xfId="0" quotePrefix="1" applyNumberFormat="1" applyFont="1" applyFill="1" applyBorder="1" applyAlignment="1" applyProtection="1">
      <alignment horizontal="center" vertical="center"/>
    </xf>
    <xf numFmtId="170" fontId="32" fillId="0" borderId="1" xfId="0" applyNumberFormat="1" applyFont="1" applyFill="1" applyBorder="1" applyAlignment="1" applyProtection="1">
      <alignment horizontal="center" vertical="center"/>
      <protection locked="0"/>
    </xf>
    <xf numFmtId="0" fontId="24" fillId="0" borderId="0" xfId="0" applyFont="1" applyFill="1" applyAlignment="1">
      <alignment horizontal="left" vertical="center"/>
    </xf>
    <xf numFmtId="173" fontId="24" fillId="0" borderId="0" xfId="0" applyNumberFormat="1" applyFont="1" applyFill="1" applyAlignment="1">
      <alignment horizontal="left" vertical="center"/>
    </xf>
    <xf numFmtId="9" fontId="24" fillId="0" borderId="0" xfId="0" applyNumberFormat="1" applyFont="1" applyFill="1" applyAlignment="1">
      <alignment horizontal="center" vertical="center"/>
    </xf>
    <xf numFmtId="170" fontId="32" fillId="0" borderId="0" xfId="0" applyNumberFormat="1" applyFont="1" applyFill="1" applyAlignment="1">
      <alignment horizontal="center" vertical="center"/>
    </xf>
    <xf numFmtId="0" fontId="24" fillId="6" borderId="0" xfId="0" applyFont="1" applyFill="1">
      <alignment vertical="center"/>
    </xf>
    <xf numFmtId="0" fontId="24" fillId="0" borderId="0" xfId="0" applyFont="1" applyFill="1" applyAlignment="1">
      <alignment horizontal="right" vertical="center"/>
    </xf>
    <xf numFmtId="171" fontId="8" fillId="13" borderId="0" xfId="0" applyNumberFormat="1" applyFont="1" applyFill="1" applyAlignment="1">
      <alignment vertical="center" wrapText="1"/>
    </xf>
    <xf numFmtId="0" fontId="24" fillId="13" borderId="1" xfId="0" applyFont="1" applyFill="1" applyBorder="1" applyAlignment="1">
      <alignment horizontal="center" vertical="center"/>
    </xf>
    <xf numFmtId="170" fontId="32" fillId="14" borderId="1" xfId="0" applyNumberFormat="1" applyFont="1" applyFill="1" applyBorder="1" applyAlignment="1" applyProtection="1">
      <alignment horizontal="center" vertical="center"/>
      <protection locked="0"/>
    </xf>
    <xf numFmtId="0" fontId="24" fillId="14" borderId="1" xfId="0" applyFont="1" applyFill="1" applyBorder="1" applyAlignment="1">
      <alignment horizontal="center" vertical="center"/>
    </xf>
    <xf numFmtId="0" fontId="24" fillId="5" borderId="1" xfId="0" applyFont="1" applyFill="1" applyBorder="1" applyAlignment="1">
      <alignment horizontal="center" vertical="center"/>
    </xf>
    <xf numFmtId="0" fontId="68" fillId="5" borderId="0" xfId="6" applyFont="1" applyFill="1" applyAlignment="1">
      <alignment horizontal="left"/>
    </xf>
    <xf numFmtId="0" fontId="52" fillId="5" borderId="0" xfId="6" applyFont="1" applyFill="1" applyAlignment="1">
      <alignment horizontal="left"/>
    </xf>
    <xf numFmtId="0" fontId="50" fillId="0" borderId="8" xfId="0" applyFont="1" applyFill="1" applyBorder="1" applyAlignment="1" applyProtection="1">
      <alignment horizontal="center" vertical="center"/>
    </xf>
    <xf numFmtId="0" fontId="50" fillId="0" borderId="6" xfId="0" applyFont="1" applyFill="1" applyBorder="1" applyAlignment="1" applyProtection="1">
      <alignment horizontal="center" vertical="center"/>
    </xf>
    <xf numFmtId="0" fontId="50" fillId="0" borderId="5" xfId="0" applyFont="1" applyFill="1" applyBorder="1" applyAlignment="1">
      <alignment horizontal="center" vertical="center"/>
    </xf>
    <xf numFmtId="182" fontId="50" fillId="0" borderId="1" xfId="0" applyNumberFormat="1" applyFont="1" applyFill="1" applyBorder="1" applyAlignment="1">
      <alignment horizontal="center" vertical="center"/>
    </xf>
    <xf numFmtId="182" fontId="50" fillId="0" borderId="6" xfId="0" applyNumberFormat="1" applyFont="1" applyFill="1" applyBorder="1" applyAlignment="1" applyProtection="1">
      <alignment horizontal="center" vertical="center"/>
      <protection locked="0"/>
    </xf>
    <xf numFmtId="0" fontId="50" fillId="0" borderId="13" xfId="0" applyFont="1" applyFill="1" applyBorder="1" applyAlignment="1">
      <alignment horizontal="left" vertical="center" wrapText="1"/>
    </xf>
    <xf numFmtId="0" fontId="50" fillId="0" borderId="3" xfId="0" applyFont="1" applyFill="1" applyBorder="1" applyAlignment="1">
      <alignment vertical="center"/>
    </xf>
    <xf numFmtId="0" fontId="50" fillId="0" borderId="0" xfId="0" applyFont="1" applyFill="1" applyBorder="1" applyAlignment="1">
      <alignment horizontal="left" vertical="center" wrapText="1"/>
    </xf>
    <xf numFmtId="0" fontId="50" fillId="0" borderId="11" xfId="0" applyFont="1" applyFill="1" applyBorder="1" applyAlignment="1">
      <alignment horizontal="left" vertical="center" wrapText="1"/>
    </xf>
    <xf numFmtId="0" fontId="50" fillId="0" borderId="13" xfId="0" applyFont="1" applyFill="1" applyBorder="1" applyAlignment="1">
      <alignment vertical="center" wrapText="1"/>
    </xf>
    <xf numFmtId="0" fontId="50" fillId="0" borderId="12" xfId="0" applyFont="1" applyFill="1" applyBorder="1" applyAlignment="1">
      <alignment vertical="center" wrapText="1"/>
    </xf>
    <xf numFmtId="0" fontId="50" fillId="0" borderId="4" xfId="0" applyFont="1" applyFill="1" applyBorder="1" applyAlignment="1">
      <alignment vertical="center" wrapText="1"/>
    </xf>
    <xf numFmtId="0" fontId="50" fillId="0" borderId="15" xfId="0" applyFont="1" applyFill="1" applyBorder="1" applyAlignment="1">
      <alignment vertical="center" wrapText="1"/>
    </xf>
    <xf numFmtId="0" fontId="145" fillId="4" borderId="9" xfId="0" applyFont="1" applyFill="1" applyBorder="1" applyAlignment="1" applyProtection="1">
      <alignment horizontal="centerContinuous" vertical="center"/>
    </xf>
    <xf numFmtId="0" fontId="50" fillId="4" borderId="6" xfId="0" applyFont="1" applyFill="1" applyBorder="1" applyAlignment="1" applyProtection="1">
      <alignment horizontal="centerContinuous" vertical="center"/>
    </xf>
    <xf numFmtId="0" fontId="50" fillId="0" borderId="5" xfId="0" applyFont="1" applyFill="1" applyBorder="1" applyAlignment="1" applyProtection="1">
      <alignment vertical="center" wrapText="1"/>
    </xf>
    <xf numFmtId="0" fontId="50" fillId="0" borderId="9" xfId="0" applyFont="1" applyFill="1" applyBorder="1" applyAlignment="1" applyProtection="1">
      <alignment vertical="center" wrapText="1"/>
    </xf>
    <xf numFmtId="0" fontId="50" fillId="0" borderId="12" xfId="0" applyFont="1" applyFill="1" applyBorder="1" applyAlignment="1">
      <alignment horizontal="center" vertical="center" wrapText="1"/>
    </xf>
    <xf numFmtId="0" fontId="50" fillId="0" borderId="16" xfId="0" applyFont="1" applyFill="1" applyBorder="1" applyAlignment="1">
      <alignment horizontal="center" vertical="center" wrapText="1"/>
    </xf>
    <xf numFmtId="0" fontId="50" fillId="0" borderId="15" xfId="0" applyFont="1" applyFill="1" applyBorder="1" applyAlignment="1">
      <alignment horizontal="center" vertical="center" wrapText="1"/>
    </xf>
    <xf numFmtId="0" fontId="93" fillId="0" borderId="8" xfId="0" applyFont="1" applyBorder="1" applyAlignment="1">
      <alignment vertical="center"/>
    </xf>
    <xf numFmtId="0" fontId="50" fillId="0" borderId="0" xfId="0" quotePrefix="1" applyFont="1" applyFill="1" applyBorder="1" applyAlignment="1" applyProtection="1">
      <alignment vertical="center" wrapText="1"/>
    </xf>
    <xf numFmtId="170" fontId="50" fillId="0" borderId="0" xfId="0" applyNumberFormat="1" applyFont="1" applyFill="1" applyBorder="1" applyAlignment="1" applyProtection="1">
      <alignment horizontal="center" vertical="center"/>
      <protection locked="0"/>
    </xf>
    <xf numFmtId="185" fontId="50" fillId="9" borderId="6" xfId="0" quotePrefix="1" applyNumberFormat="1" applyFont="1" applyFill="1" applyBorder="1" applyAlignment="1" applyProtection="1">
      <alignment horizontal="center" vertical="center"/>
    </xf>
    <xf numFmtId="165" fontId="50" fillId="9" borderId="6" xfId="1" applyFont="1" applyFill="1" applyBorder="1" applyAlignment="1" applyProtection="1">
      <alignment horizontal="center" vertical="center"/>
    </xf>
    <xf numFmtId="184" fontId="50" fillId="9" borderId="9" xfId="0" applyNumberFormat="1" applyFont="1" applyFill="1" applyBorder="1" applyAlignment="1" applyProtection="1">
      <alignment horizontal="center" vertical="center"/>
    </xf>
    <xf numFmtId="185" fontId="50" fillId="0" borderId="9" xfId="0" applyNumberFormat="1"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xf>
    <xf numFmtId="41" fontId="50" fillId="0" borderId="9" xfId="0" applyNumberFormat="1" applyFont="1" applyFill="1" applyBorder="1" applyAlignment="1" applyProtection="1">
      <alignment horizontal="distributed" vertical="distributed" wrapText="1"/>
      <protection locked="0"/>
    </xf>
    <xf numFmtId="0" fontId="50" fillId="0" borderId="9" xfId="0" applyFont="1" applyFill="1" applyBorder="1" applyAlignment="1" applyProtection="1">
      <alignment horizontal="distributed" vertical="distributed" wrapText="1"/>
      <protection locked="0"/>
    </xf>
    <xf numFmtId="0" fontId="50" fillId="0" borderId="5" xfId="0" applyFont="1" applyFill="1" applyBorder="1" applyAlignment="1" applyProtection="1">
      <alignment horizontal="center" vertical="center"/>
    </xf>
    <xf numFmtId="0" fontId="75" fillId="0" borderId="5" xfId="0" applyFont="1" applyFill="1" applyBorder="1" applyAlignment="1" applyProtection="1">
      <alignment horizontal="center" vertical="center"/>
    </xf>
    <xf numFmtId="0" fontId="50" fillId="0" borderId="1" xfId="0" applyFont="1" applyFill="1" applyBorder="1" applyAlignment="1" applyProtection="1">
      <alignment vertical="center"/>
    </xf>
    <xf numFmtId="0" fontId="50" fillId="39" borderId="0" xfId="0" applyNumberFormat="1" applyFont="1" applyFill="1" applyBorder="1" applyAlignment="1" applyProtection="1">
      <alignment horizontal="center" vertical="center"/>
    </xf>
    <xf numFmtId="170" fontId="50" fillId="39" borderId="0" xfId="0" applyNumberFormat="1" applyFont="1" applyFill="1" applyBorder="1" applyAlignment="1" applyProtection="1">
      <alignment horizontal="center" vertical="center"/>
      <protection locked="0"/>
    </xf>
    <xf numFmtId="0" fontId="50" fillId="0" borderId="13" xfId="0" applyFont="1" applyFill="1" applyBorder="1" applyAlignment="1">
      <alignment horizontal="center" vertical="center"/>
    </xf>
    <xf numFmtId="0" fontId="50" fillId="0" borderId="12" xfId="0" applyFont="1" applyFill="1" applyBorder="1" applyAlignment="1">
      <alignment vertical="center"/>
    </xf>
    <xf numFmtId="0" fontId="50" fillId="0" borderId="4" xfId="0" applyFont="1" applyFill="1" applyBorder="1" applyAlignment="1">
      <alignment horizontal="center" vertical="center"/>
    </xf>
    <xf numFmtId="0" fontId="50" fillId="0" borderId="15" xfId="0" applyFont="1" applyFill="1" applyBorder="1" applyAlignment="1">
      <alignment vertical="center"/>
    </xf>
    <xf numFmtId="170" fontId="50" fillId="39" borderId="6" xfId="0" applyNumberFormat="1" applyFont="1" applyFill="1" applyBorder="1" applyAlignment="1" applyProtection="1">
      <alignment horizontal="center" vertical="center"/>
      <protection locked="0"/>
    </xf>
    <xf numFmtId="0" fontId="50" fillId="39" borderId="6" xfId="0" applyFont="1" applyFill="1" applyBorder="1" applyAlignment="1">
      <alignment horizontal="center" vertical="center" wrapText="1"/>
    </xf>
    <xf numFmtId="0" fontId="50" fillId="39" borderId="9" xfId="0" applyNumberFormat="1" applyFont="1" applyFill="1" applyBorder="1" applyAlignment="1" applyProtection="1">
      <alignment horizontal="center" vertical="center" wrapText="1"/>
      <protection locked="0"/>
    </xf>
    <xf numFmtId="0" fontId="50" fillId="39" borderId="0" xfId="0" applyFont="1" applyFill="1" applyAlignment="1">
      <alignment horizontal="center" vertical="center"/>
    </xf>
    <xf numFmtId="168" fontId="50" fillId="0" borderId="7" xfId="0" applyNumberFormat="1" applyFont="1" applyFill="1" applyBorder="1" applyAlignment="1">
      <alignment horizontal="center" vertical="center" wrapText="1"/>
    </xf>
    <xf numFmtId="168" fontId="76" fillId="40" borderId="6" xfId="0" applyNumberFormat="1" applyFont="1" applyFill="1" applyBorder="1" applyAlignment="1" applyProtection="1">
      <alignment horizontal="center" vertical="center"/>
    </xf>
    <xf numFmtId="168" fontId="76" fillId="0" borderId="6" xfId="0" applyNumberFormat="1" applyFont="1" applyFill="1" applyBorder="1" applyAlignment="1" applyProtection="1">
      <alignment horizontal="center" vertical="center"/>
    </xf>
    <xf numFmtId="168" fontId="76" fillId="4" borderId="6" xfId="0" applyNumberFormat="1" applyFont="1" applyFill="1" applyBorder="1" applyAlignment="1" applyProtection="1">
      <alignment horizontal="center" vertical="center"/>
    </xf>
    <xf numFmtId="0" fontId="50" fillId="42" borderId="8" xfId="0" applyFont="1" applyFill="1" applyBorder="1" applyAlignment="1">
      <alignment horizontal="center" vertical="center" wrapText="1"/>
    </xf>
    <xf numFmtId="0" fontId="50" fillId="42" borderId="12" xfId="0" applyFont="1" applyFill="1" applyBorder="1" applyAlignment="1">
      <alignment horizontal="center" vertical="center" wrapText="1"/>
    </xf>
    <xf numFmtId="0" fontId="50" fillId="42" borderId="0" xfId="0" applyFont="1" applyFill="1" applyBorder="1" applyAlignment="1">
      <alignment horizontal="center" vertical="center" wrapText="1"/>
    </xf>
    <xf numFmtId="0" fontId="50" fillId="42" borderId="16"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146" fillId="0" borderId="6" xfId="0" applyFont="1" applyFill="1" applyBorder="1" applyAlignment="1" applyProtection="1">
      <alignment vertical="center"/>
    </xf>
    <xf numFmtId="171" fontId="76" fillId="0" borderId="6" xfId="0" applyNumberFormat="1" applyFont="1" applyFill="1" applyBorder="1" applyAlignment="1" applyProtection="1">
      <alignment horizontal="center" vertical="center"/>
    </xf>
    <xf numFmtId="168" fontId="76" fillId="0" borderId="12" xfId="0" applyNumberFormat="1" applyFont="1" applyFill="1" applyBorder="1" applyAlignment="1" applyProtection="1">
      <alignment horizontal="center" vertical="center"/>
    </xf>
    <xf numFmtId="168" fontId="76" fillId="0" borderId="1" xfId="0" applyNumberFormat="1" applyFont="1" applyFill="1" applyBorder="1" applyAlignment="1">
      <alignment horizontal="center" vertical="center"/>
    </xf>
    <xf numFmtId="166" fontId="76" fillId="0" borderId="5" xfId="0" applyNumberFormat="1"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52" fillId="0" borderId="0" xfId="6" applyFont="1"/>
    <xf numFmtId="0" fontId="68" fillId="0" borderId="0" xfId="6" applyFont="1"/>
    <xf numFmtId="0" fontId="68" fillId="0" borderId="0" xfId="6" applyFont="1" applyFill="1"/>
    <xf numFmtId="0" fontId="24" fillId="0" borderId="0" xfId="6" applyFont="1"/>
    <xf numFmtId="164" fontId="68" fillId="0" borderId="0" xfId="2" applyFont="1" applyFill="1"/>
    <xf numFmtId="164" fontId="24" fillId="0" borderId="0" xfId="2" applyFont="1" applyFill="1"/>
    <xf numFmtId="164" fontId="68" fillId="10" borderId="0" xfId="2" applyFont="1" applyFill="1"/>
    <xf numFmtId="178" fontId="52" fillId="5" borderId="0" xfId="6" applyNumberFormat="1" applyFont="1" applyFill="1"/>
    <xf numFmtId="178" fontId="52" fillId="12" borderId="0" xfId="6" applyNumberFormat="1" applyFont="1" applyFill="1"/>
    <xf numFmtId="164" fontId="68" fillId="0" borderId="0" xfId="6" applyNumberFormat="1" applyFont="1"/>
    <xf numFmtId="0" fontId="68" fillId="0" borderId="0" xfId="6" applyFont="1" applyAlignment="1">
      <alignment horizontal="left"/>
    </xf>
    <xf numFmtId="9" fontId="52" fillId="0" borderId="0" xfId="6" applyNumberFormat="1" applyFont="1"/>
    <xf numFmtId="0" fontId="68" fillId="5" borderId="0" xfId="6" applyFont="1" applyFill="1"/>
    <xf numFmtId="0" fontId="52" fillId="5" borderId="0" xfId="6" applyFont="1" applyFill="1"/>
    <xf numFmtId="0" fontId="52" fillId="14" borderId="0" xfId="6" applyFont="1" applyFill="1"/>
    <xf numFmtId="0" fontId="68" fillId="14" borderId="0" xfId="6" applyFont="1" applyFill="1"/>
    <xf numFmtId="1" fontId="68" fillId="6" borderId="0" xfId="6" applyNumberFormat="1" applyFont="1" applyFill="1"/>
    <xf numFmtId="1" fontId="52" fillId="6" borderId="0" xfId="6" applyNumberFormat="1" applyFont="1" applyFill="1"/>
    <xf numFmtId="180" fontId="68" fillId="0" borderId="0" xfId="6" applyNumberFormat="1" applyFont="1"/>
    <xf numFmtId="180" fontId="68" fillId="0" borderId="0" xfId="1" applyNumberFormat="1" applyFont="1" applyAlignment="1"/>
    <xf numFmtId="180" fontId="68" fillId="14" borderId="0" xfId="6" applyNumberFormat="1" applyFont="1" applyFill="1"/>
    <xf numFmtId="180" fontId="52" fillId="14" borderId="0" xfId="6" applyNumberFormat="1" applyFont="1" applyFill="1"/>
    <xf numFmtId="0" fontId="68" fillId="0" borderId="0" xfId="6" applyFont="1" applyAlignment="1">
      <alignment wrapText="1"/>
    </xf>
    <xf numFmtId="168" fontId="68" fillId="5" borderId="0" xfId="6" applyNumberFormat="1" applyFont="1" applyFill="1"/>
    <xf numFmtId="168" fontId="68" fillId="6" borderId="0" xfId="6" applyNumberFormat="1" applyFont="1" applyFill="1"/>
    <xf numFmtId="0" fontId="68" fillId="0" borderId="0" xfId="6" applyFont="1" applyAlignment="1">
      <alignment horizontal="right"/>
    </xf>
    <xf numFmtId="0" fontId="38" fillId="0" borderId="5" xfId="0" applyFont="1" applyFill="1" applyBorder="1" applyAlignment="1">
      <alignment horizontal="center" vertical="center"/>
    </xf>
    <xf numFmtId="169" fontId="51" fillId="0" borderId="1" xfId="0" applyNumberFormat="1" applyFont="1" applyFill="1" applyBorder="1" applyAlignment="1" applyProtection="1">
      <alignment horizontal="center" vertical="center"/>
    </xf>
    <xf numFmtId="0" fontId="24" fillId="6" borderId="1" xfId="0" applyFont="1" applyFill="1" applyBorder="1" applyAlignment="1">
      <alignment horizontal="center" vertical="center"/>
    </xf>
    <xf numFmtId="170" fontId="32" fillId="6" borderId="1" xfId="0" applyNumberFormat="1" applyFont="1" applyFill="1" applyBorder="1" applyAlignment="1" applyProtection="1">
      <alignment horizontal="center" vertical="center"/>
      <protection locked="0"/>
    </xf>
    <xf numFmtId="170" fontId="32" fillId="5" borderId="1" xfId="0" applyNumberFormat="1" applyFont="1" applyFill="1" applyBorder="1" applyAlignment="1" applyProtection="1">
      <alignment horizontal="center" vertical="center"/>
      <protection locked="0"/>
    </xf>
    <xf numFmtId="0" fontId="24" fillId="50" borderId="1" xfId="0" applyFont="1" applyFill="1" applyBorder="1" applyAlignment="1">
      <alignment horizontal="center" vertical="center"/>
    </xf>
    <xf numFmtId="170" fontId="32" fillId="50" borderId="1" xfId="0" applyNumberFormat="1" applyFont="1" applyFill="1" applyBorder="1" applyAlignment="1" applyProtection="1">
      <alignment horizontal="center" vertical="center"/>
      <protection locked="0"/>
    </xf>
    <xf numFmtId="169" fontId="24" fillId="0" borderId="0" xfId="0" applyNumberFormat="1" applyFont="1" applyFill="1" applyBorder="1" applyAlignment="1" applyProtection="1">
      <alignment horizontal="center" vertical="center"/>
      <protection locked="0"/>
    </xf>
    <xf numFmtId="0" fontId="68" fillId="0" borderId="0" xfId="0" applyFont="1" applyFill="1" applyAlignment="1">
      <alignment horizontal="center" vertical="center"/>
    </xf>
    <xf numFmtId="0" fontId="24" fillId="13" borderId="0" xfId="0" applyFont="1" applyFill="1" applyAlignment="1">
      <alignment horizontal="center" vertical="center"/>
    </xf>
    <xf numFmtId="0" fontId="151" fillId="0" borderId="1" xfId="0" applyFont="1" applyFill="1" applyBorder="1" applyAlignment="1" applyProtection="1">
      <alignment horizontal="center" vertical="center"/>
    </xf>
    <xf numFmtId="0" fontId="38" fillId="0" borderId="86" xfId="0" applyFont="1" applyFill="1" applyBorder="1" applyAlignment="1" applyProtection="1">
      <alignment horizontal="center" vertical="center"/>
    </xf>
    <xf numFmtId="166" fontId="151" fillId="0" borderId="5" xfId="0" applyNumberFormat="1" applyFont="1" applyFill="1" applyBorder="1" applyAlignment="1" applyProtection="1">
      <alignment horizontal="right" vertical="center"/>
    </xf>
    <xf numFmtId="177" fontId="151" fillId="0" borderId="14" xfId="1" applyNumberFormat="1" applyFont="1" applyFill="1" applyBorder="1" applyAlignment="1" applyProtection="1">
      <alignment horizontal="center" vertical="center"/>
    </xf>
    <xf numFmtId="166" fontId="51" fillId="0" borderId="9" xfId="0" applyNumberFormat="1" applyFont="1" applyFill="1" applyBorder="1" applyAlignment="1" applyProtection="1">
      <alignment horizontal="center" vertical="center"/>
    </xf>
    <xf numFmtId="176" fontId="151" fillId="0" borderId="14" xfId="1" applyNumberFormat="1" applyFont="1" applyFill="1" applyBorder="1" applyAlignment="1" applyProtection="1">
      <alignment horizontal="center" vertical="center"/>
    </xf>
    <xf numFmtId="177" fontId="92" fillId="0" borderId="14" xfId="1" applyNumberFormat="1" applyFont="1" applyFill="1" applyBorder="1" applyAlignment="1" applyProtection="1">
      <alignment horizontal="center" vertical="center"/>
    </xf>
    <xf numFmtId="173" fontId="151" fillId="0" borderId="1" xfId="7" applyNumberFormat="1" applyFont="1" applyFill="1" applyBorder="1" applyAlignment="1" applyProtection="1">
      <alignment horizontal="center" vertical="center"/>
    </xf>
    <xf numFmtId="164" fontId="38" fillId="0" borderId="1" xfId="0" applyNumberFormat="1"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protection locked="0"/>
    </xf>
    <xf numFmtId="0" fontId="10" fillId="0" borderId="9" xfId="0" applyFont="1" applyFill="1" applyBorder="1" applyAlignment="1">
      <alignment horizontal="center" vertical="center" wrapText="1"/>
    </xf>
    <xf numFmtId="0" fontId="38" fillId="0" borderId="3" xfId="0" applyFont="1" applyFill="1" applyBorder="1" applyAlignment="1" applyProtection="1">
      <alignment horizontal="center" vertical="center"/>
    </xf>
    <xf numFmtId="0" fontId="38" fillId="0" borderId="11"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9" xfId="0" applyFont="1" applyFill="1" applyBorder="1" applyAlignment="1">
      <alignment horizontal="center" vertical="center"/>
    </xf>
    <xf numFmtId="0" fontId="24" fillId="5" borderId="51" xfId="0" applyFont="1" applyFill="1" applyBorder="1" applyAlignment="1" applyProtection="1">
      <alignment horizontal="center" vertical="center"/>
    </xf>
    <xf numFmtId="0" fontId="24" fillId="5" borderId="0" xfId="0" applyFont="1" applyFill="1" applyBorder="1" applyAlignment="1" applyProtection="1">
      <alignment horizontal="center" vertical="center"/>
    </xf>
    <xf numFmtId="0" fontId="24" fillId="5" borderId="52" xfId="0" applyFont="1" applyFill="1" applyBorder="1">
      <alignment vertical="center"/>
    </xf>
    <xf numFmtId="0" fontId="63" fillId="0" borderId="0" xfId="0" applyFont="1" applyFill="1" applyAlignment="1">
      <alignment vertical="center" wrapText="1"/>
    </xf>
    <xf numFmtId="166" fontId="10" fillId="0" borderId="5" xfId="0" applyNumberFormat="1" applyFont="1" applyFill="1" applyBorder="1" applyAlignment="1">
      <alignment horizontal="right" vertical="center"/>
    </xf>
    <xf numFmtId="168" fontId="10" fillId="0" borderId="14" xfId="0" applyNumberFormat="1" applyFont="1" applyFill="1" applyBorder="1" applyAlignment="1">
      <alignment horizontal="center" vertical="center"/>
    </xf>
    <xf numFmtId="168" fontId="10" fillId="0" borderId="9" xfId="0" applyNumberFormat="1" applyFont="1" applyFill="1" applyBorder="1" applyAlignment="1">
      <alignment horizontal="center" vertical="center"/>
    </xf>
    <xf numFmtId="169" fontId="38" fillId="0" borderId="9" xfId="0" applyNumberFormat="1" applyFont="1" applyFill="1" applyBorder="1" applyAlignment="1" applyProtection="1">
      <alignment vertical="center"/>
      <protection locked="0"/>
    </xf>
    <xf numFmtId="166" fontId="10" fillId="0" borderId="9" xfId="0" applyNumberFormat="1" applyFont="1" applyFill="1" applyBorder="1" applyAlignment="1">
      <alignment vertical="center"/>
    </xf>
    <xf numFmtId="166" fontId="10" fillId="0" borderId="6" xfId="0" applyNumberFormat="1" applyFont="1" applyFill="1" applyBorder="1" applyAlignment="1">
      <alignment vertical="center"/>
    </xf>
    <xf numFmtId="0" fontId="0" fillId="0" borderId="9" xfId="0" applyFont="1" applyBorder="1" applyAlignment="1">
      <alignment vertical="center"/>
    </xf>
    <xf numFmtId="0" fontId="0" fillId="0" borderId="6" xfId="0" applyFont="1" applyBorder="1" applyAlignment="1">
      <alignment vertical="center"/>
    </xf>
    <xf numFmtId="0" fontId="208" fillId="0" borderId="0" xfId="0" applyFont="1" applyFill="1" applyBorder="1" applyAlignment="1" applyProtection="1">
      <alignment horizontal="centerContinuous" vertical="distributed" wrapText="1"/>
    </xf>
    <xf numFmtId="0" fontId="38" fillId="0" borderId="0" xfId="0" applyFont="1" applyFill="1" applyAlignment="1">
      <alignment horizontal="left" vertical="center"/>
    </xf>
    <xf numFmtId="0" fontId="38" fillId="12" borderId="1" xfId="0" applyFont="1" applyFill="1" applyBorder="1" applyAlignment="1">
      <alignment horizontal="center" vertical="center"/>
    </xf>
    <xf numFmtId="0" fontId="38" fillId="9" borderId="13" xfId="0" quotePrefix="1" applyFont="1" applyFill="1" applyBorder="1" applyAlignment="1" applyProtection="1">
      <alignment vertical="center" wrapText="1"/>
    </xf>
    <xf numFmtId="0" fontId="38" fillId="0" borderId="1" xfId="0" quotePrefix="1" applyFont="1" applyFill="1" applyBorder="1" applyAlignment="1" applyProtection="1">
      <alignment vertical="center" wrapText="1"/>
    </xf>
    <xf numFmtId="0" fontId="38" fillId="9" borderId="4" xfId="0" applyFont="1" applyFill="1" applyBorder="1" applyAlignment="1" applyProtection="1">
      <alignment vertical="center" wrapText="1"/>
    </xf>
    <xf numFmtId="184" fontId="38" fillId="9" borderId="6" xfId="0" applyNumberFormat="1" applyFont="1" applyFill="1" applyBorder="1" applyAlignment="1" applyProtection="1">
      <alignment horizontal="center" vertical="center"/>
    </xf>
    <xf numFmtId="185" fontId="38" fillId="0" borderId="6" xfId="0" applyNumberFormat="1" applyFont="1" applyFill="1" applyBorder="1" applyAlignment="1" applyProtection="1">
      <alignment horizontal="center" vertical="center"/>
    </xf>
    <xf numFmtId="186" fontId="38" fillId="9" borderId="6" xfId="0" applyNumberFormat="1" applyFont="1" applyFill="1" applyBorder="1" applyAlignment="1" applyProtection="1">
      <alignment horizontal="center" vertical="center"/>
    </xf>
    <xf numFmtId="185" fontId="38" fillId="9" borderId="6" xfId="0" applyNumberFormat="1" applyFont="1" applyFill="1" applyBorder="1" applyAlignment="1" applyProtection="1">
      <alignment horizontal="center" vertical="center"/>
    </xf>
    <xf numFmtId="170" fontId="38" fillId="0" borderId="1" xfId="0" applyNumberFormat="1" applyFont="1" applyFill="1" applyBorder="1" applyAlignment="1">
      <alignment horizontal="center" vertical="center"/>
    </xf>
    <xf numFmtId="176" fontId="38" fillId="9" borderId="1" xfId="1" applyNumberFormat="1" applyFont="1" applyFill="1" applyBorder="1" applyAlignment="1">
      <alignment horizontal="center" vertical="center"/>
    </xf>
    <xf numFmtId="0" fontId="38" fillId="0" borderId="8" xfId="0" applyFont="1" applyFill="1" applyBorder="1" applyAlignment="1">
      <alignment horizontal="center" vertical="center" wrapText="1"/>
    </xf>
    <xf numFmtId="0" fontId="38" fillId="0" borderId="9" xfId="0" applyFont="1" applyFill="1" applyBorder="1" applyAlignment="1">
      <alignment vertical="center"/>
    </xf>
    <xf numFmtId="0" fontId="38" fillId="0" borderId="8" xfId="0" applyFont="1" applyFill="1" applyBorder="1" applyAlignment="1">
      <alignment vertical="center"/>
    </xf>
    <xf numFmtId="0" fontId="38" fillId="9" borderId="11" xfId="0" quotePrefix="1" applyFont="1" applyFill="1" applyBorder="1" applyAlignment="1" applyProtection="1">
      <alignment vertical="center" wrapText="1"/>
    </xf>
    <xf numFmtId="186" fontId="38" fillId="0" borderId="6" xfId="0" applyNumberFormat="1" applyFont="1" applyFill="1" applyBorder="1" applyAlignment="1" applyProtection="1">
      <alignment horizontal="center" vertical="center"/>
    </xf>
    <xf numFmtId="184" fontId="38" fillId="0" borderId="6" xfId="0" applyNumberFormat="1" applyFont="1" applyFill="1" applyBorder="1" applyAlignment="1" applyProtection="1">
      <alignment horizontal="center" vertical="center"/>
    </xf>
    <xf numFmtId="0" fontId="38" fillId="0" borderId="0" xfId="0" applyNumberFormat="1" applyFont="1" applyFill="1" applyBorder="1" applyAlignment="1">
      <alignment horizontal="center" vertical="center" wrapText="1"/>
    </xf>
    <xf numFmtId="0" fontId="38" fillId="0" borderId="7" xfId="0" applyFont="1" applyFill="1" applyBorder="1" applyAlignment="1">
      <alignment vertical="center"/>
    </xf>
    <xf numFmtId="0" fontId="42" fillId="0" borderId="0" xfId="0" applyFont="1" applyFill="1" applyBorder="1" applyAlignment="1" applyProtection="1">
      <alignment horizontal="center" vertical="center"/>
    </xf>
    <xf numFmtId="0" fontId="0" fillId="0" borderId="8" xfId="0" applyFont="1" applyBorder="1" applyAlignment="1">
      <alignment vertical="center"/>
    </xf>
    <xf numFmtId="0" fontId="38" fillId="0" borderId="0" xfId="0" quotePrefix="1" applyFont="1" applyFill="1" applyBorder="1" applyAlignment="1" applyProtection="1">
      <alignment vertical="center"/>
    </xf>
    <xf numFmtId="0" fontId="38" fillId="0" borderId="0" xfId="0" quotePrefix="1" applyFont="1" applyFill="1" applyBorder="1" applyAlignment="1" applyProtection="1">
      <alignment vertical="center" wrapText="1"/>
    </xf>
    <xf numFmtId="0" fontId="38" fillId="0" borderId="5" xfId="0" applyNumberFormat="1" applyFont="1" applyFill="1" applyBorder="1" applyAlignment="1" applyProtection="1">
      <alignment horizontal="center" vertical="center"/>
    </xf>
    <xf numFmtId="0" fontId="38" fillId="0" borderId="0" xfId="0" applyFont="1" applyFill="1" applyBorder="1" applyAlignment="1" applyProtection="1">
      <alignment vertical="center"/>
    </xf>
    <xf numFmtId="0" fontId="38" fillId="0" borderId="0" xfId="0" applyNumberFormat="1" applyFont="1" applyFill="1" applyBorder="1" applyAlignment="1" applyProtection="1">
      <alignment horizontal="center" vertical="center"/>
    </xf>
    <xf numFmtId="170" fontId="38" fillId="0" borderId="5" xfId="0" applyNumberFormat="1" applyFont="1" applyFill="1" applyBorder="1" applyAlignment="1" applyProtection="1">
      <alignment horizontal="center" vertical="center"/>
      <protection locked="0"/>
    </xf>
    <xf numFmtId="169" fontId="38" fillId="0" borderId="0" xfId="0" applyNumberFormat="1" applyFont="1" applyFill="1" applyBorder="1" applyAlignment="1">
      <alignment horizontal="center" vertical="center"/>
    </xf>
    <xf numFmtId="166" fontId="38" fillId="0" borderId="0" xfId="0" applyNumberFormat="1" applyFont="1" applyFill="1" applyBorder="1" applyAlignment="1">
      <alignment horizontal="center" vertical="center"/>
    </xf>
    <xf numFmtId="168" fontId="38" fillId="0" borderId="0" xfId="0" applyNumberFormat="1" applyFont="1" applyFill="1" applyBorder="1" applyAlignment="1" applyProtection="1">
      <alignment horizontal="center" vertical="center"/>
    </xf>
    <xf numFmtId="168" fontId="38" fillId="0" borderId="0" xfId="0" applyNumberFormat="1" applyFont="1" applyFill="1" applyBorder="1" applyAlignment="1">
      <alignment horizontal="center" vertical="center"/>
    </xf>
    <xf numFmtId="170" fontId="38" fillId="0" borderId="0" xfId="0" applyNumberFormat="1" applyFont="1" applyFill="1" applyBorder="1" applyAlignment="1" applyProtection="1">
      <alignment horizontal="center" vertical="center"/>
      <protection locked="0"/>
    </xf>
    <xf numFmtId="171" fontId="38" fillId="0" borderId="0" xfId="0" applyNumberFormat="1" applyFont="1" applyFill="1" applyBorder="1" applyAlignment="1" applyProtection="1">
      <alignment horizontal="center" vertical="center"/>
    </xf>
    <xf numFmtId="185" fontId="38" fillId="9" borderId="6" xfId="0" quotePrefix="1" applyNumberFormat="1" applyFont="1" applyFill="1" applyBorder="1" applyAlignment="1" applyProtection="1">
      <alignment horizontal="center" vertical="center"/>
    </xf>
    <xf numFmtId="165" fontId="38" fillId="9" borderId="6" xfId="1" applyFont="1" applyFill="1" applyBorder="1" applyAlignment="1" applyProtection="1">
      <alignment horizontal="center" vertical="center"/>
    </xf>
    <xf numFmtId="184" fontId="38" fillId="9" borderId="9" xfId="0" applyNumberFormat="1" applyFont="1" applyFill="1" applyBorder="1" applyAlignment="1" applyProtection="1">
      <alignment horizontal="center" vertical="center"/>
    </xf>
    <xf numFmtId="185" fontId="38" fillId="0" borderId="9" xfId="0" applyNumberFormat="1" applyFont="1" applyFill="1" applyBorder="1" applyAlignment="1" applyProtection="1">
      <alignment horizontal="center" vertical="center"/>
    </xf>
    <xf numFmtId="0" fontId="38" fillId="0" borderId="9" xfId="0" applyFont="1" applyFill="1" applyBorder="1" applyAlignment="1" applyProtection="1">
      <alignment horizontal="distributed" vertical="distributed" wrapText="1"/>
      <protection locked="0"/>
    </xf>
    <xf numFmtId="0" fontId="38" fillId="0" borderId="0" xfId="0" applyFont="1" applyFill="1" applyBorder="1" applyAlignment="1" applyProtection="1">
      <alignment vertical="center" wrapText="1"/>
      <protection locked="0"/>
    </xf>
    <xf numFmtId="0" fontId="38" fillId="0" borderId="0" xfId="0" applyFont="1" applyFill="1" applyBorder="1" applyAlignment="1" applyProtection="1">
      <alignment vertical="center" wrapText="1"/>
    </xf>
    <xf numFmtId="0" fontId="38" fillId="4" borderId="9" xfId="0" applyFont="1" applyFill="1" applyBorder="1" applyAlignment="1">
      <alignment vertical="center" wrapText="1"/>
    </xf>
    <xf numFmtId="0" fontId="38" fillId="4" borderId="0" xfId="0" applyFont="1" applyFill="1" applyBorder="1" applyAlignment="1">
      <alignment vertical="center" wrapText="1"/>
    </xf>
    <xf numFmtId="0" fontId="38" fillId="0" borderId="9" xfId="0" applyFont="1" applyFill="1" applyBorder="1" applyAlignment="1">
      <alignment vertical="center" wrapText="1"/>
    </xf>
    <xf numFmtId="0" fontId="38" fillId="0" borderId="7" xfId="0" applyFont="1" applyFill="1" applyBorder="1" applyAlignment="1">
      <alignment vertical="center" wrapText="1"/>
    </xf>
    <xf numFmtId="0" fontId="38" fillId="0" borderId="0" xfId="0" applyFont="1" applyFill="1" applyBorder="1" applyAlignment="1">
      <alignment vertical="center" wrapText="1"/>
    </xf>
    <xf numFmtId="0" fontId="38" fillId="0" borderId="7" xfId="0" quotePrefix="1" applyFont="1" applyFill="1" applyBorder="1" applyAlignment="1" applyProtection="1">
      <alignment vertical="center" wrapText="1"/>
    </xf>
    <xf numFmtId="0" fontId="38" fillId="9" borderId="1" xfId="0" applyFont="1" applyFill="1" applyBorder="1" applyAlignment="1" applyProtection="1">
      <alignment horizontal="center" vertical="center"/>
      <protection locked="0"/>
    </xf>
    <xf numFmtId="0" fontId="38" fillId="0" borderId="9" xfId="0" applyFont="1" applyFill="1" applyBorder="1" applyAlignment="1" applyProtection="1">
      <alignment vertical="center" wrapText="1"/>
      <protection locked="0"/>
    </xf>
    <xf numFmtId="169" fontId="38" fillId="0" borderId="6" xfId="0" applyNumberFormat="1" applyFont="1" applyFill="1" applyBorder="1" applyAlignment="1" applyProtection="1">
      <alignment vertical="center"/>
      <protection locked="0"/>
    </xf>
    <xf numFmtId="0" fontId="38" fillId="0" borderId="9" xfId="0" applyFont="1" applyFill="1" applyBorder="1" applyAlignment="1">
      <alignment horizontal="center" vertical="center"/>
    </xf>
    <xf numFmtId="170" fontId="38" fillId="0" borderId="9" xfId="0" applyNumberFormat="1" applyFont="1" applyFill="1" applyBorder="1" applyAlignment="1" applyProtection="1">
      <alignment horizontal="center" vertical="center"/>
      <protection locked="0"/>
    </xf>
    <xf numFmtId="0" fontId="38" fillId="0" borderId="8" xfId="0" applyFont="1" applyFill="1" applyBorder="1" applyAlignment="1">
      <alignment horizontal="center" vertical="center"/>
    </xf>
    <xf numFmtId="170" fontId="38" fillId="0" borderId="8" xfId="0" applyNumberFormat="1" applyFont="1" applyFill="1" applyBorder="1" applyAlignment="1" applyProtection="1">
      <alignment horizontal="center" vertical="center"/>
      <protection locked="0"/>
    </xf>
    <xf numFmtId="170" fontId="38" fillId="0" borderId="12"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distributed" vertical="distributed" wrapText="1"/>
      <protection locked="0"/>
    </xf>
    <xf numFmtId="0" fontId="38" fillId="0" borderId="1" xfId="0" applyNumberFormat="1" applyFont="1" applyFill="1" applyBorder="1" applyAlignment="1" applyProtection="1">
      <alignment horizontal="center" vertical="center" wrapText="1"/>
      <protection locked="0"/>
    </xf>
    <xf numFmtId="0" fontId="52" fillId="0" borderId="1" xfId="4" applyFont="1" applyBorder="1" applyAlignment="1">
      <alignment horizontal="center" vertical="center"/>
    </xf>
    <xf numFmtId="14" fontId="52" fillId="0" borderId="0" xfId="4" applyNumberFormat="1" applyFont="1">
      <alignment vertical="center"/>
    </xf>
    <xf numFmtId="0" fontId="52" fillId="0" borderId="0" xfId="4" applyFont="1" applyAlignment="1">
      <alignment horizontal="center" vertical="center"/>
    </xf>
    <xf numFmtId="0" fontId="52" fillId="0" borderId="1" xfId="4" quotePrefix="1" applyFont="1" applyBorder="1" applyAlignment="1">
      <alignment horizontal="center" vertical="center"/>
    </xf>
    <xf numFmtId="0" fontId="209" fillId="0" borderId="0" xfId="4" applyFont="1" applyBorder="1" applyAlignment="1">
      <alignment horizontal="center" vertical="center"/>
    </xf>
    <xf numFmtId="0" fontId="52" fillId="0" borderId="0" xfId="4" applyFont="1" applyBorder="1">
      <alignment vertical="center"/>
    </xf>
    <xf numFmtId="0" fontId="52" fillId="0" borderId="0" xfId="4" applyFont="1" applyBorder="1" applyAlignment="1">
      <alignment horizontal="center" vertical="center"/>
    </xf>
    <xf numFmtId="0" fontId="52" fillId="11" borderId="1" xfId="4" applyFont="1" applyFill="1" applyBorder="1">
      <alignment vertical="center"/>
    </xf>
    <xf numFmtId="0" fontId="52" fillId="11" borderId="1" xfId="4" applyFont="1" applyFill="1" applyBorder="1" applyAlignment="1">
      <alignment horizontal="center" vertical="center"/>
    </xf>
    <xf numFmtId="0" fontId="24" fillId="0" borderId="0" xfId="4" applyFont="1" applyAlignment="1">
      <alignment horizontal="center" vertical="center"/>
    </xf>
    <xf numFmtId="0" fontId="24" fillId="0" borderId="1" xfId="4" applyFont="1" applyBorder="1" applyAlignment="1">
      <alignment horizontal="center" vertical="center"/>
    </xf>
    <xf numFmtId="0" fontId="14" fillId="11" borderId="1" xfId="4" applyFont="1" applyFill="1" applyBorder="1" applyAlignment="1">
      <alignment horizontal="center" vertical="center"/>
    </xf>
    <xf numFmtId="168" fontId="38" fillId="11" borderId="1" xfId="4" applyNumberFormat="1" applyFont="1" applyFill="1" applyBorder="1" applyAlignment="1">
      <alignment horizontal="center" vertical="center"/>
    </xf>
    <xf numFmtId="0" fontId="24" fillId="0" borderId="1" xfId="4" applyFont="1" applyBorder="1" applyAlignment="1">
      <alignment horizontal="center" vertical="center" wrapText="1"/>
    </xf>
    <xf numFmtId="0" fontId="14" fillId="11" borderId="1" xfId="0" applyFont="1" applyFill="1" applyBorder="1" applyAlignment="1">
      <alignment horizontal="center" vertical="center" shrinkToFit="1"/>
    </xf>
    <xf numFmtId="0" fontId="14" fillId="11" borderId="1" xfId="4" applyFont="1" applyFill="1" applyBorder="1" applyAlignment="1">
      <alignment horizontal="center" vertical="center" shrinkToFit="1"/>
    </xf>
    <xf numFmtId="0" fontId="24" fillId="0" borderId="0" xfId="4" applyFont="1" applyBorder="1" applyAlignment="1">
      <alignment horizontal="center" vertical="center"/>
    </xf>
    <xf numFmtId="186" fontId="38" fillId="11" borderId="1" xfId="4" applyNumberFormat="1" applyFont="1" applyFill="1" applyBorder="1" applyAlignment="1">
      <alignment horizontal="center" vertical="center"/>
    </xf>
    <xf numFmtId="0" fontId="24" fillId="11" borderId="1" xfId="4" applyFont="1" applyFill="1" applyBorder="1" applyAlignment="1">
      <alignment horizontal="center" vertical="center"/>
    </xf>
    <xf numFmtId="0" fontId="68" fillId="0" borderId="0" xfId="4" applyFont="1">
      <alignment vertical="center"/>
    </xf>
    <xf numFmtId="14" fontId="75" fillId="5" borderId="0" xfId="4" applyNumberFormat="1" applyFont="1" applyFill="1">
      <alignment vertical="center"/>
    </xf>
    <xf numFmtId="0" fontId="105" fillId="0" borderId="13" xfId="8" applyFont="1" applyFill="1" applyBorder="1" applyAlignment="1" applyProtection="1">
      <alignment vertical="center" wrapText="1"/>
    </xf>
    <xf numFmtId="0" fontId="105" fillId="0" borderId="8" xfId="8" applyFont="1" applyFill="1" applyBorder="1" applyAlignment="1" applyProtection="1">
      <alignment vertical="center" wrapText="1"/>
    </xf>
    <xf numFmtId="0" fontId="105" fillId="0" borderId="12" xfId="8" applyFont="1" applyFill="1" applyBorder="1" applyAlignment="1" applyProtection="1">
      <alignment vertical="center" wrapText="1"/>
    </xf>
    <xf numFmtId="0" fontId="105" fillId="0" borderId="87" xfId="8" applyFont="1" applyFill="1" applyBorder="1" applyAlignment="1" applyProtection="1">
      <alignment vertical="center" wrapText="1"/>
    </xf>
    <xf numFmtId="0" fontId="105" fillId="0" borderId="69" xfId="8" applyFont="1" applyFill="1" applyBorder="1" applyAlignment="1" applyProtection="1">
      <alignment vertical="center" wrapText="1"/>
    </xf>
    <xf numFmtId="0" fontId="105" fillId="0" borderId="70" xfId="8" applyFont="1" applyFill="1" applyBorder="1" applyAlignment="1" applyProtection="1">
      <alignment vertical="center" wrapText="1"/>
    </xf>
    <xf numFmtId="0" fontId="105" fillId="0" borderId="61" xfId="8" applyFont="1" applyFill="1" applyBorder="1" applyAlignment="1" applyProtection="1">
      <alignment vertical="center" wrapText="1"/>
    </xf>
    <xf numFmtId="0" fontId="105" fillId="0" borderId="0" xfId="8" applyFont="1" applyFill="1" applyBorder="1" applyAlignment="1" applyProtection="1">
      <alignment vertical="center" wrapText="1"/>
    </xf>
    <xf numFmtId="0" fontId="105" fillId="0" borderId="16" xfId="8" applyFont="1" applyFill="1" applyBorder="1" applyAlignment="1" applyProtection="1">
      <alignment vertical="center" wrapText="1"/>
    </xf>
    <xf numFmtId="170" fontId="14" fillId="0" borderId="1" xfId="0" applyNumberFormat="1" applyFont="1" applyFill="1" applyBorder="1" applyAlignment="1">
      <alignment horizontal="center" vertical="center"/>
    </xf>
    <xf numFmtId="170" fontId="32" fillId="13" borderId="1" xfId="0" applyNumberFormat="1" applyFont="1" applyFill="1" applyBorder="1" applyAlignment="1" applyProtection="1">
      <alignment horizontal="center" vertical="center"/>
      <protection locked="0"/>
    </xf>
    <xf numFmtId="170" fontId="32" fillId="0" borderId="0" xfId="0" applyNumberFormat="1" applyFont="1" applyFill="1" applyBorder="1" applyAlignment="1" applyProtection="1">
      <alignment horizontal="center" vertical="center"/>
      <protection locked="0"/>
    </xf>
    <xf numFmtId="170" fontId="14" fillId="0" borderId="1"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0" fontId="38" fillId="14" borderId="3" xfId="0" applyFont="1" applyFill="1" applyBorder="1" applyAlignment="1">
      <alignment horizontal="center" vertical="center"/>
    </xf>
    <xf numFmtId="0" fontId="38" fillId="14" borderId="5" xfId="0" applyFont="1" applyFill="1" applyBorder="1" applyAlignment="1">
      <alignment horizontal="center" vertical="center"/>
    </xf>
    <xf numFmtId="0" fontId="50" fillId="0" borderId="3" xfId="0" applyFont="1" applyFill="1" applyBorder="1" applyAlignment="1">
      <alignment horizontal="center" vertical="center" wrapText="1"/>
    </xf>
    <xf numFmtId="169" fontId="50" fillId="0" borderId="3" xfId="0" applyNumberFormat="1" applyFont="1" applyFill="1" applyBorder="1" applyAlignment="1">
      <alignment horizontal="center" vertical="center"/>
    </xf>
    <xf numFmtId="167" fontId="58" fillId="0" borderId="13" xfId="0" applyNumberFormat="1" applyFont="1" applyFill="1" applyBorder="1" applyAlignment="1" applyProtection="1">
      <alignment horizontal="center" vertical="center"/>
    </xf>
    <xf numFmtId="177" fontId="50" fillId="0" borderId="89" xfId="0" applyNumberFormat="1" applyFont="1" applyFill="1" applyBorder="1" applyAlignment="1" applyProtection="1">
      <alignment horizontal="center" vertical="center"/>
    </xf>
    <xf numFmtId="166" fontId="50" fillId="0" borderId="3" xfId="0" applyNumberFormat="1" applyFont="1" applyFill="1" applyBorder="1" applyAlignment="1" applyProtection="1">
      <alignment horizontal="center" vertical="center"/>
    </xf>
    <xf numFmtId="0" fontId="52" fillId="0" borderId="3" xfId="8" applyFont="1" applyFill="1" applyBorder="1" applyAlignment="1" applyProtection="1">
      <alignment horizontal="center" vertical="center" wrapText="1"/>
      <protection locked="0"/>
    </xf>
    <xf numFmtId="0" fontId="50" fillId="0" borderId="88" xfId="0" applyFont="1" applyFill="1" applyBorder="1" applyAlignment="1">
      <alignment horizontal="center" vertical="center"/>
    </xf>
    <xf numFmtId="0" fontId="50" fillId="0" borderId="88" xfId="0" applyFont="1" applyFill="1" applyBorder="1" applyAlignment="1">
      <alignment horizontal="center" vertical="center" wrapText="1"/>
    </xf>
    <xf numFmtId="169" fontId="50" fillId="0" borderId="88" xfId="0" applyNumberFormat="1" applyFont="1" applyFill="1" applyBorder="1" applyAlignment="1">
      <alignment horizontal="center" vertical="center"/>
    </xf>
    <xf numFmtId="167" fontId="58" fillId="0" borderId="91" xfId="0" applyNumberFormat="1" applyFont="1" applyFill="1" applyBorder="1" applyAlignment="1" applyProtection="1">
      <alignment horizontal="center" vertical="center"/>
    </xf>
    <xf numFmtId="177" fontId="50" fillId="0" borderId="94" xfId="0" applyNumberFormat="1" applyFont="1" applyFill="1" applyBorder="1" applyAlignment="1" applyProtection="1">
      <alignment horizontal="center" vertical="center"/>
    </xf>
    <xf numFmtId="166" fontId="50" fillId="0" borderId="88" xfId="0" applyNumberFormat="1" applyFont="1" applyFill="1" applyBorder="1" applyAlignment="1" applyProtection="1">
      <alignment horizontal="center" vertical="center"/>
    </xf>
    <xf numFmtId="0" fontId="50" fillId="0" borderId="88" xfId="0" applyNumberFormat="1" applyFont="1" applyFill="1" applyBorder="1" applyAlignment="1" applyProtection="1">
      <alignment horizontal="center" vertical="center"/>
    </xf>
    <xf numFmtId="0" fontId="38" fillId="0" borderId="1" xfId="0" applyFont="1" applyFill="1" applyBorder="1" applyAlignment="1" applyProtection="1">
      <alignment vertical="center"/>
    </xf>
    <xf numFmtId="169" fontId="24" fillId="0" borderId="1" xfId="0" applyNumberFormat="1" applyFont="1" applyFill="1" applyBorder="1" applyAlignment="1" applyProtection="1">
      <alignment horizontal="center" vertical="center"/>
      <protection locked="0"/>
    </xf>
    <xf numFmtId="0" fontId="105" fillId="0" borderId="1" xfId="0" applyNumberFormat="1" applyFont="1" applyFill="1" applyBorder="1" applyAlignment="1" applyProtection="1">
      <alignment horizontal="center" vertical="center" wrapText="1"/>
    </xf>
    <xf numFmtId="0" fontId="215" fillId="0" borderId="0" xfId="0" applyFont="1" applyFill="1" applyAlignment="1">
      <alignment horizontal="centerContinuous" vertical="center"/>
    </xf>
    <xf numFmtId="0" fontId="215" fillId="0" borderId="7" xfId="0" applyFont="1" applyFill="1" applyBorder="1" applyAlignment="1">
      <alignment horizontal="centerContinuous" vertical="center"/>
    </xf>
    <xf numFmtId="0" fontId="50" fillId="0" borderId="1" xfId="8" applyNumberFormat="1" applyFont="1" applyFill="1" applyBorder="1" applyAlignment="1" applyProtection="1">
      <alignment horizontal="center" vertical="center" wrapText="1"/>
    </xf>
    <xf numFmtId="0" fontId="50" fillId="0" borderId="7" xfId="0" applyFont="1" applyFill="1" applyBorder="1" applyAlignment="1" applyProtection="1">
      <alignment vertical="center"/>
    </xf>
    <xf numFmtId="0" fontId="50" fillId="0" borderId="7" xfId="0" applyFont="1" applyFill="1" applyBorder="1" applyAlignment="1">
      <alignment horizontal="center" vertical="center"/>
    </xf>
    <xf numFmtId="0" fontId="50" fillId="0" borderId="6" xfId="0" applyNumberFormat="1" applyFont="1" applyFill="1" applyBorder="1" applyAlignment="1">
      <alignment horizontal="center" vertical="center" wrapText="1"/>
    </xf>
    <xf numFmtId="10" fontId="50" fillId="0" borderId="1" xfId="7" applyNumberFormat="1" applyFont="1" applyFill="1" applyBorder="1" applyAlignment="1">
      <alignment horizontal="center" vertical="center"/>
    </xf>
    <xf numFmtId="168" fontId="50" fillId="0" borderId="1" xfId="0" quotePrefix="1" applyNumberFormat="1" applyFont="1" applyFill="1" applyBorder="1" applyAlignment="1">
      <alignment horizontal="center" vertical="center"/>
    </xf>
    <xf numFmtId="0" fontId="50" fillId="0" borderId="6" xfId="0" applyNumberFormat="1" applyFont="1" applyFill="1" applyBorder="1" applyAlignment="1" applyProtection="1">
      <alignment horizontal="center" vertical="center" wrapText="1"/>
    </xf>
    <xf numFmtId="0" fontId="50" fillId="0" borderId="2" xfId="0" applyNumberFormat="1" applyFont="1" applyFill="1" applyBorder="1" applyAlignment="1" applyProtection="1">
      <alignment horizontal="center" vertical="center" wrapText="1"/>
    </xf>
    <xf numFmtId="171" fontId="50" fillId="0" borderId="1" xfId="0" applyNumberFormat="1" applyFont="1" applyFill="1" applyBorder="1" applyAlignment="1">
      <alignment horizontal="center" vertical="center"/>
    </xf>
    <xf numFmtId="173" fontId="50" fillId="0" borderId="1" xfId="7"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177" fontId="24" fillId="0" borderId="14" xfId="0" applyNumberFormat="1"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2" xfId="0" applyFont="1" applyFill="1" applyBorder="1" applyAlignment="1" applyProtection="1">
      <alignment horizontal="center" vertical="center" wrapText="1"/>
    </xf>
    <xf numFmtId="0" fontId="51" fillId="0" borderId="3" xfId="0" applyFont="1" applyFill="1" applyBorder="1" applyAlignment="1">
      <alignment horizontal="center" vertical="center"/>
    </xf>
    <xf numFmtId="0" fontId="51"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51" fillId="0" borderId="5" xfId="0" applyFont="1" applyFill="1" applyBorder="1" applyAlignment="1" applyProtection="1">
      <alignment horizontal="center" vertical="center" wrapText="1"/>
    </xf>
    <xf numFmtId="166" fontId="52" fillId="0" borderId="1" xfId="4" applyNumberFormat="1" applyFont="1" applyBorder="1">
      <alignment vertical="center"/>
    </xf>
    <xf numFmtId="166" fontId="52" fillId="11" borderId="1" xfId="4" applyNumberFormat="1" applyFont="1" applyFill="1" applyBorder="1">
      <alignment vertical="center"/>
    </xf>
    <xf numFmtId="0" fontId="38" fillId="0" borderId="1" xfId="0"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14" borderId="1" xfId="0" applyFont="1" applyFill="1" applyBorder="1" applyAlignment="1">
      <alignment horizontal="left" vertical="center" wrapText="1"/>
    </xf>
    <xf numFmtId="179" fontId="75" fillId="0" borderId="9"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38" fillId="0" borderId="3" xfId="0" applyFont="1" applyFill="1" applyBorder="1" applyAlignment="1" applyProtection="1">
      <alignment horizontal="center" vertical="center" wrapText="1"/>
    </xf>
    <xf numFmtId="0" fontId="218" fillId="13" borderId="1" xfId="4" applyFont="1" applyFill="1" applyBorder="1">
      <alignment vertical="center"/>
    </xf>
    <xf numFmtId="0" fontId="219" fillId="13" borderId="1" xfId="4" applyFont="1" applyFill="1" applyBorder="1">
      <alignment vertical="center"/>
    </xf>
    <xf numFmtId="0" fontId="219" fillId="13" borderId="1" xfId="4" applyFont="1" applyFill="1" applyBorder="1" applyAlignment="1">
      <alignment horizontal="center"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5" xfId="0" applyFont="1" applyFill="1" applyBorder="1" applyAlignment="1">
      <alignment horizontal="center" vertical="center"/>
    </xf>
    <xf numFmtId="170" fontId="53" fillId="0" borderId="5" xfId="0" applyNumberFormat="1" applyFont="1" applyFill="1" applyBorder="1" applyAlignment="1" applyProtection="1">
      <alignment horizontal="right" vertical="center"/>
    </xf>
    <xf numFmtId="170" fontId="53" fillId="0" borderId="14" xfId="1" applyNumberFormat="1" applyFont="1" applyFill="1" applyBorder="1" applyAlignment="1" applyProtection="1">
      <alignment horizontal="center" vertical="center"/>
    </xf>
    <xf numFmtId="170" fontId="53" fillId="0" borderId="9" xfId="0" applyNumberFormat="1" applyFont="1" applyFill="1" applyBorder="1" applyAlignment="1" applyProtection="1">
      <alignment horizontal="center" vertical="center"/>
    </xf>
    <xf numFmtId="0" fontId="51" fillId="0" borderId="1" xfId="0" applyNumberFormat="1" applyFont="1" applyFill="1" applyBorder="1" applyAlignment="1" applyProtection="1">
      <alignment horizontal="center" vertical="center" wrapText="1"/>
    </xf>
    <xf numFmtId="0" fontId="220" fillId="0" borderId="1" xfId="0" applyFont="1" applyFill="1" applyBorder="1" applyAlignment="1" applyProtection="1">
      <alignment horizontal="center" vertical="center"/>
    </xf>
    <xf numFmtId="0" fontId="50" fillId="0" borderId="5" xfId="0" applyFont="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50"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55" fillId="0" borderId="1" xfId="0" applyNumberFormat="1"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51" fillId="0" borderId="6" xfId="0" applyNumberFormat="1" applyFont="1" applyFill="1" applyBorder="1" applyAlignment="1">
      <alignment horizontal="center" vertical="center" wrapText="1"/>
    </xf>
    <xf numFmtId="0" fontId="105" fillId="0" borderId="61" xfId="8" applyFont="1" applyFill="1" applyBorder="1" applyAlignment="1" applyProtection="1">
      <alignment horizontal="center" vertical="center" wrapText="1"/>
    </xf>
    <xf numFmtId="0" fontId="38" fillId="0" borderId="86" xfId="0" applyFont="1" applyFill="1" applyBorder="1" applyAlignment="1" applyProtection="1">
      <alignment horizontal="center" vertical="center" wrapText="1"/>
    </xf>
    <xf numFmtId="0" fontId="50" fillId="13" borderId="9" xfId="0" applyFont="1" applyFill="1" applyBorder="1" applyAlignment="1" applyProtection="1">
      <alignment vertical="center" wrapText="1"/>
    </xf>
    <xf numFmtId="0" fontId="38" fillId="0" borderId="3" xfId="0" applyFont="1" applyFill="1" applyBorder="1" applyAlignment="1" applyProtection="1">
      <alignment vertical="center" wrapText="1"/>
    </xf>
    <xf numFmtId="181" fontId="52" fillId="0" borderId="7" xfId="0" applyNumberFormat="1" applyFont="1" applyBorder="1" applyAlignment="1" applyProtection="1">
      <alignment horizontal="center" vertical="center"/>
    </xf>
    <xf numFmtId="20" fontId="74" fillId="0" borderId="7" xfId="0" applyNumberFormat="1" applyFont="1" applyBorder="1" applyAlignment="1" applyProtection="1">
      <alignment horizontal="center" vertical="center"/>
    </xf>
    <xf numFmtId="179" fontId="74" fillId="0" borderId="7" xfId="0" applyNumberFormat="1" applyFont="1" applyFill="1" applyBorder="1" applyAlignment="1" applyProtection="1">
      <alignment horizontal="center" vertical="center"/>
      <protection locked="0"/>
    </xf>
    <xf numFmtId="179" fontId="141" fillId="0" borderId="7" xfId="0" applyNumberFormat="1" applyFont="1" applyFill="1" applyBorder="1" applyAlignment="1" applyProtection="1">
      <alignment horizontal="left" vertical="center"/>
      <protection locked="0"/>
    </xf>
    <xf numFmtId="175" fontId="146" fillId="0" borderId="7" xfId="0" applyNumberFormat="1" applyFont="1" applyFill="1" applyBorder="1" applyAlignment="1" applyProtection="1">
      <alignment horizontal="center" vertical="center"/>
    </xf>
    <xf numFmtId="175" fontId="146" fillId="0" borderId="7" xfId="0" applyNumberFormat="1" applyFont="1" applyFill="1" applyBorder="1" applyAlignment="1" applyProtection="1">
      <alignment vertical="center" wrapText="1"/>
    </xf>
    <xf numFmtId="20" fontId="146" fillId="0" borderId="7" xfId="0" applyNumberFormat="1" applyFont="1" applyFill="1" applyBorder="1" applyAlignment="1" applyProtection="1">
      <alignment horizontal="center" vertical="center" wrapText="1"/>
    </xf>
    <xf numFmtId="0" fontId="146" fillId="0" borderId="7" xfId="0" applyFont="1" applyFill="1" applyBorder="1" applyAlignment="1" applyProtection="1">
      <alignment vertical="center" wrapText="1"/>
    </xf>
    <xf numFmtId="0" fontId="24" fillId="0" borderId="69" xfId="8" applyFont="1" applyFill="1" applyBorder="1" applyAlignment="1" applyProtection="1">
      <alignment vertical="center" wrapText="1"/>
    </xf>
    <xf numFmtId="14" fontId="24" fillId="0" borderId="69" xfId="8" applyNumberFormat="1" applyFont="1" applyFill="1" applyBorder="1" applyAlignment="1" applyProtection="1">
      <alignment horizontal="center" vertical="center"/>
    </xf>
    <xf numFmtId="0" fontId="14" fillId="0" borderId="9" xfId="0" applyNumberFormat="1" applyFont="1" applyFill="1" applyBorder="1" applyAlignment="1">
      <alignment horizontal="center" vertical="center" wrapText="1"/>
    </xf>
    <xf numFmtId="20" fontId="60" fillId="0" borderId="7" xfId="8" applyNumberFormat="1" applyFont="1" applyFill="1" applyBorder="1" applyAlignment="1" applyProtection="1">
      <alignment horizontal="center" vertical="center" wrapText="1"/>
      <protection locked="0"/>
    </xf>
    <xf numFmtId="175" fontId="130" fillId="0" borderId="7" xfId="0" applyNumberFormat="1" applyFont="1" applyFill="1" applyBorder="1" applyAlignment="1" applyProtection="1">
      <alignment vertical="center" wrapText="1"/>
    </xf>
    <xf numFmtId="176" fontId="50" fillId="0" borderId="1" xfId="1" applyNumberFormat="1" applyFont="1" applyFill="1" applyBorder="1" applyAlignment="1" applyProtection="1">
      <alignment horizontal="center" vertical="center"/>
    </xf>
    <xf numFmtId="0" fontId="38" fillId="4" borderId="69" xfId="0" applyFont="1" applyFill="1" applyBorder="1" applyAlignment="1" applyProtection="1">
      <alignment horizontal="centerContinuous" vertical="center"/>
    </xf>
    <xf numFmtId="41" fontId="38" fillId="0" borderId="2" xfId="0" applyNumberFormat="1" applyFont="1" applyFill="1" applyBorder="1" applyAlignment="1" applyProtection="1">
      <alignment horizontal="center" vertical="center" wrapText="1"/>
    </xf>
    <xf numFmtId="182" fontId="38" fillId="0" borderId="1" xfId="0" applyNumberFormat="1" applyFont="1" applyFill="1" applyBorder="1" applyAlignment="1" applyProtection="1">
      <alignment horizontal="center" vertical="center"/>
    </xf>
    <xf numFmtId="167" fontId="24" fillId="0" borderId="5" xfId="0" applyNumberFormat="1" applyFont="1" applyFill="1" applyBorder="1" applyAlignment="1" applyProtection="1">
      <alignment horizontal="center" vertical="center"/>
    </xf>
    <xf numFmtId="166" fontId="24" fillId="0" borderId="1" xfId="0" applyNumberFormat="1" applyFont="1" applyFill="1" applyBorder="1" applyAlignment="1" applyProtection="1">
      <alignment horizontal="center" vertical="center"/>
    </xf>
    <xf numFmtId="167" fontId="38" fillId="0" borderId="5" xfId="8" applyNumberFormat="1" applyFont="1" applyFill="1" applyBorder="1" applyAlignment="1" applyProtection="1">
      <alignment horizontal="center" vertical="center"/>
    </xf>
    <xf numFmtId="177" fontId="38" fillId="0" borderId="6" xfId="8" applyNumberFormat="1" applyFont="1" applyFill="1" applyBorder="1" applyAlignment="1" applyProtection="1">
      <alignment horizontal="center" vertical="center"/>
    </xf>
    <xf numFmtId="166" fontId="38" fillId="0" borderId="1" xfId="8" applyNumberFormat="1" applyFont="1" applyFill="1" applyBorder="1" applyAlignment="1" applyProtection="1">
      <alignment horizontal="center" vertical="center"/>
    </xf>
    <xf numFmtId="170" fontId="38" fillId="0" borderId="5" xfId="8" applyNumberFormat="1" applyFont="1" applyFill="1" applyBorder="1" applyAlignment="1" applyProtection="1">
      <alignment vertical="center"/>
    </xf>
    <xf numFmtId="170" fontId="38" fillId="0" borderId="6" xfId="8" applyNumberFormat="1" applyFont="1" applyFill="1" applyBorder="1" applyAlignment="1" applyProtection="1">
      <alignment vertical="center"/>
    </xf>
    <xf numFmtId="176" fontId="38" fillId="0" borderId="6" xfId="8" applyNumberFormat="1" applyFont="1" applyFill="1" applyBorder="1" applyAlignment="1" applyProtection="1">
      <alignment horizontal="center" vertical="center"/>
    </xf>
    <xf numFmtId="0" fontId="38" fillId="0" borderId="95" xfId="0" applyFont="1" applyFill="1" applyBorder="1" applyAlignment="1" applyProtection="1">
      <alignment horizontal="center" vertical="center"/>
    </xf>
    <xf numFmtId="0" fontId="38" fillId="5" borderId="97" xfId="0" applyFont="1" applyFill="1" applyBorder="1" applyAlignment="1" applyProtection="1">
      <alignment horizontal="center" vertical="center"/>
    </xf>
    <xf numFmtId="0" fontId="38" fillId="12" borderId="0" xfId="0" applyFont="1" applyFill="1" applyAlignment="1" applyProtection="1">
      <alignment horizontal="center" vertical="center"/>
    </xf>
    <xf numFmtId="0" fontId="38" fillId="10" borderId="0" xfId="0" applyFont="1" applyFill="1" applyAlignment="1" applyProtection="1">
      <alignment horizontal="center" vertical="center"/>
    </xf>
    <xf numFmtId="0" fontId="38" fillId="0" borderId="98" xfId="0" applyFont="1" applyFill="1" applyBorder="1" applyAlignment="1" applyProtection="1">
      <alignment horizontal="center" vertical="center"/>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left" vertical="center"/>
    </xf>
    <xf numFmtId="0" fontId="18" fillId="0" borderId="0" xfId="0" applyFont="1" applyFill="1" applyAlignment="1" applyProtection="1">
      <alignment horizontal="left" vertical="center"/>
    </xf>
    <xf numFmtId="14" fontId="141" fillId="50" borderId="7" xfId="8" applyNumberFormat="1" applyFont="1" applyFill="1" applyBorder="1" applyAlignment="1" applyProtection="1">
      <alignment horizontal="left" vertical="center"/>
      <protection locked="0"/>
    </xf>
    <xf numFmtId="175" fontId="146" fillId="50" borderId="7" xfId="0" applyNumberFormat="1" applyFont="1" applyFill="1" applyBorder="1" applyAlignment="1" applyProtection="1">
      <alignment horizontal="center" vertical="center"/>
    </xf>
    <xf numFmtId="14" fontId="40" fillId="50" borderId="69" xfId="8" applyNumberFormat="1" applyFont="1" applyFill="1" applyBorder="1" applyAlignment="1" applyProtection="1">
      <alignment horizontal="left" vertical="center"/>
      <protection locked="0"/>
    </xf>
    <xf numFmtId="14" fontId="32" fillId="50" borderId="69" xfId="8" applyNumberFormat="1" applyFont="1" applyFill="1" applyBorder="1" applyAlignment="1" applyProtection="1">
      <alignment horizontal="center" vertical="center"/>
      <protection locked="0"/>
    </xf>
    <xf numFmtId="179" fontId="116" fillId="0" borderId="7" xfId="0" applyNumberFormat="1" applyFont="1" applyFill="1" applyBorder="1" applyAlignment="1" applyProtection="1">
      <alignment horizontal="center" vertical="center"/>
      <protection locked="0"/>
    </xf>
    <xf numFmtId="176" fontId="50" fillId="0" borderId="1" xfId="1" applyNumberFormat="1" applyFont="1" applyFill="1" applyBorder="1" applyAlignment="1" applyProtection="1">
      <alignment vertical="center"/>
    </xf>
    <xf numFmtId="0" fontId="14" fillId="0" borderId="1" xfId="0" applyFont="1" applyFill="1" applyBorder="1" applyAlignment="1" applyProtection="1">
      <alignment horizontal="center" vertical="center" wrapText="1"/>
    </xf>
    <xf numFmtId="0" fontId="38" fillId="53" borderId="96"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4"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7" xfId="8"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xf>
    <xf numFmtId="0" fontId="52" fillId="0" borderId="9" xfId="8" applyFont="1" applyFill="1" applyBorder="1" applyAlignment="1" applyProtection="1">
      <alignment vertical="center" wrapText="1"/>
    </xf>
    <xf numFmtId="0" fontId="24" fillId="0" borderId="1" xfId="8" applyFont="1" applyFill="1" applyBorder="1" applyAlignment="1" applyProtection="1">
      <alignment horizontal="center" wrapText="1"/>
    </xf>
    <xf numFmtId="0" fontId="10" fillId="0" borderId="1" xfId="0" applyFont="1" applyBorder="1" applyAlignment="1" applyProtection="1">
      <alignment horizontal="center" vertical="center"/>
    </xf>
    <xf numFmtId="0" fontId="60" fillId="0" borderId="0" xfId="8" applyFont="1" applyFill="1" applyBorder="1" applyAlignment="1" applyProtection="1">
      <alignment vertical="center" wrapText="1"/>
    </xf>
    <xf numFmtId="0" fontId="30" fillId="0" borderId="0" xfId="0" applyFont="1" applyAlignment="1" applyProtection="1">
      <alignment vertical="center" wrapText="1"/>
    </xf>
    <xf numFmtId="0" fontId="24" fillId="0" borderId="3" xfId="0" applyFont="1" applyFill="1" applyBorder="1" applyAlignment="1" applyProtection="1">
      <alignment horizontal="center" vertical="center" wrapText="1"/>
    </xf>
    <xf numFmtId="14" fontId="40" fillId="0" borderId="69" xfId="8" applyNumberFormat="1" applyFont="1" applyFill="1" applyBorder="1" applyAlignment="1" applyProtection="1">
      <alignment vertical="center" wrapText="1"/>
    </xf>
    <xf numFmtId="0" fontId="14" fillId="0" borderId="7" xfId="0" applyFont="1" applyBorder="1" applyAlignment="1" applyProtection="1">
      <alignment horizontal="center" vertical="center" wrapText="1"/>
    </xf>
    <xf numFmtId="0" fontId="14" fillId="0" borderId="7" xfId="0" applyFont="1" applyBorder="1" applyAlignment="1" applyProtection="1">
      <alignment horizontal="right" vertical="center" wrapText="1"/>
    </xf>
    <xf numFmtId="0" fontId="14" fillId="0" borderId="0" xfId="0" applyFont="1" applyBorder="1" applyAlignment="1" applyProtection="1">
      <alignment horizontal="right" vertical="center" wrapText="1"/>
    </xf>
    <xf numFmtId="179" fontId="40" fillId="0" borderId="69" xfId="8" applyNumberFormat="1" applyFont="1" applyFill="1" applyBorder="1" applyAlignment="1" applyProtection="1">
      <alignment horizontal="center" vertical="center" wrapText="1"/>
      <protection locked="0"/>
    </xf>
    <xf numFmtId="0" fontId="30" fillId="0" borderId="0" xfId="0" applyFont="1" applyFill="1" applyAlignment="1" applyProtection="1">
      <alignment vertical="center" wrapText="1"/>
    </xf>
    <xf numFmtId="0" fontId="30" fillId="0" borderId="0" xfId="0" applyFont="1" applyFill="1" applyAlignment="1" applyProtection="1">
      <alignment horizontal="right" vertical="center" wrapText="1"/>
    </xf>
    <xf numFmtId="0" fontId="11" fillId="0" borderId="1" xfId="0" applyFont="1" applyFill="1" applyBorder="1" applyAlignment="1" applyProtection="1">
      <alignment horizontal="center" vertical="center"/>
    </xf>
    <xf numFmtId="41" fontId="50" fillId="0" borderId="9" xfId="0" applyNumberFormat="1" applyFont="1" applyFill="1" applyBorder="1" applyAlignment="1" applyProtection="1">
      <alignment horizontal="center" vertical="center" wrapText="1"/>
      <protection locked="0"/>
    </xf>
    <xf numFmtId="41" fontId="50" fillId="0" borderId="1" xfId="0" applyNumberFormat="1" applyFont="1" applyFill="1" applyBorder="1" applyAlignment="1" applyProtection="1">
      <alignment horizontal="center" vertical="center" wrapText="1"/>
      <protection locked="0"/>
    </xf>
    <xf numFmtId="176" fontId="38" fillId="0" borderId="14" xfId="0" applyNumberFormat="1" applyFont="1" applyFill="1" applyBorder="1" applyAlignment="1" applyProtection="1">
      <alignment vertical="center"/>
    </xf>
    <xf numFmtId="177" fontId="38" fillId="0" borderId="14" xfId="0" applyNumberFormat="1" applyFont="1" applyFill="1" applyBorder="1" applyAlignment="1" applyProtection="1">
      <alignment vertical="center"/>
    </xf>
    <xf numFmtId="41" fontId="50" fillId="0" borderId="1" xfId="0" applyNumberFormat="1" applyFont="1" applyFill="1" applyBorder="1" applyAlignment="1" applyProtection="1">
      <alignment vertical="center" wrapText="1"/>
    </xf>
    <xf numFmtId="41" fontId="50" fillId="0" borderId="9" xfId="0" applyNumberFormat="1" applyFont="1" applyFill="1" applyBorder="1" applyAlignment="1" applyProtection="1">
      <alignment vertical="center" wrapText="1"/>
    </xf>
    <xf numFmtId="41" fontId="50" fillId="0" borderId="1" xfId="0" applyNumberFormat="1" applyFont="1" applyFill="1" applyBorder="1" applyAlignment="1" applyProtection="1">
      <alignment horizontal="distributed" vertical="distributed" wrapText="1"/>
      <protection locked="0"/>
    </xf>
    <xf numFmtId="165" fontId="50" fillId="0" borderId="1" xfId="0" applyNumberFormat="1" applyFont="1" applyFill="1" applyBorder="1" applyAlignment="1">
      <alignment horizontal="center" vertical="center"/>
    </xf>
    <xf numFmtId="165" fontId="50" fillId="0" borderId="5" xfId="0" applyNumberFormat="1" applyFont="1" applyFill="1" applyBorder="1" applyAlignment="1">
      <alignment horizontal="center" vertical="center"/>
    </xf>
    <xf numFmtId="165" fontId="50" fillId="0" borderId="6" xfId="0" applyNumberFormat="1" applyFont="1" applyFill="1" applyBorder="1" applyAlignment="1" applyProtection="1">
      <alignment horizontal="center" vertical="center"/>
    </xf>
    <xf numFmtId="165" fontId="50" fillId="0" borderId="6" xfId="0" applyNumberFormat="1" applyFont="1" applyFill="1" applyBorder="1" applyAlignment="1" applyProtection="1">
      <alignment horizontal="center" vertical="center"/>
      <protection locked="0"/>
    </xf>
    <xf numFmtId="165" fontId="50" fillId="0" borderId="1" xfId="0" applyNumberFormat="1" applyFont="1" applyFill="1" applyBorder="1" applyAlignment="1" applyProtection="1">
      <alignment horizontal="center" vertical="center"/>
      <protection locked="0"/>
    </xf>
    <xf numFmtId="176" fontId="50" fillId="0" borderId="1" xfId="0" applyNumberFormat="1" applyFont="1" applyFill="1" applyBorder="1" applyAlignment="1">
      <alignment horizontal="center" vertical="center"/>
    </xf>
    <xf numFmtId="176" fontId="50" fillId="0" borderId="5" xfId="0" applyNumberFormat="1" applyFont="1" applyFill="1" applyBorder="1" applyAlignment="1">
      <alignment horizontal="center" vertical="center"/>
    </xf>
    <xf numFmtId="176" fontId="50" fillId="0" borderId="6" xfId="0" applyNumberFormat="1" applyFont="1" applyFill="1" applyBorder="1" applyAlignment="1" applyProtection="1">
      <alignment horizontal="center" vertical="center"/>
    </xf>
    <xf numFmtId="176" fontId="50" fillId="0" borderId="6" xfId="0" applyNumberFormat="1" applyFont="1" applyFill="1" applyBorder="1" applyAlignment="1" applyProtection="1">
      <alignment horizontal="center" vertical="center"/>
      <protection locked="0"/>
    </xf>
    <xf numFmtId="176" fontId="50" fillId="0" borderId="1" xfId="0" applyNumberFormat="1" applyFont="1" applyFill="1" applyBorder="1" applyAlignment="1" applyProtection="1">
      <alignment horizontal="center" vertical="center"/>
      <protection locked="0"/>
    </xf>
    <xf numFmtId="177" fontId="50" fillId="0" borderId="6" xfId="0" applyNumberFormat="1" applyFont="1" applyFill="1" applyBorder="1" applyAlignment="1" applyProtection="1">
      <alignment horizontal="center" vertical="center"/>
    </xf>
    <xf numFmtId="176" fontId="50" fillId="0" borderId="1" xfId="0" applyNumberFormat="1" applyFont="1" applyFill="1" applyBorder="1" applyAlignment="1" applyProtection="1">
      <alignment horizontal="center" vertical="center"/>
    </xf>
    <xf numFmtId="176" fontId="50" fillId="0" borderId="3" xfId="0" applyNumberFormat="1" applyFont="1" applyFill="1" applyBorder="1" applyAlignment="1" applyProtection="1">
      <alignment horizontal="center" vertical="center"/>
    </xf>
    <xf numFmtId="176" fontId="38" fillId="0" borderId="1" xfId="0" applyNumberFormat="1" applyFont="1" applyFill="1" applyBorder="1" applyAlignment="1">
      <alignment horizontal="center" vertical="center"/>
    </xf>
    <xf numFmtId="182" fontId="50" fillId="0" borderId="5"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protection locked="0"/>
    </xf>
    <xf numFmtId="182" fontId="50" fillId="0" borderId="6" xfId="0" applyNumberFormat="1" applyFont="1" applyFill="1" applyBorder="1" applyAlignment="1" applyProtection="1">
      <alignment vertical="center"/>
      <protection locked="0"/>
    </xf>
    <xf numFmtId="182" fontId="38" fillId="0" borderId="5" xfId="0" applyNumberFormat="1" applyFont="1" applyFill="1" applyBorder="1" applyAlignment="1" applyProtection="1">
      <alignment vertical="center" wrapText="1"/>
      <protection locked="0"/>
    </xf>
    <xf numFmtId="171" fontId="38" fillId="0" borderId="1" xfId="0" applyNumberFormat="1" applyFont="1" applyFill="1" applyBorder="1" applyAlignment="1" applyProtection="1">
      <alignment horizontal="center" vertical="center"/>
    </xf>
    <xf numFmtId="177" fontId="98" fillId="0" borderId="1" xfId="0" applyNumberFormat="1" applyFont="1" applyFill="1" applyBorder="1" applyAlignment="1">
      <alignment horizontal="center" vertical="center"/>
    </xf>
    <xf numFmtId="177" fontId="50" fillId="0" borderId="9" xfId="0" applyNumberFormat="1" applyFont="1" applyFill="1" applyBorder="1" applyAlignment="1" applyProtection="1">
      <alignment horizontal="center" vertical="center" wrapText="1"/>
      <protection locked="0"/>
    </xf>
    <xf numFmtId="177" fontId="153" fillId="40" borderId="5" xfId="0" applyNumberFormat="1" applyFont="1" applyFill="1" applyBorder="1" applyAlignment="1">
      <alignment vertical="center"/>
    </xf>
    <xf numFmtId="177" fontId="153" fillId="40" borderId="9" xfId="0" applyNumberFormat="1" applyFont="1" applyFill="1" applyBorder="1" applyAlignment="1">
      <alignment vertical="center"/>
    </xf>
    <xf numFmtId="177" fontId="76" fillId="40" borderId="9" xfId="0" applyNumberFormat="1" applyFont="1" applyFill="1" applyBorder="1" applyAlignment="1">
      <alignment vertical="center"/>
    </xf>
    <xf numFmtId="177" fontId="153" fillId="40" borderId="6" xfId="0" applyNumberFormat="1" applyFont="1" applyFill="1" applyBorder="1" applyAlignment="1">
      <alignment vertical="center"/>
    </xf>
    <xf numFmtId="177" fontId="76" fillId="34" borderId="0" xfId="0" applyNumberFormat="1" applyFont="1" applyFill="1" applyAlignment="1">
      <alignment horizontal="center" vertical="center"/>
    </xf>
    <xf numFmtId="41" fontId="153" fillId="40" borderId="5" xfId="0" applyNumberFormat="1" applyFont="1" applyFill="1" applyBorder="1" applyAlignment="1">
      <alignment horizontal="center" vertical="center"/>
    </xf>
    <xf numFmtId="41" fontId="153" fillId="40" borderId="9" xfId="0" applyNumberFormat="1" applyFont="1" applyFill="1" applyBorder="1" applyAlignment="1">
      <alignment horizontal="center" vertical="center"/>
    </xf>
    <xf numFmtId="41" fontId="76" fillId="40" borderId="9" xfId="0" applyNumberFormat="1" applyFont="1" applyFill="1" applyBorder="1" applyAlignment="1">
      <alignment horizontal="center" vertical="center"/>
    </xf>
    <xf numFmtId="41" fontId="153" fillId="40" borderId="6" xfId="0" applyNumberFormat="1" applyFont="1" applyFill="1" applyBorder="1" applyAlignment="1">
      <alignment horizontal="center" vertical="center"/>
    </xf>
    <xf numFmtId="41" fontId="98" fillId="0" borderId="1" xfId="0" applyNumberFormat="1" applyFont="1" applyFill="1" applyBorder="1" applyAlignment="1">
      <alignment horizontal="center" vertical="center"/>
    </xf>
    <xf numFmtId="41" fontId="153" fillId="40" borderId="5" xfId="0" applyNumberFormat="1" applyFont="1" applyFill="1" applyBorder="1" applyAlignment="1">
      <alignment vertical="center"/>
    </xf>
    <xf numFmtId="41" fontId="153" fillId="40" borderId="9" xfId="0" applyNumberFormat="1" applyFont="1" applyFill="1" applyBorder="1" applyAlignment="1">
      <alignment vertical="center"/>
    </xf>
    <xf numFmtId="41" fontId="76" fillId="40" borderId="9" xfId="0" applyNumberFormat="1" applyFont="1" applyFill="1" applyBorder="1" applyAlignment="1">
      <alignment vertical="center"/>
    </xf>
    <xf numFmtId="41" fontId="153" fillId="40" borderId="6" xfId="0" applyNumberFormat="1" applyFont="1" applyFill="1" applyBorder="1" applyAlignment="1">
      <alignment vertical="center"/>
    </xf>
    <xf numFmtId="41" fontId="76" fillId="34" borderId="0" xfId="0" applyNumberFormat="1" applyFont="1" applyFill="1" applyAlignment="1">
      <alignment horizontal="center" vertical="center"/>
    </xf>
    <xf numFmtId="41" fontId="38" fillId="0" borderId="6" xfId="8" applyNumberFormat="1" applyFont="1" applyFill="1" applyBorder="1" applyAlignment="1" applyProtection="1">
      <alignment horizontal="center" vertical="center"/>
    </xf>
    <xf numFmtId="0" fontId="24" fillId="0" borderId="5" xfId="0" applyFont="1" applyFill="1" applyBorder="1" applyAlignment="1" applyProtection="1">
      <alignment horizontal="center" vertical="center" wrapText="1"/>
    </xf>
    <xf numFmtId="0" fontId="24" fillId="35" borderId="0" xfId="0" applyFont="1" applyFill="1">
      <alignment vertical="center"/>
    </xf>
    <xf numFmtId="0" fontId="52" fillId="35" borderId="0" xfId="0" applyFont="1" applyFill="1">
      <alignment vertical="center"/>
    </xf>
    <xf numFmtId="14" fontId="40" fillId="0" borderId="0" xfId="8" applyNumberFormat="1" applyFont="1" applyFill="1" applyBorder="1" applyAlignment="1" applyProtection="1">
      <alignment vertical="center" wrapText="1"/>
    </xf>
    <xf numFmtId="0" fontId="24" fillId="0" borderId="13" xfId="0" applyFont="1" applyFill="1" applyBorder="1" applyAlignment="1" applyProtection="1">
      <alignment horizontal="center" vertical="center" wrapText="1"/>
    </xf>
    <xf numFmtId="0" fontId="24" fillId="0" borderId="99"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2" fillId="0" borderId="0" xfId="0" applyFont="1" applyFill="1" applyBorder="1" applyAlignment="1" applyProtection="1">
      <alignment vertical="center"/>
    </xf>
    <xf numFmtId="179" fontId="40" fillId="0" borderId="7" xfId="0" applyNumberFormat="1" applyFont="1" applyFill="1" applyBorder="1" applyAlignment="1" applyProtection="1">
      <alignment horizontal="left" vertical="center"/>
      <protection locked="0"/>
    </xf>
    <xf numFmtId="0" fontId="24" fillId="0" borderId="87" xfId="0" applyFont="1" applyBorder="1" applyAlignment="1">
      <alignment horizontal="center" vertical="center"/>
    </xf>
    <xf numFmtId="41" fontId="0" fillId="0" borderId="0" xfId="0" applyNumberFormat="1" applyBorder="1">
      <alignment vertical="center"/>
    </xf>
    <xf numFmtId="41" fontId="0" fillId="0" borderId="23" xfId="0" applyNumberFormat="1" applyBorder="1">
      <alignment vertical="center"/>
    </xf>
    <xf numFmtId="0" fontId="0" fillId="0" borderId="69" xfId="0" applyBorder="1">
      <alignment vertical="center"/>
    </xf>
    <xf numFmtId="0" fontId="222" fillId="0" borderId="0" xfId="0" applyFont="1" applyAlignment="1">
      <alignment horizontal="center" vertical="center"/>
    </xf>
    <xf numFmtId="0" fontId="38"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24" fillId="0" borderId="46" xfId="0" applyFont="1" applyFill="1" applyBorder="1" applyAlignment="1" applyProtection="1">
      <alignment vertical="center"/>
    </xf>
    <xf numFmtId="0" fontId="24" fillId="0" borderId="100" xfId="0" applyFont="1" applyFill="1" applyBorder="1" applyAlignment="1" applyProtection="1">
      <alignment vertical="center"/>
    </xf>
    <xf numFmtId="0" fontId="24" fillId="0" borderId="101" xfId="0" applyFont="1" applyFill="1" applyBorder="1" applyAlignment="1" applyProtection="1">
      <alignment vertical="center" wrapText="1"/>
    </xf>
    <xf numFmtId="0" fontId="24" fillId="0" borderId="46" xfId="0" applyFont="1" applyFill="1" applyBorder="1" applyAlignment="1" applyProtection="1">
      <alignment vertical="center" wrapText="1"/>
    </xf>
    <xf numFmtId="0" fontId="24" fillId="0" borderId="100" xfId="0" applyFont="1" applyFill="1" applyBorder="1" applyAlignment="1" applyProtection="1">
      <alignment vertical="center" wrapText="1"/>
    </xf>
    <xf numFmtId="0" fontId="24" fillId="0" borderId="0" xfId="0" applyFont="1" applyFill="1" applyBorder="1" applyAlignment="1" applyProtection="1">
      <alignment vertical="center"/>
      <protection locked="0"/>
    </xf>
    <xf numFmtId="0" fontId="146" fillId="0" borderId="69" xfId="0" applyFont="1" applyFill="1" applyBorder="1" applyAlignment="1" applyProtection="1">
      <alignment vertical="center" wrapText="1"/>
    </xf>
    <xf numFmtId="0" fontId="10" fillId="0" borderId="69" xfId="0" applyFont="1" applyBorder="1" applyAlignment="1" applyProtection="1">
      <alignment horizontal="center" vertical="center" wrapText="1"/>
    </xf>
    <xf numFmtId="14" fontId="116" fillId="0" borderId="0" xfId="8" applyNumberFormat="1" applyFont="1" applyFill="1" applyBorder="1" applyAlignment="1" applyProtection="1">
      <alignment horizontal="left" vertical="center"/>
      <protection locked="0"/>
    </xf>
    <xf numFmtId="0" fontId="60" fillId="0" borderId="0" xfId="0" applyFont="1" applyBorder="1" applyAlignment="1" applyProtection="1">
      <alignment horizontal="center" vertical="center" wrapText="1"/>
    </xf>
    <xf numFmtId="20" fontId="10" fillId="0" borderId="0" xfId="0" applyNumberFormat="1" applyFont="1" applyBorder="1" applyAlignment="1" applyProtection="1">
      <alignment horizontal="center" vertical="center"/>
    </xf>
    <xf numFmtId="0" fontId="63" fillId="0" borderId="0" xfId="0" applyFont="1" applyBorder="1" applyAlignment="1" applyProtection="1">
      <alignment horizontal="center" vertical="center" wrapText="1"/>
    </xf>
    <xf numFmtId="0" fontId="24" fillId="0" borderId="0" xfId="0" applyFont="1" applyFill="1" applyBorder="1" applyAlignment="1" applyProtection="1">
      <alignment vertical="center" wrapText="1"/>
    </xf>
    <xf numFmtId="0" fontId="24" fillId="0" borderId="0" xfId="0" applyFont="1" applyFill="1" applyBorder="1" applyAlignment="1" applyProtection="1">
      <alignment vertical="center"/>
    </xf>
    <xf numFmtId="0" fontId="10" fillId="0" borderId="0" xfId="0" applyFont="1" applyFill="1" applyBorder="1" applyAlignment="1" applyProtection="1">
      <alignment horizontal="center" vertical="center"/>
    </xf>
    <xf numFmtId="0" fontId="151" fillId="0" borderId="0" xfId="0" applyFont="1" applyAlignment="1" applyProtection="1">
      <alignment horizontal="center" vertical="center"/>
    </xf>
    <xf numFmtId="0" fontId="151" fillId="0" borderId="0" xfId="0" applyFont="1" applyBorder="1" applyAlignment="1" applyProtection="1">
      <alignment horizontal="center" vertical="center"/>
    </xf>
    <xf numFmtId="0" fontId="151" fillId="0" borderId="1" xfId="0" applyFont="1" applyBorder="1" applyAlignment="1" applyProtection="1">
      <alignment horizontal="center" vertical="center"/>
    </xf>
    <xf numFmtId="0" fontId="68" fillId="0" borderId="1" xfId="0" applyFont="1" applyFill="1" applyBorder="1" applyAlignment="1" applyProtection="1">
      <alignment vertical="center" wrapText="1"/>
    </xf>
    <xf numFmtId="0" fontId="14" fillId="0" borderId="13" xfId="0" applyFont="1" applyFill="1" applyBorder="1" applyAlignment="1" applyProtection="1">
      <alignment vertical="center" wrapText="1"/>
    </xf>
    <xf numFmtId="0" fontId="14" fillId="0" borderId="8" xfId="0" applyFont="1" applyFill="1" applyBorder="1" applyAlignment="1" applyProtection="1">
      <alignment vertical="center" wrapText="1"/>
    </xf>
    <xf numFmtId="0" fontId="63" fillId="0" borderId="0" xfId="0" applyFont="1" applyAlignment="1" applyProtection="1">
      <alignment horizontal="centerContinuous" vertical="center" wrapText="1"/>
    </xf>
    <xf numFmtId="0" fontId="60" fillId="0" borderId="0" xfId="0" applyFont="1" applyBorder="1" applyAlignment="1" applyProtection="1">
      <alignment horizontal="centerContinuous" vertical="center" wrapText="1"/>
    </xf>
    <xf numFmtId="0" fontId="38"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14" borderId="6" xfId="0" applyNumberFormat="1" applyFont="1" applyFill="1" applyBorder="1" applyAlignment="1">
      <alignment horizontal="center" vertical="center" wrapText="1"/>
    </xf>
    <xf numFmtId="0" fontId="55" fillId="0" borderId="1" xfId="0" applyFont="1" applyFill="1" applyBorder="1" applyAlignment="1" applyProtection="1">
      <alignment horizontal="center" vertical="center" wrapText="1"/>
      <protection locked="0"/>
    </xf>
    <xf numFmtId="0" fontId="55" fillId="0" borderId="1" xfId="0" applyNumberFormat="1" applyFont="1" applyFill="1" applyBorder="1" applyAlignment="1">
      <alignment horizontal="center" vertical="center" wrapText="1"/>
    </xf>
    <xf numFmtId="176" fontId="38" fillId="0" borderId="5" xfId="0" applyNumberFormat="1" applyFont="1" applyFill="1" applyBorder="1" applyAlignment="1" applyProtection="1">
      <alignment vertical="center" wrapText="1"/>
      <protection locked="0"/>
    </xf>
    <xf numFmtId="176" fontId="38" fillId="0" borderId="9"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horizontal="center" vertical="center"/>
      <protection locked="0"/>
    </xf>
    <xf numFmtId="176" fontId="38" fillId="0" borderId="12" xfId="0" applyNumberFormat="1" applyFont="1" applyFill="1" applyBorder="1" applyAlignment="1" applyProtection="1">
      <alignment horizontal="center" vertical="center"/>
      <protection locked="0"/>
    </xf>
    <xf numFmtId="0" fontId="105" fillId="0" borderId="1" xfId="0" applyFont="1" applyFill="1" applyBorder="1" applyAlignment="1">
      <alignment horizontal="center" vertical="center" wrapText="1"/>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25" xfId="0" applyFont="1" applyFill="1" applyBorder="1" applyAlignment="1" applyProtection="1">
      <alignment vertical="top" wrapText="1"/>
    </xf>
    <xf numFmtId="0" fontId="52" fillId="0" borderId="24" xfId="0" applyFont="1" applyFill="1" applyBorder="1" applyAlignment="1" applyProtection="1">
      <alignment vertical="center" wrapText="1"/>
    </xf>
    <xf numFmtId="0" fontId="52" fillId="0" borderId="8" xfId="0" applyFont="1" applyFill="1" applyBorder="1" applyAlignment="1" applyProtection="1">
      <alignment vertical="center" wrapText="1"/>
    </xf>
    <xf numFmtId="0" fontId="14" fillId="0" borderId="21" xfId="0" applyFont="1" applyFill="1" applyBorder="1" applyAlignment="1" applyProtection="1">
      <alignment vertical="top" wrapText="1"/>
    </xf>
    <xf numFmtId="0" fontId="52" fillId="0" borderId="20" xfId="0" applyFont="1" applyFill="1" applyBorder="1" applyAlignment="1" applyProtection="1">
      <alignment vertical="center" wrapText="1"/>
    </xf>
    <xf numFmtId="0" fontId="52" fillId="0" borderId="69" xfId="0" applyFont="1" applyFill="1" applyBorder="1" applyAlignment="1" applyProtection="1">
      <alignment vertical="center" wrapText="1"/>
    </xf>
    <xf numFmtId="0" fontId="93" fillId="0" borderId="1" xfId="0" applyFont="1" applyBorder="1">
      <alignment vertical="center"/>
    </xf>
    <xf numFmtId="0" fontId="38" fillId="0" borderId="0" xfId="0" applyFont="1" applyFill="1" applyAlignment="1" applyProtection="1">
      <alignment horizontal="center" vertical="center"/>
    </xf>
    <xf numFmtId="165" fontId="14" fillId="11" borderId="1" xfId="1" applyFont="1" applyFill="1" applyBorder="1" applyAlignment="1">
      <alignment horizontal="center" vertical="center" shrinkToFi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224" fillId="0" borderId="0" xfId="0" applyFont="1" applyFill="1" applyAlignment="1" applyProtection="1">
      <alignment horizontal="left" vertical="center"/>
    </xf>
    <xf numFmtId="10" fontId="51" fillId="0" borderId="80" xfId="7" applyNumberFormat="1" applyFont="1" applyFill="1" applyBorder="1" applyAlignment="1" applyProtection="1">
      <alignment horizontal="center" vertical="center"/>
    </xf>
    <xf numFmtId="176" fontId="51" fillId="0" borderId="80" xfId="0" applyNumberFormat="1" applyFont="1" applyFill="1" applyBorder="1" applyAlignment="1" applyProtection="1">
      <alignment horizontal="center" vertical="center"/>
    </xf>
    <xf numFmtId="0" fontId="55" fillId="35" borderId="0" xfId="0" applyFont="1" applyFill="1">
      <alignment vertical="center"/>
    </xf>
    <xf numFmtId="0" fontId="53" fillId="0" borderId="5" xfId="0" applyFont="1" applyBorder="1" applyAlignment="1" applyProtection="1">
      <alignment horizontal="center" vertical="center"/>
    </xf>
    <xf numFmtId="0" fontId="199" fillId="0" borderId="3" xfId="0" applyFont="1" applyFill="1" applyBorder="1" applyAlignment="1" applyProtection="1">
      <alignment horizontal="center" vertical="center"/>
    </xf>
    <xf numFmtId="0" fontId="14" fillId="0" borderId="3" xfId="0" applyNumberFormat="1" applyFont="1" applyFill="1" applyBorder="1" applyAlignment="1" applyProtection="1">
      <alignment horizontal="center" vertical="center" wrapText="1"/>
    </xf>
    <xf numFmtId="0" fontId="199" fillId="0" borderId="86" xfId="0" applyFont="1" applyFill="1" applyBorder="1" applyAlignment="1" applyProtection="1">
      <alignment horizontal="center" vertical="center"/>
    </xf>
    <xf numFmtId="0" fontId="14" fillId="0" borderId="86" xfId="0" applyNumberFormat="1" applyFont="1" applyFill="1" applyBorder="1" applyAlignment="1" applyProtection="1">
      <alignment horizontal="center" vertical="center" wrapText="1"/>
    </xf>
    <xf numFmtId="0" fontId="10" fillId="0" borderId="86" xfId="0" applyFont="1" applyBorder="1" applyAlignment="1" applyProtection="1">
      <alignment horizontal="center" vertical="center"/>
    </xf>
    <xf numFmtId="0" fontId="10" fillId="0" borderId="102" xfId="0" applyFont="1" applyBorder="1" applyAlignment="1" applyProtection="1">
      <alignment horizontal="center" vertical="center"/>
    </xf>
    <xf numFmtId="0" fontId="53" fillId="0" borderId="3" xfId="0" applyFont="1" applyBorder="1" applyAlignment="1" applyProtection="1">
      <alignment horizontal="center" vertical="center"/>
    </xf>
    <xf numFmtId="0" fontId="53" fillId="0" borderId="86" xfId="0" applyFont="1" applyBorder="1" applyAlignment="1" applyProtection="1">
      <alignment horizontal="center" vertical="center"/>
    </xf>
    <xf numFmtId="190" fontId="68" fillId="0" borderId="81" xfId="8" applyNumberFormat="1" applyFont="1" applyFill="1" applyBorder="1" applyAlignment="1" applyProtection="1">
      <alignment horizontal="center" vertical="center"/>
    </xf>
    <xf numFmtId="190" fontId="68" fillId="0" borderId="84" xfId="8" applyNumberFormat="1" applyFont="1" applyFill="1" applyBorder="1" applyAlignment="1" applyProtection="1">
      <alignment horizontal="center" vertical="center"/>
    </xf>
    <xf numFmtId="192" fontId="51" fillId="0" borderId="81" xfId="0" applyNumberFormat="1" applyFont="1" applyFill="1" applyBorder="1" applyAlignment="1" applyProtection="1">
      <alignment horizontal="center" vertical="center"/>
    </xf>
    <xf numFmtId="192" fontId="51" fillId="0" borderId="81" xfId="0" applyNumberFormat="1" applyFont="1" applyFill="1" applyBorder="1" applyAlignment="1" applyProtection="1">
      <alignment vertical="center"/>
    </xf>
    <xf numFmtId="190" fontId="51" fillId="0" borderId="81" xfId="0" applyNumberFormat="1" applyFont="1" applyFill="1" applyBorder="1" applyAlignment="1">
      <alignment horizontal="center" vertical="center"/>
    </xf>
    <xf numFmtId="190" fontId="51" fillId="0" borderId="81" xfId="0" applyNumberFormat="1" applyFont="1" applyFill="1" applyBorder="1" applyAlignment="1">
      <alignment horizontal="center" vertical="center" wrapText="1"/>
    </xf>
    <xf numFmtId="190" fontId="51" fillId="0" borderId="84" xfId="0" applyNumberFormat="1" applyFont="1" applyFill="1" applyBorder="1" applyAlignment="1">
      <alignment horizontal="center" vertical="center"/>
    </xf>
    <xf numFmtId="0" fontId="225" fillId="56" borderId="1" xfId="0" applyFont="1" applyFill="1" applyBorder="1" applyAlignment="1">
      <alignment horizontal="center" vertical="center"/>
    </xf>
    <xf numFmtId="0" fontId="60" fillId="0" borderId="0" xfId="8"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1" fillId="0" borderId="3"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38" fillId="0" borderId="3" xfId="0" applyFont="1" applyFill="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38" fillId="0" borderId="69" xfId="0" applyFont="1" applyFill="1" applyBorder="1" applyAlignment="1">
      <alignment horizontal="center" vertical="center"/>
    </xf>
    <xf numFmtId="0" fontId="226" fillId="0" borderId="0" xfId="0" applyFont="1" applyFill="1" applyAlignment="1">
      <alignment horizontal="center" vertical="center"/>
    </xf>
    <xf numFmtId="0" fontId="38" fillId="4" borderId="0" xfId="0" applyFont="1" applyFill="1" applyBorder="1" applyAlignment="1" applyProtection="1">
      <alignment horizontal="centerContinuous" vertical="center"/>
    </xf>
    <xf numFmtId="0" fontId="30" fillId="0" borderId="0" xfId="0" applyFont="1" applyBorder="1" applyAlignment="1" applyProtection="1">
      <alignment vertical="center" wrapText="1"/>
    </xf>
    <xf numFmtId="165" fontId="50" fillId="0" borderId="3" xfId="1" applyNumberFormat="1" applyFont="1" applyFill="1" applyBorder="1" applyAlignment="1" applyProtection="1">
      <alignment horizontal="center" vertical="center"/>
    </xf>
    <xf numFmtId="0" fontId="227" fillId="0" borderId="0" xfId="0" applyFont="1" applyFill="1" applyAlignment="1">
      <alignment horizontal="centerContinuous" vertical="center"/>
    </xf>
    <xf numFmtId="0" fontId="227" fillId="0" borderId="7" xfId="0" applyFont="1" applyFill="1" applyBorder="1" applyAlignment="1">
      <alignment horizontal="centerContinuous" vertical="center"/>
    </xf>
    <xf numFmtId="0" fontId="227" fillId="0" borderId="69" xfId="0" applyFont="1" applyFill="1" applyBorder="1" applyAlignment="1">
      <alignment horizontal="centerContinuous" vertical="center"/>
    </xf>
    <xf numFmtId="16" fontId="38" fillId="0" borderId="1" xfId="0" quotePrefix="1"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protection locked="0"/>
    </xf>
    <xf numFmtId="0" fontId="38" fillId="0" borderId="69" xfId="8" applyNumberFormat="1" applyFont="1" applyFill="1" applyBorder="1" applyAlignment="1" applyProtection="1">
      <alignment horizontal="center" vertical="center"/>
    </xf>
    <xf numFmtId="0" fontId="230" fillId="0" borderId="0" xfId="0" applyFont="1" applyFill="1" applyAlignment="1">
      <alignment horizontal="centerContinuous" vertical="center"/>
    </xf>
    <xf numFmtId="0" fontId="230" fillId="0" borderId="69" xfId="0" applyFont="1" applyFill="1" applyBorder="1" applyAlignment="1">
      <alignment horizontal="centerContinuous" vertical="center"/>
    </xf>
    <xf numFmtId="174" fontId="231" fillId="13" borderId="9" xfId="0" applyNumberFormat="1" applyFont="1" applyFill="1" applyBorder="1" applyAlignment="1" applyProtection="1">
      <alignment vertical="center" wrapText="1"/>
    </xf>
    <xf numFmtId="0" fontId="51" fillId="0" borderId="9" xfId="0" quotePrefix="1" applyFont="1" applyFill="1" applyBorder="1" applyAlignment="1" applyProtection="1">
      <alignment horizontal="centerContinuous" vertical="center"/>
    </xf>
    <xf numFmtId="0" fontId="51" fillId="4" borderId="9" xfId="0" applyFont="1" applyFill="1" applyBorder="1" applyAlignment="1" applyProtection="1">
      <alignment horizontal="centerContinuous" vertical="center"/>
    </xf>
    <xf numFmtId="0" fontId="51" fillId="0" borderId="9" xfId="0" applyFont="1" applyFill="1" applyBorder="1" applyAlignment="1" applyProtection="1">
      <alignment horizontal="center" vertical="center" wrapText="1"/>
    </xf>
    <xf numFmtId="0" fontId="51" fillId="0" borderId="69" xfId="0" applyFont="1" applyFill="1" applyBorder="1" applyAlignment="1">
      <alignment horizontal="center" vertical="center"/>
    </xf>
    <xf numFmtId="0" fontId="51" fillId="0" borderId="0" xfId="0" applyFont="1" applyFill="1" applyAlignment="1">
      <alignment horizontal="center" vertical="center"/>
    </xf>
    <xf numFmtId="0" fontId="51" fillId="4" borderId="0" xfId="0" applyFont="1" applyFill="1" applyBorder="1" applyAlignment="1" applyProtection="1">
      <alignment horizontal="centerContinuous" vertical="center"/>
    </xf>
    <xf numFmtId="174" fontId="51" fillId="13" borderId="9" xfId="0" applyNumberFormat="1" applyFont="1" applyFill="1" applyBorder="1" applyAlignment="1" applyProtection="1">
      <alignment vertical="center" wrapText="1"/>
    </xf>
    <xf numFmtId="0" fontId="230" fillId="0" borderId="0" xfId="0" applyFont="1" applyFill="1" applyBorder="1" applyAlignment="1">
      <alignment horizontal="centerContinuous" vertical="center"/>
    </xf>
    <xf numFmtId="0" fontId="51" fillId="13" borderId="9" xfId="0" applyFont="1" applyFill="1" applyBorder="1" applyAlignment="1">
      <alignment horizontal="center" vertical="center"/>
    </xf>
    <xf numFmtId="0" fontId="51" fillId="4" borderId="0" xfId="0" applyFont="1" applyFill="1" applyAlignment="1" applyProtection="1">
      <alignment horizontal="centerContinuous" vertical="center"/>
    </xf>
    <xf numFmtId="0" fontId="51" fillId="0" borderId="0" xfId="0" applyFont="1" applyFill="1" applyBorder="1" applyAlignment="1" applyProtection="1">
      <alignment horizontal="center" vertical="center" wrapText="1"/>
    </xf>
    <xf numFmtId="0" fontId="51" fillId="0" borderId="6" xfId="0" quotePrefix="1" applyFont="1" applyFill="1" applyBorder="1" applyAlignment="1" applyProtection="1">
      <alignment horizontal="centerContinuous" vertical="center"/>
    </xf>
    <xf numFmtId="182" fontId="24" fillId="0" borderId="101" xfId="0" applyNumberFormat="1" applyFont="1" applyFill="1" applyBorder="1" applyAlignment="1" applyProtection="1">
      <alignment vertical="center" wrapText="1"/>
    </xf>
    <xf numFmtId="0" fontId="11" fillId="5" borderId="1" xfId="0" applyFont="1" applyFill="1" applyBorder="1" applyAlignment="1" applyProtection="1">
      <alignment horizontal="center" vertical="center"/>
    </xf>
    <xf numFmtId="0" fontId="17" fillId="5" borderId="5" xfId="8" applyFont="1" applyFill="1" applyBorder="1" applyAlignment="1" applyProtection="1">
      <alignment horizontal="center" vertical="center" wrapText="1"/>
    </xf>
    <xf numFmtId="0" fontId="38" fillId="5" borderId="1" xfId="0" applyFont="1" applyFill="1" applyBorder="1" applyAlignment="1" applyProtection="1">
      <alignment horizontal="center" vertical="center"/>
    </xf>
    <xf numFmtId="0" fontId="14" fillId="5" borderId="5" xfId="0" applyFont="1" applyFill="1" applyBorder="1" applyAlignment="1" applyProtection="1">
      <alignment horizontal="center" vertical="center"/>
    </xf>
    <xf numFmtId="0" fontId="10" fillId="5" borderId="0" xfId="0" applyFont="1" applyFill="1" applyBorder="1" applyAlignment="1" applyProtection="1">
      <alignment horizontal="center" vertical="center"/>
    </xf>
    <xf numFmtId="0" fontId="10" fillId="5" borderId="0" xfId="0" applyFont="1" applyFill="1" applyAlignment="1" applyProtection="1">
      <alignment horizontal="center" vertical="center"/>
    </xf>
    <xf numFmtId="0" fontId="63" fillId="0" borderId="0" xfId="0" applyFont="1" applyAlignment="1" applyProtection="1">
      <alignment vertical="center" wrapText="1"/>
    </xf>
    <xf numFmtId="0" fontId="10" fillId="0" borderId="5" xfId="0" applyFont="1" applyFill="1" applyBorder="1" applyAlignment="1" applyProtection="1">
      <alignment horizontal="center" vertical="center"/>
    </xf>
    <xf numFmtId="182" fontId="10" fillId="5" borderId="0" xfId="0" applyNumberFormat="1" applyFont="1" applyFill="1" applyAlignment="1" applyProtection="1">
      <alignment horizontal="center" vertical="center"/>
    </xf>
    <xf numFmtId="0" fontId="63" fillId="0" borderId="0" xfId="0" applyFont="1" applyFill="1" applyAlignment="1" applyProtection="1">
      <alignment horizontal="centerContinuous" vertical="center" wrapText="1"/>
    </xf>
    <xf numFmtId="0" fontId="60" fillId="0" borderId="0" xfId="0" applyFont="1" applyFill="1" applyBorder="1" applyAlignment="1" applyProtection="1">
      <alignment horizontal="centerContinuous" vertical="center" wrapText="1"/>
    </xf>
    <xf numFmtId="0" fontId="63" fillId="11" borderId="0" xfId="0" applyFont="1" applyFill="1" applyAlignment="1" applyProtection="1">
      <alignment horizontal="centerContinuous" vertical="center" wrapText="1"/>
    </xf>
    <xf numFmtId="0" fontId="60" fillId="11" borderId="0" xfId="0" applyFont="1" applyFill="1" applyBorder="1" applyAlignment="1" applyProtection="1">
      <alignment horizontal="centerContinuous" vertical="center" wrapText="1"/>
    </xf>
    <xf numFmtId="0" fontId="146" fillId="11" borderId="69" xfId="0" applyFont="1" applyFill="1" applyBorder="1" applyAlignment="1" applyProtection="1">
      <alignment vertical="center" wrapText="1"/>
    </xf>
    <xf numFmtId="0" fontId="10" fillId="11" borderId="0" xfId="0" applyFont="1" applyFill="1" applyBorder="1" applyAlignment="1" applyProtection="1">
      <alignment horizontal="left" vertical="center" wrapText="1"/>
    </xf>
    <xf numFmtId="0" fontId="24" fillId="11" borderId="100" xfId="0" applyFont="1" applyFill="1" applyBorder="1" applyAlignment="1" applyProtection="1">
      <alignment vertical="center" wrapText="1"/>
    </xf>
    <xf numFmtId="182" fontId="24" fillId="11" borderId="101" xfId="0" applyNumberFormat="1" applyFont="1" applyFill="1" applyBorder="1" applyAlignment="1" applyProtection="1">
      <alignment vertical="center" wrapText="1"/>
    </xf>
    <xf numFmtId="0" fontId="10" fillId="11" borderId="0" xfId="0" applyFont="1" applyFill="1" applyAlignment="1" applyProtection="1">
      <alignment horizontal="center" vertical="center"/>
    </xf>
    <xf numFmtId="0" fontId="63" fillId="14" borderId="0" xfId="0" applyFont="1" applyFill="1" applyAlignment="1" applyProtection="1">
      <alignment horizontal="centerContinuous" vertical="center" wrapText="1"/>
    </xf>
    <xf numFmtId="0" fontId="60" fillId="14" borderId="0" xfId="0" applyFont="1" applyFill="1" applyBorder="1" applyAlignment="1" applyProtection="1">
      <alignment horizontal="centerContinuous" vertical="center" wrapText="1"/>
    </xf>
    <xf numFmtId="0" fontId="24" fillId="14" borderId="0" xfId="0" applyFont="1" applyFill="1" applyBorder="1" applyAlignment="1" applyProtection="1">
      <alignment vertical="center"/>
      <protection locked="0"/>
    </xf>
    <xf numFmtId="0" fontId="24" fillId="14" borderId="100" xfId="0" applyFont="1" applyFill="1" applyBorder="1" applyAlignment="1" applyProtection="1">
      <alignment vertical="center" wrapText="1"/>
    </xf>
    <xf numFmtId="182" fontId="24" fillId="14" borderId="101" xfId="0" applyNumberFormat="1" applyFont="1" applyFill="1" applyBorder="1" applyAlignment="1" applyProtection="1">
      <alignment vertical="center" wrapText="1"/>
    </xf>
    <xf numFmtId="0" fontId="24" fillId="14" borderId="100" xfId="0" applyFont="1" applyFill="1" applyBorder="1" applyAlignment="1" applyProtection="1">
      <alignment vertical="center"/>
    </xf>
    <xf numFmtId="0" fontId="10" fillId="14" borderId="0" xfId="0" applyFont="1" applyFill="1" applyAlignment="1" applyProtection="1">
      <alignment horizontal="center" vertical="center"/>
    </xf>
    <xf numFmtId="0" fontId="10" fillId="14" borderId="0" xfId="0" applyFont="1" applyFill="1" applyBorder="1" applyAlignment="1" applyProtection="1">
      <alignment horizontal="left" vertical="center" wrapText="1"/>
    </xf>
    <xf numFmtId="0" fontId="146" fillId="14" borderId="69" xfId="0" applyFont="1" applyFill="1" applyBorder="1" applyAlignment="1" applyProtection="1">
      <alignment vertical="center" wrapText="1"/>
    </xf>
    <xf numFmtId="0" fontId="151" fillId="0" borderId="1" xfId="0" applyNumberFormat="1" applyFont="1" applyBorder="1" applyAlignment="1" applyProtection="1">
      <alignment horizontal="center" vertical="center"/>
    </xf>
    <xf numFmtId="0" fontId="14" fillId="0" borderId="13" xfId="0" applyFont="1" applyFill="1" applyBorder="1" applyAlignment="1" applyProtection="1">
      <alignment horizontal="center" vertical="center"/>
    </xf>
    <xf numFmtId="182" fontId="24" fillId="0" borderId="103" xfId="0" applyNumberFormat="1" applyFont="1" applyFill="1" applyBorder="1" applyAlignment="1" applyProtection="1">
      <alignment vertical="center" wrapText="1"/>
    </xf>
    <xf numFmtId="182" fontId="24" fillId="14" borderId="103" xfId="0" applyNumberFormat="1" applyFont="1" applyFill="1" applyBorder="1" applyAlignment="1" applyProtection="1">
      <alignment vertical="center" wrapText="1"/>
    </xf>
    <xf numFmtId="182" fontId="24" fillId="11" borderId="103" xfId="0" applyNumberFormat="1" applyFont="1" applyFill="1" applyBorder="1" applyAlignment="1" applyProtection="1">
      <alignment vertical="center" wrapText="1"/>
    </xf>
    <xf numFmtId="0" fontId="24" fillId="0" borderId="99" xfId="0" applyFont="1" applyFill="1" applyBorder="1" applyAlignment="1" applyProtection="1">
      <alignment vertical="center"/>
    </xf>
    <xf numFmtId="0" fontId="151" fillId="0" borderId="3" xfId="0" applyFont="1" applyBorder="1" applyAlignment="1" applyProtection="1">
      <alignment horizontal="center" vertical="center"/>
    </xf>
    <xf numFmtId="0" fontId="11" fillId="5" borderId="86" xfId="0" applyFont="1" applyFill="1" applyBorder="1" applyAlignment="1" applyProtection="1">
      <alignment horizontal="center" vertical="center"/>
    </xf>
    <xf numFmtId="0" fontId="17" fillId="5" borderId="87" xfId="8" applyFont="1" applyFill="1" applyBorder="1" applyAlignment="1" applyProtection="1">
      <alignment horizontal="center" vertical="center" wrapText="1"/>
    </xf>
    <xf numFmtId="0" fontId="38" fillId="5" borderId="86" xfId="0" applyFont="1" applyFill="1" applyBorder="1" applyAlignment="1" applyProtection="1">
      <alignment horizontal="center" vertical="center"/>
    </xf>
    <xf numFmtId="0" fontId="14" fillId="5" borderId="87" xfId="0" applyFont="1" applyFill="1" applyBorder="1" applyAlignment="1" applyProtection="1">
      <alignment horizontal="center" vertical="center"/>
    </xf>
    <xf numFmtId="0" fontId="24" fillId="0" borderId="104" xfId="0" applyFont="1" applyFill="1" applyBorder="1" applyAlignment="1" applyProtection="1">
      <alignment vertical="center" wrapText="1"/>
    </xf>
    <xf numFmtId="0" fontId="24" fillId="0" borderId="105" xfId="0" applyFont="1" applyFill="1" applyBorder="1" applyAlignment="1" applyProtection="1">
      <alignment vertical="center"/>
    </xf>
    <xf numFmtId="0" fontId="24" fillId="14" borderId="105" xfId="0" applyFont="1" applyFill="1" applyBorder="1" applyAlignment="1" applyProtection="1">
      <alignment vertical="center"/>
    </xf>
    <xf numFmtId="182" fontId="24" fillId="14" borderId="104" xfId="0" applyNumberFormat="1" applyFont="1" applyFill="1" applyBorder="1" applyAlignment="1" applyProtection="1">
      <alignment vertical="center" wrapText="1"/>
    </xf>
    <xf numFmtId="0" fontId="151" fillId="0" borderId="86" xfId="0" applyFont="1" applyFill="1" applyBorder="1" applyAlignment="1" applyProtection="1">
      <alignment horizontal="center" vertical="center"/>
    </xf>
    <xf numFmtId="0" fontId="151" fillId="0" borderId="86" xfId="0" applyNumberFormat="1" applyFont="1" applyBorder="1" applyAlignment="1" applyProtection="1">
      <alignment horizontal="center" vertical="center"/>
    </xf>
    <xf numFmtId="182" fontId="24" fillId="0" borderId="1" xfId="0" applyNumberFormat="1" applyFont="1" applyFill="1" applyBorder="1" applyAlignment="1" applyProtection="1">
      <alignment vertical="center" wrapText="1"/>
    </xf>
    <xf numFmtId="0" fontId="24" fillId="14" borderId="1" xfId="0" applyFont="1" applyFill="1" applyBorder="1" applyAlignment="1" applyProtection="1">
      <alignment vertical="center"/>
    </xf>
    <xf numFmtId="0" fontId="24" fillId="0" borderId="1" xfId="0" applyFont="1" applyFill="1" applyBorder="1" applyAlignment="1" applyProtection="1">
      <alignment vertical="center"/>
    </xf>
    <xf numFmtId="0" fontId="24" fillId="0" borderId="1" xfId="0" applyFont="1" applyFill="1" applyBorder="1" applyAlignment="1" applyProtection="1">
      <alignment vertical="center" wrapText="1"/>
    </xf>
    <xf numFmtId="182" fontId="24" fillId="0" borderId="104" xfId="0" applyNumberFormat="1" applyFont="1" applyFill="1" applyBorder="1" applyAlignment="1" applyProtection="1">
      <alignment vertical="center" wrapText="1"/>
    </xf>
    <xf numFmtId="0" fontId="10" fillId="0" borderId="87" xfId="0" applyFont="1" applyFill="1" applyBorder="1" applyAlignment="1" applyProtection="1">
      <alignment horizontal="center" vertical="center"/>
    </xf>
    <xf numFmtId="0" fontId="24" fillId="0" borderId="106" xfId="0" applyFont="1" applyFill="1" applyBorder="1" applyAlignment="1" applyProtection="1">
      <alignment vertical="center"/>
    </xf>
    <xf numFmtId="0" fontId="24" fillId="0" borderId="107" xfId="0" applyFont="1" applyFill="1" applyBorder="1" applyAlignment="1" applyProtection="1">
      <alignment vertical="center" wrapText="1"/>
    </xf>
    <xf numFmtId="0" fontId="24" fillId="0" borderId="108" xfId="0" applyFont="1" applyFill="1" applyBorder="1" applyAlignment="1" applyProtection="1">
      <alignment vertical="center" wrapText="1"/>
    </xf>
    <xf numFmtId="0" fontId="24" fillId="14" borderId="3" xfId="0" applyFont="1" applyFill="1" applyBorder="1" applyAlignment="1" applyProtection="1">
      <alignment vertical="center"/>
    </xf>
    <xf numFmtId="0" fontId="10" fillId="14" borderId="0" xfId="0" applyFont="1" applyFill="1" applyBorder="1" applyAlignment="1" applyProtection="1">
      <alignment horizontal="center" vertical="center"/>
    </xf>
    <xf numFmtId="0" fontId="10" fillId="11" borderId="0" xfId="0" applyFont="1" applyFill="1" applyBorder="1" applyAlignment="1" applyProtection="1">
      <alignment horizontal="center" vertical="center"/>
    </xf>
    <xf numFmtId="0" fontId="10" fillId="0" borderId="87" xfId="0" applyFont="1" applyBorder="1" applyAlignment="1" applyProtection="1">
      <alignment horizontal="center" vertical="center"/>
    </xf>
    <xf numFmtId="182" fontId="24" fillId="0" borderId="5" xfId="0" applyNumberFormat="1" applyFont="1" applyFill="1" applyBorder="1" applyAlignment="1" applyProtection="1">
      <alignment vertical="center" wrapText="1"/>
    </xf>
    <xf numFmtId="0" fontId="24" fillId="0" borderId="13" xfId="0" applyFont="1" applyFill="1" applyBorder="1" applyAlignment="1" applyProtection="1">
      <alignment vertical="center" wrapText="1"/>
    </xf>
    <xf numFmtId="0" fontId="10" fillId="14" borderId="8" xfId="0" applyFont="1" applyFill="1" applyBorder="1" applyAlignment="1" applyProtection="1">
      <alignment horizontal="center" vertical="center"/>
    </xf>
    <xf numFmtId="0" fontId="10" fillId="11" borderId="8" xfId="0" applyFont="1" applyFill="1" applyBorder="1" applyAlignment="1" applyProtection="1">
      <alignment horizontal="center" vertical="center"/>
    </xf>
    <xf numFmtId="0" fontId="24" fillId="0" borderId="8" xfId="0" applyFont="1" applyFill="1" applyBorder="1" applyAlignment="1" applyProtection="1">
      <alignment vertical="center"/>
    </xf>
    <xf numFmtId="0" fontId="24" fillId="0" borderId="12" xfId="0" applyFont="1" applyFill="1" applyBorder="1" applyAlignment="1" applyProtection="1">
      <alignment vertical="center"/>
    </xf>
    <xf numFmtId="0" fontId="24" fillId="0" borderId="11" xfId="0" applyFont="1" applyFill="1" applyBorder="1" applyAlignment="1" applyProtection="1">
      <alignment vertical="center" wrapText="1"/>
    </xf>
    <xf numFmtId="0" fontId="24" fillId="0" borderId="16" xfId="0" applyFont="1" applyFill="1" applyBorder="1" applyAlignment="1" applyProtection="1">
      <alignment vertical="center"/>
    </xf>
    <xf numFmtId="0" fontId="24" fillId="0" borderId="87" xfId="0" applyFont="1" applyFill="1" applyBorder="1" applyAlignment="1" applyProtection="1">
      <alignment vertical="center" wrapText="1"/>
    </xf>
    <xf numFmtId="0" fontId="10" fillId="14" borderId="69" xfId="0" applyFont="1" applyFill="1" applyBorder="1" applyAlignment="1" applyProtection="1">
      <alignment horizontal="center" vertical="center"/>
    </xf>
    <xf numFmtId="0" fontId="10" fillId="11" borderId="69" xfId="0" applyFont="1" applyFill="1" applyBorder="1" applyAlignment="1" applyProtection="1">
      <alignment horizontal="center" vertical="center"/>
    </xf>
    <xf numFmtId="0" fontId="24" fillId="0" borderId="69" xfId="0" applyFont="1" applyFill="1" applyBorder="1" applyAlignment="1" applyProtection="1">
      <alignment vertical="center"/>
    </xf>
    <xf numFmtId="0" fontId="24" fillId="0" borderId="70" xfId="0" applyFont="1" applyFill="1" applyBorder="1" applyAlignment="1" applyProtection="1">
      <alignment vertical="center"/>
    </xf>
    <xf numFmtId="0" fontId="10" fillId="0" borderId="13" xfId="0" applyFont="1" applyFill="1" applyBorder="1" applyAlignment="1" applyProtection="1">
      <alignment horizontal="center" vertical="center"/>
    </xf>
    <xf numFmtId="0" fontId="10" fillId="0" borderId="8" xfId="0" applyFont="1" applyFill="1" applyBorder="1" applyAlignment="1" applyProtection="1">
      <alignment horizontal="center" vertical="center"/>
    </xf>
    <xf numFmtId="0" fontId="10" fillId="0" borderId="12" xfId="0" applyFont="1" applyFill="1" applyBorder="1" applyAlignment="1" applyProtection="1">
      <alignment horizontal="center" vertical="center"/>
    </xf>
    <xf numFmtId="0" fontId="10" fillId="0" borderId="11" xfId="0" applyFont="1" applyFill="1" applyBorder="1" applyAlignment="1" applyProtection="1">
      <alignment horizontal="center" vertical="center"/>
    </xf>
    <xf numFmtId="0" fontId="10" fillId="0" borderId="16" xfId="0" applyFont="1" applyFill="1" applyBorder="1" applyAlignment="1" applyProtection="1">
      <alignment horizontal="center" vertical="center"/>
    </xf>
    <xf numFmtId="182" fontId="24" fillId="0" borderId="87" xfId="0" applyNumberFormat="1" applyFont="1" applyFill="1" applyBorder="1" applyAlignment="1" applyProtection="1">
      <alignment vertical="center" wrapText="1"/>
    </xf>
    <xf numFmtId="182" fontId="24" fillId="0" borderId="69" xfId="0" applyNumberFormat="1" applyFont="1" applyFill="1" applyBorder="1" applyAlignment="1" applyProtection="1">
      <alignment vertical="center" wrapText="1"/>
    </xf>
    <xf numFmtId="182" fontId="24" fillId="0" borderId="70" xfId="0" applyNumberFormat="1" applyFont="1" applyFill="1" applyBorder="1" applyAlignment="1" applyProtection="1">
      <alignment vertical="center" wrapText="1"/>
    </xf>
    <xf numFmtId="0" fontId="229" fillId="0" borderId="0" xfId="0" applyFont="1" applyFill="1" applyAlignment="1">
      <alignment horizontal="left" vertical="center"/>
    </xf>
    <xf numFmtId="14" fontId="38" fillId="13" borderId="5" xfId="0" applyNumberFormat="1" applyFont="1" applyFill="1" applyBorder="1" applyAlignment="1" applyProtection="1">
      <alignment horizontal="left" vertical="center"/>
    </xf>
    <xf numFmtId="0" fontId="38" fillId="0" borderId="3" xfId="0" applyFont="1" applyFill="1" applyBorder="1" applyAlignment="1" applyProtection="1">
      <alignment horizontal="left" vertical="center" wrapText="1"/>
    </xf>
    <xf numFmtId="0" fontId="38" fillId="0" borderId="86" xfId="0" applyFont="1" applyFill="1" applyBorder="1" applyAlignment="1" applyProtection="1">
      <alignment horizontal="left" vertical="center" wrapText="1"/>
    </xf>
    <xf numFmtId="0" fontId="38" fillId="0" borderId="5" xfId="0" applyFont="1" applyFill="1" applyBorder="1" applyAlignment="1">
      <alignment horizontal="left" vertical="center"/>
    </xf>
    <xf numFmtId="0" fontId="38" fillId="0" borderId="3" xfId="0" applyFont="1" applyFill="1" applyBorder="1" applyAlignment="1">
      <alignment horizontal="left" vertical="center"/>
    </xf>
    <xf numFmtId="0" fontId="38" fillId="0" borderId="2" xfId="0" applyFont="1" applyFill="1" applyBorder="1" applyAlignment="1">
      <alignment horizontal="left" vertical="center"/>
    </xf>
    <xf numFmtId="0" fontId="38" fillId="0" borderId="1" xfId="0" applyFont="1" applyFill="1" applyBorder="1" applyAlignment="1" applyProtection="1">
      <alignment horizontal="left" vertical="center"/>
    </xf>
    <xf numFmtId="0" fontId="38" fillId="0" borderId="9" xfId="0" applyFont="1" applyFill="1" applyBorder="1" applyAlignment="1" applyProtection="1">
      <alignment horizontal="left" vertical="center"/>
    </xf>
    <xf numFmtId="0" fontId="38" fillId="0" borderId="3" xfId="0" applyFont="1" applyFill="1" applyBorder="1" applyAlignment="1" applyProtection="1">
      <alignment horizontal="left" vertical="center"/>
    </xf>
    <xf numFmtId="0" fontId="38" fillId="0" borderId="10" xfId="0" applyFont="1" applyFill="1" applyBorder="1" applyAlignment="1" applyProtection="1">
      <alignment horizontal="left" vertical="center"/>
    </xf>
    <xf numFmtId="0" fontId="38" fillId="0" borderId="7" xfId="0" applyFont="1" applyFill="1" applyBorder="1" applyAlignment="1">
      <alignment horizontal="left" vertical="center"/>
    </xf>
    <xf numFmtId="0" fontId="38" fillId="14" borderId="3" xfId="0" applyFont="1" applyFill="1" applyBorder="1" applyAlignment="1">
      <alignment horizontal="left" vertical="center"/>
    </xf>
    <xf numFmtId="0" fontId="38" fillId="0" borderId="101" xfId="0" applyFont="1" applyFill="1" applyBorder="1" applyAlignment="1" applyProtection="1">
      <alignment horizontal="centerContinuous" vertical="center" wrapText="1"/>
    </xf>
    <xf numFmtId="0" fontId="38" fillId="0" borderId="100" xfId="0" applyFont="1" applyFill="1" applyBorder="1" applyAlignment="1" applyProtection="1">
      <alignment horizontal="centerContinuous" vertical="center" wrapText="1"/>
    </xf>
    <xf numFmtId="0" fontId="0" fillId="0" borderId="46" xfId="0" applyFont="1" applyBorder="1" applyAlignment="1">
      <alignment horizontal="centerContinuous" vertical="center" wrapText="1"/>
    </xf>
    <xf numFmtId="0" fontId="38" fillId="0" borderId="100" xfId="0" applyFont="1" applyFill="1" applyBorder="1" applyAlignment="1" applyProtection="1">
      <alignment vertical="center"/>
    </xf>
    <xf numFmtId="0" fontId="38" fillId="0" borderId="100" xfId="0" applyFont="1" applyFill="1" applyBorder="1" applyAlignment="1" applyProtection="1">
      <alignment horizontal="centerContinuous" vertical="center"/>
    </xf>
    <xf numFmtId="0" fontId="38" fillId="0" borderId="46" xfId="0" applyFont="1" applyFill="1" applyBorder="1" applyAlignment="1" applyProtection="1">
      <alignment horizontal="centerContinuous" vertical="center"/>
    </xf>
    <xf numFmtId="176" fontId="50" fillId="0" borderId="101" xfId="1"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wrapText="1"/>
    </xf>
    <xf numFmtId="167" fontId="38" fillId="0" borderId="100" xfId="0" applyNumberFormat="1" applyFont="1" applyFill="1" applyBorder="1" applyAlignment="1">
      <alignment horizontal="center" vertical="center"/>
    </xf>
    <xf numFmtId="167" fontId="38" fillId="0" borderId="100" xfId="0" applyNumberFormat="1" applyFont="1" applyFill="1" applyBorder="1" applyAlignment="1" applyProtection="1">
      <alignment horizontal="center" vertical="center"/>
    </xf>
    <xf numFmtId="166" fontId="38" fillId="0" borderId="46" xfId="0" applyNumberFormat="1" applyFont="1" applyFill="1" applyBorder="1" applyAlignment="1">
      <alignment horizontal="center" vertical="center"/>
    </xf>
    <xf numFmtId="165" fontId="50" fillId="0" borderId="101" xfId="1" applyNumberFormat="1" applyFont="1" applyFill="1" applyBorder="1" applyAlignment="1" applyProtection="1">
      <alignment horizontal="center" vertical="center"/>
    </xf>
    <xf numFmtId="166" fontId="38" fillId="0" borderId="106" xfId="0" applyNumberFormat="1" applyFont="1" applyFill="1" applyBorder="1" applyAlignment="1">
      <alignment horizontal="center" vertical="center"/>
    </xf>
    <xf numFmtId="170" fontId="38" fillId="0" borderId="100" xfId="0" applyNumberFormat="1" applyFont="1" applyFill="1" applyBorder="1" applyAlignment="1" applyProtection="1">
      <alignment horizontal="center" vertical="center"/>
      <protection locked="0"/>
    </xf>
    <xf numFmtId="167" fontId="38" fillId="0" borderId="100" xfId="0" applyNumberFormat="1" applyFont="1" applyFill="1" applyBorder="1" applyAlignment="1" applyProtection="1">
      <alignment horizontal="center" vertical="center"/>
      <protection locked="0"/>
    </xf>
    <xf numFmtId="170" fontId="38" fillId="0" borderId="106" xfId="0" applyNumberFormat="1" applyFont="1" applyFill="1" applyBorder="1" applyAlignment="1" applyProtection="1">
      <alignment horizontal="center" vertical="center"/>
      <protection locked="0"/>
    </xf>
    <xf numFmtId="173" fontId="50" fillId="0" borderId="101" xfId="7"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xf>
    <xf numFmtId="166" fontId="38" fillId="0" borderId="100" xfId="0" applyNumberFormat="1" applyFont="1" applyFill="1" applyBorder="1" applyAlignment="1">
      <alignment horizontal="center" vertical="center"/>
    </xf>
    <xf numFmtId="168" fontId="38" fillId="0" borderId="100" xfId="0" applyNumberFormat="1" applyFont="1" applyFill="1" applyBorder="1" applyAlignment="1" applyProtection="1">
      <alignment horizontal="center" vertical="center"/>
    </xf>
    <xf numFmtId="168" fontId="38" fillId="0" borderId="46" xfId="0" applyNumberFormat="1" applyFont="1" applyFill="1" applyBorder="1" applyAlignment="1">
      <alignment horizontal="center" vertical="center"/>
    </xf>
    <xf numFmtId="0" fontId="38" fillId="0" borderId="100" xfId="0" applyFont="1" applyFill="1" applyBorder="1" applyAlignment="1" applyProtection="1">
      <alignment horizontal="center" vertical="center"/>
    </xf>
    <xf numFmtId="0" fontId="38" fillId="0" borderId="110" xfId="0" applyFont="1" applyFill="1" applyBorder="1" applyAlignment="1">
      <alignment horizontal="center" vertical="center"/>
    </xf>
    <xf numFmtId="0" fontId="38" fillId="0" borderId="111" xfId="0" applyFont="1" applyFill="1" applyBorder="1" applyAlignment="1">
      <alignment horizontal="center" vertical="center"/>
    </xf>
    <xf numFmtId="168" fontId="38" fillId="0" borderId="106" xfId="0" applyNumberFormat="1" applyFont="1" applyFill="1" applyBorder="1" applyAlignment="1">
      <alignment horizontal="center" vertical="center"/>
    </xf>
    <xf numFmtId="176" fontId="38" fillId="0" borderId="101" xfId="0" applyNumberFormat="1" applyFont="1" applyFill="1" applyBorder="1" applyAlignment="1" applyProtection="1">
      <alignment horizontal="center" vertical="center"/>
    </xf>
    <xf numFmtId="0" fontId="38" fillId="0" borderId="46" xfId="0" applyFont="1" applyFill="1" applyBorder="1" applyAlignment="1" applyProtection="1">
      <alignment horizontal="center" vertical="center"/>
    </xf>
    <xf numFmtId="173" fontId="38" fillId="0" borderId="101" xfId="7" applyNumberFormat="1" applyFont="1" applyFill="1" applyBorder="1" applyAlignment="1" applyProtection="1">
      <alignment horizontal="center" vertical="center"/>
    </xf>
    <xf numFmtId="182" fontId="24" fillId="0" borderId="101" xfId="8" applyNumberFormat="1" applyFont="1" applyFill="1" applyBorder="1" applyAlignment="1" applyProtection="1">
      <alignment horizontal="center" vertical="center" wrapText="1"/>
      <protection locked="0"/>
    </xf>
    <xf numFmtId="183" fontId="24" fillId="0" borderId="101" xfId="8" applyNumberFormat="1" applyFont="1" applyFill="1" applyBorder="1" applyAlignment="1" applyProtection="1">
      <alignment horizontal="center" vertical="center" wrapText="1"/>
      <protection locked="0"/>
    </xf>
    <xf numFmtId="0" fontId="38" fillId="0" borderId="109" xfId="0" applyFont="1" applyFill="1" applyBorder="1" applyAlignment="1">
      <alignment horizontal="center" vertical="center"/>
    </xf>
    <xf numFmtId="169" fontId="38" fillId="14" borderId="100" xfId="0" applyNumberFormat="1" applyFont="1" applyFill="1" applyBorder="1" applyAlignment="1">
      <alignment horizontal="center" vertical="center"/>
    </xf>
    <xf numFmtId="170" fontId="38" fillId="14" borderId="100" xfId="0" applyNumberFormat="1" applyFont="1" applyFill="1" applyBorder="1" applyAlignment="1" applyProtection="1">
      <alignment vertical="center"/>
      <protection locked="0"/>
    </xf>
    <xf numFmtId="170" fontId="38" fillId="0" borderId="106" xfId="0" applyNumberFormat="1" applyFont="1" applyFill="1" applyBorder="1" applyAlignment="1" applyProtection="1">
      <alignment vertical="center"/>
      <protection locked="0"/>
    </xf>
    <xf numFmtId="0" fontId="38" fillId="0" borderId="103" xfId="0" applyFont="1" applyFill="1" applyBorder="1" applyAlignment="1" applyProtection="1">
      <alignment horizontal="center" vertical="center" wrapText="1"/>
    </xf>
    <xf numFmtId="176" fontId="50" fillId="0" borderId="101" xfId="1" applyNumberFormat="1" applyFont="1" applyFill="1" applyBorder="1" applyAlignment="1" applyProtection="1">
      <alignment vertical="center"/>
    </xf>
    <xf numFmtId="167" fontId="38" fillId="0" borderId="100" xfId="0" applyNumberFormat="1" applyFont="1" applyFill="1" applyBorder="1" applyAlignment="1">
      <alignment vertical="center"/>
    </xf>
    <xf numFmtId="177" fontId="38" fillId="0" borderId="100" xfId="0" applyNumberFormat="1" applyFont="1" applyFill="1" applyBorder="1" applyAlignment="1" applyProtection="1">
      <alignment vertical="center"/>
    </xf>
    <xf numFmtId="166" fontId="38" fillId="0" borderId="46" xfId="8" applyNumberFormat="1" applyFont="1" applyFill="1" applyBorder="1" applyAlignment="1" applyProtection="1">
      <alignment horizontal="center" vertical="center"/>
    </xf>
    <xf numFmtId="166" fontId="38" fillId="0" borderId="46" xfId="0" applyNumberFormat="1" applyFont="1" applyFill="1" applyBorder="1" applyAlignment="1" applyProtection="1">
      <alignment horizontal="center" vertical="center"/>
    </xf>
    <xf numFmtId="167" fontId="38" fillId="0" borderId="46" xfId="8" applyNumberFormat="1" applyFont="1" applyFill="1" applyBorder="1" applyAlignment="1" applyProtection="1">
      <alignment horizontal="center" vertical="center"/>
    </xf>
    <xf numFmtId="165" fontId="50" fillId="0" borderId="101" xfId="1" applyNumberFormat="1" applyFont="1" applyFill="1" applyBorder="1" applyAlignment="1" applyProtection="1">
      <alignment vertical="center"/>
    </xf>
    <xf numFmtId="170" fontId="38" fillId="0" borderId="100" xfId="0" applyNumberFormat="1" applyFont="1" applyFill="1" applyBorder="1" applyAlignment="1" applyProtection="1">
      <alignment vertical="center"/>
      <protection locked="0"/>
    </xf>
    <xf numFmtId="167" fontId="38" fillId="0" borderId="100" xfId="0" applyNumberFormat="1" applyFont="1" applyFill="1" applyBorder="1" applyAlignment="1" applyProtection="1">
      <alignment vertical="center"/>
      <protection locked="0"/>
    </xf>
    <xf numFmtId="170" fontId="38" fillId="0" borderId="46" xfId="8" applyNumberFormat="1" applyFont="1" applyFill="1" applyBorder="1" applyAlignment="1" applyProtection="1">
      <alignment vertical="center"/>
    </xf>
    <xf numFmtId="173" fontId="50" fillId="0" borderId="101" xfId="7" applyNumberFormat="1" applyFont="1" applyFill="1" applyBorder="1" applyAlignment="1" applyProtection="1">
      <alignment vertical="center"/>
    </xf>
    <xf numFmtId="166" fontId="38" fillId="0" borderId="100" xfId="0" applyNumberFormat="1" applyFont="1" applyFill="1" applyBorder="1" applyAlignment="1">
      <alignment vertical="center"/>
    </xf>
    <xf numFmtId="10" fontId="50" fillId="0" borderId="101" xfId="7" applyNumberFormat="1" applyFont="1" applyFill="1" applyBorder="1" applyAlignment="1" applyProtection="1">
      <alignment vertical="center"/>
    </xf>
    <xf numFmtId="176" fontId="38" fillId="0" borderId="100" xfId="0" applyNumberFormat="1" applyFont="1" applyFill="1" applyBorder="1" applyAlignment="1" applyProtection="1">
      <alignment vertical="center"/>
    </xf>
    <xf numFmtId="168" fontId="51" fillId="0" borderId="100" xfId="0" applyNumberFormat="1" applyFont="1" applyFill="1" applyBorder="1" applyAlignment="1" applyProtection="1">
      <alignment horizontal="center" vertical="center"/>
    </xf>
    <xf numFmtId="0" fontId="51" fillId="0" borderId="100" xfId="0" applyFont="1" applyFill="1" applyBorder="1" applyAlignment="1" applyProtection="1">
      <alignment horizontal="centerContinuous" vertical="center" wrapText="1"/>
    </xf>
    <xf numFmtId="170" fontId="38" fillId="0" borderId="46" xfId="0" applyNumberFormat="1" applyFont="1" applyFill="1" applyBorder="1" applyAlignment="1" applyProtection="1">
      <alignment vertical="center"/>
      <protection locked="0"/>
    </xf>
    <xf numFmtId="168" fontId="38" fillId="0" borderId="46" xfId="0" applyNumberFormat="1" applyFont="1" applyFill="1" applyBorder="1" applyAlignment="1" applyProtection="1">
      <alignment horizontal="center" vertical="center"/>
    </xf>
    <xf numFmtId="0" fontId="0" fillId="0" borderId="100" xfId="0" applyFont="1" applyBorder="1" applyAlignment="1">
      <alignment horizontal="centerContinuous" vertical="center" wrapText="1"/>
    </xf>
    <xf numFmtId="167" fontId="51" fillId="0" borderId="100" xfId="0" applyNumberFormat="1" applyFont="1" applyFill="1" applyBorder="1" applyAlignment="1" applyProtection="1">
      <alignment horizontal="center" vertical="center"/>
      <protection locked="0"/>
    </xf>
    <xf numFmtId="169" fontId="38" fillId="0" borderId="101" xfId="0" applyNumberFormat="1" applyFont="1" applyFill="1" applyBorder="1" applyAlignment="1" applyProtection="1">
      <alignment horizontal="center" vertical="center"/>
    </xf>
    <xf numFmtId="167" fontId="51" fillId="0" borderId="100" xfId="0" applyNumberFormat="1" applyFont="1" applyFill="1" applyBorder="1" applyAlignment="1" applyProtection="1">
      <alignment horizontal="center" vertical="center"/>
    </xf>
    <xf numFmtId="0" fontId="38" fillId="0" borderId="84" xfId="0" applyFont="1" applyFill="1" applyBorder="1" applyAlignment="1" applyProtection="1">
      <alignment horizontal="centerContinuous" vertical="center" wrapText="1"/>
    </xf>
    <xf numFmtId="0" fontId="51" fillId="0" borderId="84" xfId="0" applyFont="1" applyFill="1" applyBorder="1" applyAlignment="1" applyProtection="1">
      <alignment horizontal="centerContinuous" vertical="center" wrapText="1"/>
    </xf>
    <xf numFmtId="0" fontId="0" fillId="0" borderId="84" xfId="0" applyFont="1" applyBorder="1" applyAlignment="1">
      <alignment horizontal="centerContinuous" vertical="center" wrapText="1"/>
    </xf>
    <xf numFmtId="171" fontId="25" fillId="0" borderId="0" xfId="0" applyNumberFormat="1" applyFont="1" applyBorder="1" applyAlignment="1" applyProtection="1">
      <alignment horizontal="center" vertical="center"/>
      <protection locked="0"/>
    </xf>
    <xf numFmtId="0" fontId="24" fillId="14" borderId="1" xfId="0" applyFont="1" applyFill="1" applyBorder="1" applyAlignment="1" applyProtection="1">
      <alignment horizontal="center" vertical="center" wrapText="1"/>
      <protection locked="0"/>
    </xf>
    <xf numFmtId="0" fontId="106" fillId="14" borderId="1" xfId="0" applyFont="1" applyFill="1" applyBorder="1" applyAlignment="1">
      <alignment horizontal="center" vertical="center" wrapText="1"/>
    </xf>
    <xf numFmtId="0" fontId="60" fillId="0" borderId="0" xfId="8"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2" fillId="35" borderId="1" xfId="0" applyFont="1" applyFill="1" applyBorder="1" applyAlignment="1">
      <alignment horizontal="center" vertical="center"/>
    </xf>
    <xf numFmtId="20" fontId="2" fillId="35" borderId="1" xfId="0" applyNumberFormat="1" applyFont="1" applyFill="1" applyBorder="1" applyAlignment="1">
      <alignment horizontal="center" vertical="center"/>
    </xf>
    <xf numFmtId="0" fontId="2" fillId="35" borderId="0" xfId="0" applyFont="1" applyFill="1" applyAlignment="1">
      <alignment horizontal="center"/>
    </xf>
    <xf numFmtId="0" fontId="24" fillId="0" borderId="112" xfId="0" applyFont="1" applyFill="1" applyBorder="1" applyAlignment="1" applyProtection="1">
      <alignment horizontal="center" vertical="center" wrapText="1"/>
    </xf>
    <xf numFmtId="166" fontId="24" fillId="0" borderId="46" xfId="8" applyNumberFormat="1" applyFont="1" applyFill="1" applyBorder="1" applyAlignment="1" applyProtection="1">
      <alignment horizontal="center" vertical="center"/>
    </xf>
    <xf numFmtId="167" fontId="24" fillId="0" borderId="46" xfId="8" applyNumberFormat="1" applyFont="1" applyFill="1" applyBorder="1" applyAlignment="1" applyProtection="1">
      <alignment horizontal="center" vertical="center"/>
    </xf>
    <xf numFmtId="170" fontId="24" fillId="0" borderId="46" xfId="8" applyNumberFormat="1" applyFont="1" applyFill="1" applyBorder="1" applyAlignment="1" applyProtection="1">
      <alignment vertical="center"/>
    </xf>
    <xf numFmtId="0" fontId="2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xf>
    <xf numFmtId="0" fontId="228" fillId="0" borderId="0" xfId="0" applyFont="1" applyFill="1" applyBorder="1" applyAlignment="1" applyProtection="1">
      <alignment horizontal="center" vertical="center" wrapText="1"/>
    </xf>
    <xf numFmtId="0" fontId="62" fillId="0" borderId="0" xfId="0" applyFont="1" applyFill="1" applyBorder="1" applyAlignment="1" applyProtection="1">
      <alignment vertical="center" wrapText="1"/>
    </xf>
    <xf numFmtId="166" fontId="38" fillId="0" borderId="100" xfId="0" applyNumberFormat="1" applyFont="1" applyFill="1" applyBorder="1" applyAlignment="1" applyProtection="1">
      <alignment horizontal="center" vertical="center"/>
    </xf>
    <xf numFmtId="49" fontId="201" fillId="0" borderId="46" xfId="0" applyNumberFormat="1" applyFont="1" applyBorder="1" applyAlignment="1">
      <alignment horizontal="center" vertical="center"/>
    </xf>
    <xf numFmtId="0" fontId="24" fillId="0" borderId="46" xfId="0" applyFont="1" applyFill="1" applyBorder="1" applyAlignment="1" applyProtection="1">
      <alignment horizontal="center" vertical="center"/>
    </xf>
    <xf numFmtId="0" fontId="62" fillId="0" borderId="69" xfId="0" applyFont="1" applyFill="1" applyBorder="1" applyAlignment="1" applyProtection="1">
      <alignment vertical="center" wrapText="1"/>
    </xf>
    <xf numFmtId="0" fontId="24" fillId="0" borderId="108" xfId="0" applyFont="1" applyFill="1" applyBorder="1" applyAlignment="1" applyProtection="1">
      <alignment horizontal="center" vertical="center" wrapText="1"/>
    </xf>
    <xf numFmtId="168" fontId="10" fillId="0" borderId="100" xfId="0" applyNumberFormat="1" applyFont="1" applyFill="1" applyBorder="1" applyAlignment="1" applyProtection="1">
      <alignment horizontal="center" vertical="center"/>
    </xf>
    <xf numFmtId="49" fontId="201" fillId="0" borderId="46" xfId="0" applyNumberFormat="1" applyFont="1" applyFill="1" applyBorder="1" applyAlignment="1">
      <alignment horizontal="center" vertical="center"/>
    </xf>
    <xf numFmtId="0" fontId="10" fillId="0" borderId="46" xfId="0" applyFont="1" applyFill="1" applyBorder="1" applyAlignment="1" applyProtection="1">
      <alignment horizontal="center" vertical="center"/>
    </xf>
    <xf numFmtId="0" fontId="24" fillId="0" borderId="46" xfId="0" applyFont="1" applyFill="1" applyBorder="1" applyAlignment="1">
      <alignment horizontal="center" vertical="center"/>
    </xf>
    <xf numFmtId="166" fontId="10" fillId="0" borderId="100" xfId="0" applyNumberFormat="1" applyFont="1" applyFill="1" applyBorder="1" applyAlignment="1" applyProtection="1">
      <alignment horizontal="center" vertical="center"/>
    </xf>
    <xf numFmtId="0" fontId="10" fillId="0" borderId="100" xfId="0" applyFont="1" applyFill="1" applyBorder="1" applyAlignment="1" applyProtection="1">
      <alignment vertical="center"/>
    </xf>
    <xf numFmtId="0" fontId="14" fillId="0" borderId="46" xfId="0" applyFont="1" applyFill="1" applyBorder="1" applyAlignment="1">
      <alignment horizontal="center" vertical="center"/>
    </xf>
    <xf numFmtId="0" fontId="24" fillId="0" borderId="100" xfId="0" applyFont="1" applyFill="1" applyBorder="1" applyAlignment="1" applyProtection="1">
      <alignment horizontal="center" vertical="center" wrapText="1"/>
    </xf>
    <xf numFmtId="181" fontId="141" fillId="0" borderId="69" xfId="0" applyNumberFormat="1" applyFont="1" applyFill="1" applyBorder="1" applyAlignment="1" applyProtection="1">
      <alignment horizontal="left" vertical="center"/>
      <protection locked="0"/>
    </xf>
    <xf numFmtId="181" fontId="116" fillId="0" borderId="69" xfId="0" applyNumberFormat="1" applyFont="1" applyFill="1" applyBorder="1" applyAlignment="1" applyProtection="1">
      <alignment horizontal="left" vertical="center"/>
      <protection locked="0"/>
    </xf>
    <xf numFmtId="181" fontId="98" fillId="0" borderId="69" xfId="0" applyNumberFormat="1" applyFont="1" applyFill="1" applyBorder="1" applyAlignment="1" applyProtection="1">
      <alignment horizontal="left" vertical="center"/>
      <protection locked="0"/>
    </xf>
    <xf numFmtId="14" fontId="18" fillId="0" borderId="69" xfId="8" applyNumberFormat="1" applyFont="1" applyFill="1" applyBorder="1" applyAlignment="1" applyProtection="1">
      <alignment horizontal="left" vertical="center"/>
    </xf>
    <xf numFmtId="179" fontId="71" fillId="0" borderId="0" xfId="0" applyNumberFormat="1" applyFont="1" applyFill="1" applyBorder="1" applyAlignment="1" applyProtection="1">
      <alignment horizontal="center" vertical="center"/>
      <protection locked="0"/>
    </xf>
    <xf numFmtId="0" fontId="144" fillId="0" borderId="7" xfId="0" applyFont="1" applyFill="1" applyBorder="1" applyAlignment="1">
      <alignment horizontal="left" vertical="center" wrapText="1"/>
    </xf>
    <xf numFmtId="0" fontId="146" fillId="0" borderId="9" xfId="0" applyFont="1" applyFill="1" applyBorder="1" applyAlignment="1" applyProtection="1">
      <alignment horizontal="left" vertical="center"/>
    </xf>
    <xf numFmtId="0" fontId="76" fillId="0" borderId="0" xfId="0" applyFont="1" applyFill="1" applyAlignment="1">
      <alignment horizontal="left" vertical="center"/>
    </xf>
    <xf numFmtId="0" fontId="50" fillId="0" borderId="86"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0" fontId="38" fillId="0" borderId="5"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181" fontId="141" fillId="13" borderId="69" xfId="0" applyNumberFormat="1" applyFont="1" applyFill="1" applyBorder="1" applyAlignment="1" applyProtection="1">
      <alignment horizontal="left" vertical="center"/>
      <protection locked="0"/>
    </xf>
    <xf numFmtId="179" fontId="40" fillId="13" borderId="7" xfId="0" applyNumberFormat="1" applyFont="1" applyFill="1" applyBorder="1" applyAlignment="1" applyProtection="1">
      <alignment horizontal="left" vertical="center"/>
      <protection locked="0"/>
    </xf>
    <xf numFmtId="179" fontId="40" fillId="5" borderId="7" xfId="0" applyNumberFormat="1" applyFont="1" applyFill="1" applyBorder="1" applyAlignment="1" applyProtection="1">
      <alignment horizontal="left" vertical="center"/>
      <protection locked="0"/>
    </xf>
    <xf numFmtId="0" fontId="38" fillId="0" borderId="115" xfId="0" applyFont="1" applyFill="1" applyBorder="1" applyAlignment="1">
      <alignment horizontal="left" vertical="center"/>
    </xf>
    <xf numFmtId="0" fontId="38" fillId="0" borderId="115" xfId="0" applyFont="1" applyFill="1" applyBorder="1" applyAlignment="1">
      <alignment horizontal="center" vertical="center"/>
    </xf>
    <xf numFmtId="0" fontId="38" fillId="0" borderId="116" xfId="0" applyFont="1" applyFill="1" applyBorder="1" applyAlignment="1">
      <alignment horizontal="center" vertical="center"/>
    </xf>
    <xf numFmtId="0" fontId="38" fillId="0" borderId="116" xfId="0" applyNumberFormat="1" applyFont="1" applyFill="1" applyBorder="1" applyAlignment="1" applyProtection="1">
      <alignment horizontal="center" vertical="center" wrapText="1"/>
    </xf>
    <xf numFmtId="0" fontId="212" fillId="0" borderId="116" xfId="0" applyFont="1" applyFill="1" applyBorder="1" applyAlignment="1">
      <alignment horizontal="center" vertical="center"/>
    </xf>
    <xf numFmtId="171" fontId="38" fillId="0" borderId="116" xfId="0" applyNumberFormat="1" applyFont="1" applyFill="1" applyBorder="1" applyAlignment="1">
      <alignment horizontal="center" vertical="center"/>
    </xf>
    <xf numFmtId="176" fontId="50" fillId="0" borderId="77" xfId="1" applyNumberFormat="1" applyFont="1" applyFill="1" applyBorder="1" applyAlignment="1" applyProtection="1">
      <alignment vertical="center"/>
    </xf>
    <xf numFmtId="169" fontId="38" fillId="0" borderId="78" xfId="0" applyNumberFormat="1" applyFont="1" applyFill="1" applyBorder="1" applyAlignment="1">
      <alignment vertical="center" wrapText="1"/>
    </xf>
    <xf numFmtId="167" fontId="38" fillId="0" borderId="78" xfId="0" applyNumberFormat="1" applyFont="1" applyFill="1" applyBorder="1" applyAlignment="1">
      <alignment vertical="center"/>
    </xf>
    <xf numFmtId="177" fontId="38" fillId="0" borderId="78" xfId="0" applyNumberFormat="1" applyFont="1" applyFill="1" applyBorder="1" applyAlignment="1" applyProtection="1">
      <alignment vertical="center"/>
    </xf>
    <xf numFmtId="177" fontId="51" fillId="0" borderId="78" xfId="0" applyNumberFormat="1" applyFont="1" applyFill="1" applyBorder="1" applyAlignment="1" applyProtection="1">
      <alignment vertical="center"/>
    </xf>
    <xf numFmtId="166" fontId="38" fillId="0" borderId="79" xfId="8" applyNumberFormat="1" applyFont="1" applyFill="1" applyBorder="1" applyAlignment="1" applyProtection="1">
      <alignment horizontal="center" vertical="center"/>
    </xf>
    <xf numFmtId="0" fontId="38" fillId="0" borderId="117" xfId="0" applyFont="1" applyFill="1" applyBorder="1" applyAlignment="1">
      <alignment horizontal="left" vertical="center"/>
    </xf>
    <xf numFmtId="0" fontId="38" fillId="0" borderId="117" xfId="0" applyFont="1" applyFill="1" applyBorder="1" applyAlignment="1">
      <alignment horizontal="center" vertical="center"/>
    </xf>
    <xf numFmtId="0" fontId="38" fillId="0" borderId="117" xfId="0" applyFont="1" applyFill="1" applyBorder="1" applyAlignment="1">
      <alignment horizontal="center" vertical="center" wrapText="1"/>
    </xf>
    <xf numFmtId="0" fontId="38" fillId="0" borderId="118" xfId="0" applyFont="1" applyFill="1" applyBorder="1" applyAlignment="1">
      <alignment horizontal="center" vertical="center"/>
    </xf>
    <xf numFmtId="0" fontId="38" fillId="0" borderId="118" xfId="0" applyNumberFormat="1" applyFont="1" applyFill="1" applyBorder="1" applyAlignment="1" applyProtection="1">
      <alignment horizontal="center" vertical="center" wrapText="1"/>
    </xf>
    <xf numFmtId="0" fontId="212" fillId="0" borderId="118" xfId="0" applyFont="1" applyFill="1" applyBorder="1" applyAlignment="1">
      <alignment horizontal="center" vertical="center"/>
    </xf>
    <xf numFmtId="171" fontId="38" fillId="0" borderId="118" xfId="0" applyNumberFormat="1" applyFont="1" applyFill="1" applyBorder="1" applyAlignment="1">
      <alignment horizontal="center" vertical="center"/>
    </xf>
    <xf numFmtId="169" fontId="38" fillId="0" borderId="81" xfId="0" applyNumberFormat="1" applyFont="1" applyFill="1" applyBorder="1" applyAlignment="1">
      <alignment vertical="center" wrapText="1"/>
    </xf>
    <xf numFmtId="167" fontId="38" fillId="0" borderId="81" xfId="0" applyNumberFormat="1" applyFont="1" applyFill="1" applyBorder="1" applyAlignment="1">
      <alignment vertical="center"/>
    </xf>
    <xf numFmtId="177" fontId="51" fillId="0" borderId="81" xfId="0" applyNumberFormat="1" applyFont="1" applyFill="1" applyBorder="1" applyAlignment="1" applyProtection="1">
      <alignment vertical="center"/>
    </xf>
    <xf numFmtId="166" fontId="38" fillId="0" borderId="82" xfId="0" applyNumberFormat="1" applyFont="1" applyFill="1" applyBorder="1" applyAlignment="1" applyProtection="1">
      <alignment horizontal="center" vertical="center"/>
    </xf>
    <xf numFmtId="0" fontId="38" fillId="0" borderId="119" xfId="0" applyFont="1" applyFill="1" applyBorder="1" applyAlignment="1">
      <alignment horizontal="left" vertical="center"/>
    </xf>
    <xf numFmtId="0" fontId="38" fillId="0" borderId="119" xfId="0" applyFont="1" applyFill="1" applyBorder="1" applyAlignment="1">
      <alignment horizontal="center" vertical="center"/>
    </xf>
    <xf numFmtId="0" fontId="38" fillId="0" borderId="119" xfId="0" applyFont="1" applyFill="1" applyBorder="1" applyAlignment="1">
      <alignment horizontal="center" vertical="center" wrapText="1"/>
    </xf>
    <xf numFmtId="0" fontId="38" fillId="0" borderId="120" xfId="0" applyFont="1" applyFill="1" applyBorder="1" applyAlignment="1">
      <alignment horizontal="center" vertical="center"/>
    </xf>
    <xf numFmtId="0" fontId="38" fillId="0" borderId="120" xfId="0" applyNumberFormat="1" applyFont="1" applyFill="1" applyBorder="1" applyAlignment="1" applyProtection="1">
      <alignment horizontal="center" vertical="center" wrapText="1"/>
    </xf>
    <xf numFmtId="0" fontId="212" fillId="0" borderId="120" xfId="0" applyFont="1" applyFill="1" applyBorder="1" applyAlignment="1">
      <alignment horizontal="center" vertical="center"/>
    </xf>
    <xf numFmtId="171" fontId="38" fillId="0" borderId="120" xfId="0" applyNumberFormat="1" applyFont="1" applyFill="1" applyBorder="1" applyAlignment="1">
      <alignment horizontal="center" vertical="center"/>
    </xf>
    <xf numFmtId="169" fontId="38" fillId="0" borderId="84" xfId="0" applyNumberFormat="1" applyFont="1" applyFill="1" applyBorder="1" applyAlignment="1">
      <alignment vertical="center" wrapText="1"/>
    </xf>
    <xf numFmtId="167" fontId="38" fillId="0" borderId="84" xfId="0" applyNumberFormat="1" applyFont="1" applyFill="1" applyBorder="1" applyAlignment="1">
      <alignment vertical="center"/>
    </xf>
    <xf numFmtId="177" fontId="51" fillId="0" borderId="84" xfId="0" applyNumberFormat="1" applyFont="1" applyFill="1" applyBorder="1" applyAlignment="1" applyProtection="1">
      <alignment vertical="center"/>
    </xf>
    <xf numFmtId="166" fontId="38" fillId="0" borderId="85" xfId="0" applyNumberFormat="1" applyFont="1" applyFill="1" applyBorder="1" applyAlignment="1" applyProtection="1">
      <alignment horizontal="center" vertical="center"/>
    </xf>
    <xf numFmtId="176" fontId="38" fillId="0" borderId="81" xfId="0" applyNumberFormat="1" applyFont="1" applyFill="1" applyBorder="1" applyAlignment="1" applyProtection="1">
      <alignment horizontal="center" vertical="center"/>
    </xf>
    <xf numFmtId="176" fontId="38" fillId="0" borderId="84" xfId="0" applyNumberFormat="1" applyFont="1" applyFill="1" applyBorder="1" applyAlignment="1" applyProtection="1">
      <alignment horizontal="center" vertical="center"/>
    </xf>
    <xf numFmtId="182" fontId="38" fillId="0" borderId="77" xfId="0" applyNumberFormat="1" applyFont="1" applyFill="1" applyBorder="1" applyAlignment="1" applyProtection="1">
      <alignment horizontal="center" vertical="center"/>
    </xf>
    <xf numFmtId="0" fontId="38" fillId="0" borderId="119" xfId="0" applyFont="1" applyFill="1" applyBorder="1" applyAlignment="1" applyProtection="1">
      <alignment horizontal="center" vertical="center" wrapText="1"/>
    </xf>
    <xf numFmtId="0" fontId="38" fillId="0" borderId="115" xfId="0" applyFont="1" applyFill="1" applyBorder="1" applyAlignment="1">
      <alignment horizontal="center" vertical="center" wrapText="1"/>
    </xf>
    <xf numFmtId="171" fontId="38" fillId="0" borderId="100" xfId="0" applyNumberFormat="1" applyFont="1" applyFill="1" applyBorder="1" applyAlignment="1" applyProtection="1">
      <alignment horizontal="center" vertical="center"/>
    </xf>
    <xf numFmtId="169" fontId="38" fillId="0" borderId="101" xfId="0" applyNumberFormat="1" applyFont="1" applyFill="1" applyBorder="1" applyAlignment="1">
      <alignment horizontal="center" vertical="center"/>
    </xf>
    <xf numFmtId="170" fontId="38" fillId="0" borderId="101" xfId="0" applyNumberFormat="1" applyFont="1" applyFill="1" applyBorder="1" applyAlignment="1" applyProtection="1">
      <alignment horizontal="center" vertical="center"/>
      <protection locked="0"/>
    </xf>
    <xf numFmtId="170" fontId="38" fillId="0" borderId="46" xfId="0" applyNumberFormat="1" applyFont="1" applyFill="1" applyBorder="1" applyAlignment="1" applyProtection="1">
      <alignment horizontal="center" vertical="center"/>
      <protection locked="0"/>
    </xf>
    <xf numFmtId="0" fontId="38" fillId="0" borderId="9" xfId="0" applyFont="1" applyFill="1" applyBorder="1" applyAlignment="1" applyProtection="1">
      <alignment vertical="center"/>
    </xf>
    <xf numFmtId="0" fontId="38" fillId="0" borderId="101" xfId="0" applyFont="1" applyFill="1" applyBorder="1" applyAlignment="1" applyProtection="1">
      <alignment horizontal="center" vertical="center"/>
    </xf>
    <xf numFmtId="168" fontId="38" fillId="0" borderId="100" xfId="0" applyNumberFormat="1" applyFont="1" applyFill="1" applyBorder="1" applyAlignment="1">
      <alignment horizontal="center" vertical="center"/>
    </xf>
    <xf numFmtId="191" fontId="38" fillId="0" borderId="101" xfId="0" applyNumberFormat="1" applyFont="1" applyFill="1" applyBorder="1" applyAlignment="1" applyProtection="1">
      <alignment horizontal="center" vertical="center"/>
    </xf>
    <xf numFmtId="0" fontId="24" fillId="0" borderId="80" xfId="0" applyFont="1" applyFill="1" applyBorder="1" applyAlignment="1" applyProtection="1">
      <alignment vertical="center" wrapText="1"/>
    </xf>
    <xf numFmtId="0" fontId="24" fillId="0" borderId="83" xfId="0" applyFont="1" applyFill="1" applyBorder="1" applyAlignment="1" applyProtection="1">
      <alignment vertical="center" wrapText="1"/>
    </xf>
    <xf numFmtId="182" fontId="24" fillId="0" borderId="83" xfId="0" applyNumberFormat="1" applyFont="1" applyFill="1" applyBorder="1" applyAlignment="1" applyProtection="1">
      <alignment vertical="center" wrapText="1"/>
    </xf>
    <xf numFmtId="0" fontId="50" fillId="0" borderId="116" xfId="0" applyNumberFormat="1" applyFont="1" applyFill="1" applyBorder="1" applyAlignment="1" applyProtection="1">
      <alignment horizontal="center" vertical="center" wrapText="1"/>
    </xf>
    <xf numFmtId="0" fontId="50" fillId="0" borderId="118" xfId="0" applyNumberFormat="1" applyFont="1" applyFill="1" applyBorder="1" applyAlignment="1" applyProtection="1">
      <alignment horizontal="center" vertical="center" wrapText="1"/>
    </xf>
    <xf numFmtId="0" fontId="50" fillId="0" borderId="120" xfId="0" applyNumberFormat="1" applyFont="1" applyFill="1" applyBorder="1" applyAlignment="1" applyProtection="1">
      <alignment horizontal="center" vertical="center" wrapText="1"/>
    </xf>
    <xf numFmtId="16" fontId="50" fillId="0" borderId="1" xfId="0" quotePrefix="1" applyNumberFormat="1" applyFont="1" applyFill="1" applyBorder="1" applyAlignment="1">
      <alignment horizontal="center" vertical="center" wrapText="1"/>
    </xf>
    <xf numFmtId="0" fontId="38" fillId="0" borderId="125" xfId="0" applyFont="1" applyFill="1" applyBorder="1" applyAlignment="1" applyProtection="1">
      <alignment vertical="center" wrapText="1"/>
    </xf>
    <xf numFmtId="0" fontId="50" fillId="0" borderId="126" xfId="0" applyFont="1" applyFill="1" applyBorder="1" applyAlignment="1" applyProtection="1">
      <alignment horizontal="center" vertical="center" wrapText="1"/>
    </xf>
    <xf numFmtId="0" fontId="50" fillId="0" borderId="127" xfId="0" applyNumberFormat="1" applyFont="1" applyFill="1" applyBorder="1" applyAlignment="1" applyProtection="1">
      <alignment horizontal="center" vertical="center" wrapText="1"/>
    </xf>
    <xf numFmtId="0" fontId="50" fillId="0" borderId="128" xfId="0" applyNumberFormat="1" applyFont="1" applyFill="1" applyBorder="1" applyAlignment="1" applyProtection="1">
      <alignment horizontal="center" vertical="center" wrapText="1"/>
    </xf>
    <xf numFmtId="0" fontId="50" fillId="0" borderId="129" xfId="0" applyNumberFormat="1" applyFont="1" applyFill="1" applyBorder="1" applyAlignment="1" applyProtection="1">
      <alignment horizontal="center" vertical="center" wrapText="1"/>
    </xf>
    <xf numFmtId="0" fontId="50" fillId="0" borderId="122" xfId="0" applyNumberFormat="1" applyFont="1" applyFill="1" applyBorder="1" applyAlignment="1">
      <alignment horizontal="center" vertical="center" wrapText="1"/>
    </xf>
    <xf numFmtId="0" fontId="50" fillId="0" borderId="122" xfId="0" applyNumberFormat="1" applyFont="1" applyFill="1" applyBorder="1" applyAlignment="1" applyProtection="1">
      <alignment horizontal="center" vertical="center" wrapText="1"/>
    </xf>
    <xf numFmtId="0" fontId="38" fillId="0" borderId="122" xfId="0" applyFont="1" applyFill="1" applyBorder="1" applyAlignment="1" applyProtection="1">
      <alignment horizontal="center" vertical="center" wrapText="1"/>
    </xf>
    <xf numFmtId="0" fontId="38" fillId="0" borderId="122" xfId="8" applyNumberFormat="1" applyFont="1" applyFill="1" applyBorder="1" applyAlignment="1" applyProtection="1">
      <alignment horizontal="center" vertical="center" wrapText="1"/>
    </xf>
    <xf numFmtId="0" fontId="38" fillId="0" borderId="122" xfId="8" applyNumberFormat="1" applyFont="1" applyFill="1" applyBorder="1" applyAlignment="1" applyProtection="1">
      <alignment horizontal="center" vertical="center"/>
      <protection locked="0"/>
    </xf>
    <xf numFmtId="0" fontId="38" fillId="0" borderId="122" xfId="8" applyNumberFormat="1" applyFont="1" applyFill="1" applyBorder="1" applyAlignment="1" applyProtection="1">
      <alignment horizontal="center" vertical="center" wrapText="1"/>
      <protection locked="0"/>
    </xf>
    <xf numFmtId="0" fontId="38" fillId="0" borderId="125" xfId="0" applyFont="1" applyFill="1" applyBorder="1" applyAlignment="1" applyProtection="1">
      <alignment horizontal="center" vertical="center"/>
    </xf>
    <xf numFmtId="0" fontId="38" fillId="0" borderId="126" xfId="0" applyFont="1" applyFill="1" applyBorder="1" applyAlignment="1" applyProtection="1">
      <alignment horizontal="center" vertical="center" wrapText="1"/>
    </xf>
    <xf numFmtId="0" fontId="38" fillId="0" borderId="127" xfId="0" applyNumberFormat="1" applyFont="1" applyFill="1" applyBorder="1" applyAlignment="1" applyProtection="1">
      <alignment horizontal="center" vertical="center" wrapText="1"/>
    </xf>
    <xf numFmtId="0" fontId="38" fillId="0" borderId="129" xfId="0" applyNumberFormat="1" applyFont="1" applyFill="1" applyBorder="1" applyAlignment="1" applyProtection="1">
      <alignment horizontal="center" vertical="center" wrapText="1"/>
    </xf>
    <xf numFmtId="0" fontId="38" fillId="0" borderId="122" xfId="0" applyNumberFormat="1" applyFont="1" applyFill="1" applyBorder="1" applyAlignment="1" applyProtection="1">
      <alignment horizontal="center" vertical="center" wrapText="1"/>
    </xf>
    <xf numFmtId="0" fontId="38" fillId="0" borderId="122" xfId="0" applyNumberFormat="1" applyFont="1" applyFill="1" applyBorder="1" applyAlignment="1">
      <alignment horizontal="center" vertical="center" wrapText="1"/>
    </xf>
    <xf numFmtId="181" fontId="141" fillId="5" borderId="69" xfId="0" applyNumberFormat="1" applyFont="1" applyFill="1" applyBorder="1" applyAlignment="1" applyProtection="1">
      <alignment horizontal="right" vertical="center"/>
      <protection locked="0"/>
    </xf>
    <xf numFmtId="174" fontId="60" fillId="13" borderId="9" xfId="0" applyNumberFormat="1" applyFont="1" applyFill="1" applyBorder="1" applyAlignment="1" applyProtection="1">
      <alignment vertical="center"/>
    </xf>
    <xf numFmtId="174" fontId="50" fillId="13" borderId="9" xfId="0" applyNumberFormat="1" applyFont="1" applyFill="1" applyBorder="1" applyAlignment="1" applyProtection="1">
      <alignment vertical="center" wrapText="1"/>
    </xf>
    <xf numFmtId="181" fontId="141" fillId="13" borderId="9" xfId="0" applyNumberFormat="1" applyFont="1" applyFill="1" applyBorder="1" applyAlignment="1" applyProtection="1">
      <alignment horizontal="center" vertical="center"/>
      <protection locked="0"/>
    </xf>
    <xf numFmtId="0" fontId="38" fillId="0" borderId="1" xfId="8" applyFont="1" applyFill="1" applyBorder="1" applyAlignment="1" applyProtection="1">
      <alignment horizontal="center" vertical="center" wrapText="1"/>
      <protection locked="0"/>
    </xf>
    <xf numFmtId="174" fontId="60" fillId="13" borderId="9" xfId="0" applyNumberFormat="1" applyFont="1" applyFill="1" applyBorder="1" applyAlignment="1" applyProtection="1">
      <alignment vertical="center" wrapText="1"/>
    </xf>
    <xf numFmtId="174" fontId="232" fillId="13" borderId="9" xfId="0" applyNumberFormat="1" applyFont="1" applyFill="1" applyBorder="1" applyAlignment="1" applyProtection="1">
      <alignment vertical="center" wrapText="1"/>
    </xf>
    <xf numFmtId="0" fontId="55" fillId="35" borderId="130" xfId="0" applyFont="1" applyFill="1" applyBorder="1" applyAlignment="1">
      <alignment vertical="center"/>
    </xf>
    <xf numFmtId="0" fontId="38" fillId="0" borderId="1"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165" fontId="38" fillId="0" borderId="103" xfId="1" applyFont="1" applyFill="1" applyBorder="1" applyAlignment="1" applyProtection="1">
      <alignment horizontal="center" vertical="center"/>
    </xf>
    <xf numFmtId="165" fontId="38" fillId="0" borderId="100" xfId="1" applyFont="1" applyFill="1" applyBorder="1" applyAlignment="1" applyProtection="1">
      <alignment vertical="center"/>
    </xf>
    <xf numFmtId="165" fontId="38" fillId="0" borderId="100" xfId="1" applyFont="1" applyFill="1" applyBorder="1" applyAlignment="1" applyProtection="1">
      <alignment horizontal="centerContinuous" vertical="center"/>
    </xf>
    <xf numFmtId="165" fontId="38" fillId="0" borderId="46" xfId="1" applyFont="1" applyFill="1" applyBorder="1" applyAlignment="1" applyProtection="1">
      <alignment horizontal="centerContinuous" vertical="center"/>
    </xf>
    <xf numFmtId="0" fontId="38" fillId="0" borderId="116" xfId="0" applyFont="1" applyFill="1" applyBorder="1" applyAlignment="1" applyProtection="1">
      <alignment horizontal="center" vertical="center"/>
    </xf>
    <xf numFmtId="171" fontId="50" fillId="0" borderId="116" xfId="0" applyNumberFormat="1" applyFont="1" applyFill="1" applyBorder="1" applyAlignment="1">
      <alignment horizontal="center" vertical="center"/>
    </xf>
    <xf numFmtId="0" fontId="38" fillId="0" borderId="78" xfId="0" applyFont="1" applyFill="1" applyBorder="1" applyAlignment="1" applyProtection="1">
      <alignment horizontal="center" vertical="center"/>
    </xf>
    <xf numFmtId="167" fontId="38" fillId="0" borderId="78" xfId="0" applyNumberFormat="1" applyFont="1" applyFill="1" applyBorder="1" applyAlignment="1" applyProtection="1">
      <alignment horizontal="center" vertical="center"/>
    </xf>
    <xf numFmtId="166" fontId="38" fillId="0" borderId="131" xfId="0" applyNumberFormat="1" applyFont="1" applyFill="1" applyBorder="1" applyAlignment="1">
      <alignment horizontal="center" vertical="center"/>
    </xf>
    <xf numFmtId="166" fontId="38" fillId="0" borderId="79" xfId="0" applyNumberFormat="1" applyFont="1" applyFill="1" applyBorder="1" applyAlignment="1">
      <alignment horizontal="center" vertical="center"/>
    </xf>
    <xf numFmtId="171" fontId="50" fillId="0" borderId="120" xfId="0" applyNumberFormat="1" applyFont="1" applyFill="1" applyBorder="1" applyAlignment="1">
      <alignment horizontal="center" vertical="center"/>
    </xf>
    <xf numFmtId="0" fontId="38" fillId="0" borderId="84" xfId="0" applyFont="1" applyFill="1" applyBorder="1" applyAlignment="1" applyProtection="1">
      <alignment horizontal="center" vertical="center"/>
    </xf>
    <xf numFmtId="167" fontId="38" fillId="0" borderId="84" xfId="0" applyNumberFormat="1" applyFont="1" applyFill="1" applyBorder="1" applyAlignment="1" applyProtection="1">
      <alignment horizontal="center" vertical="center"/>
    </xf>
    <xf numFmtId="166" fontId="38" fillId="0" borderId="132" xfId="0" applyNumberFormat="1" applyFont="1" applyFill="1" applyBorder="1" applyAlignment="1">
      <alignment horizontal="center" vertical="center"/>
    </xf>
    <xf numFmtId="166" fontId="38" fillId="0" borderId="85" xfId="0" applyNumberFormat="1" applyFont="1" applyFill="1" applyBorder="1" applyAlignment="1">
      <alignment horizontal="center" vertical="center"/>
    </xf>
    <xf numFmtId="176" fontId="50" fillId="0" borderId="77" xfId="1" applyNumberFormat="1" applyFont="1" applyFill="1" applyBorder="1" applyAlignment="1" applyProtection="1">
      <alignment horizontal="center" vertical="center"/>
    </xf>
    <xf numFmtId="0" fontId="38" fillId="0" borderId="103" xfId="0" applyFont="1" applyFill="1" applyBorder="1" applyAlignment="1" applyProtection="1">
      <alignment horizontal="center" vertical="center"/>
    </xf>
    <xf numFmtId="0" fontId="38" fillId="0" borderId="8" xfId="0" applyFont="1" applyFill="1" applyBorder="1" applyAlignment="1" applyProtection="1">
      <alignment horizontal="centerContinuous" vertical="center"/>
    </xf>
    <xf numFmtId="0" fontId="38" fillId="0" borderId="12" xfId="0" applyFont="1" applyFill="1" applyBorder="1" applyAlignment="1" applyProtection="1">
      <alignment horizontal="centerContinuous" vertical="center"/>
    </xf>
    <xf numFmtId="177" fontId="38" fillId="0" borderId="81" xfId="0" applyNumberFormat="1" applyFont="1" applyFill="1" applyBorder="1" applyAlignment="1" applyProtection="1">
      <alignment vertical="center"/>
    </xf>
    <xf numFmtId="166" fontId="38" fillId="0" borderId="82" xfId="8" applyNumberFormat="1" applyFont="1" applyFill="1" applyBorder="1" applyAlignment="1" applyProtection="1">
      <alignment horizontal="center" vertical="center"/>
    </xf>
    <xf numFmtId="14" fontId="38" fillId="57" borderId="5" xfId="0" applyNumberFormat="1" applyFont="1" applyFill="1" applyBorder="1" applyAlignment="1" applyProtection="1">
      <alignment vertical="center"/>
    </xf>
    <xf numFmtId="14" fontId="38" fillId="57" borderId="9" xfId="0" applyNumberFormat="1" applyFont="1" applyFill="1" applyBorder="1" applyAlignment="1" applyProtection="1">
      <alignment vertical="center"/>
    </xf>
    <xf numFmtId="0" fontId="38" fillId="57" borderId="9" xfId="0" applyFont="1" applyFill="1" applyBorder="1" applyAlignment="1" applyProtection="1">
      <alignment vertical="center" wrapText="1"/>
    </xf>
    <xf numFmtId="0" fontId="50" fillId="57" borderId="9" xfId="0" applyFont="1" applyFill="1" applyBorder="1" applyAlignment="1" applyProtection="1">
      <alignment vertical="center" wrapText="1"/>
    </xf>
    <xf numFmtId="181" fontId="141" fillId="57" borderId="9" xfId="0" applyNumberFormat="1" applyFont="1" applyFill="1" applyBorder="1" applyAlignment="1" applyProtection="1">
      <alignment horizontal="center" vertical="center"/>
      <protection locked="0"/>
    </xf>
    <xf numFmtId="174" fontId="50" fillId="57" borderId="9" xfId="0" applyNumberFormat="1" applyFont="1" applyFill="1" applyBorder="1" applyAlignment="1" applyProtection="1">
      <alignment vertical="center" wrapText="1"/>
    </xf>
    <xf numFmtId="174" fontId="38" fillId="57" borderId="9" xfId="0" applyNumberFormat="1" applyFont="1" applyFill="1" applyBorder="1" applyAlignment="1" applyProtection="1">
      <alignment vertical="center" wrapText="1"/>
    </xf>
    <xf numFmtId="179" fontId="40" fillId="57" borderId="7" xfId="0" applyNumberFormat="1" applyFont="1" applyFill="1" applyBorder="1" applyAlignment="1" applyProtection="1">
      <alignment horizontal="left" vertical="center"/>
      <protection locked="0"/>
    </xf>
    <xf numFmtId="174" fontId="95" fillId="57" borderId="9" xfId="0" applyNumberFormat="1" applyFont="1" applyFill="1" applyBorder="1" applyAlignment="1" applyProtection="1">
      <alignment vertical="center" wrapText="1"/>
    </xf>
    <xf numFmtId="0" fontId="38" fillId="57" borderId="9" xfId="0" applyFont="1" applyFill="1" applyBorder="1" applyAlignment="1">
      <alignment horizontal="center" vertical="center"/>
    </xf>
    <xf numFmtId="0" fontId="38" fillId="57" borderId="6" xfId="0" applyFont="1" applyFill="1" applyBorder="1" applyAlignment="1">
      <alignment horizontal="center" vertical="center"/>
    </xf>
    <xf numFmtId="14" fontId="38" fillId="57" borderId="5" xfId="0" applyNumberFormat="1" applyFont="1" applyFill="1" applyBorder="1" applyAlignment="1" applyProtection="1">
      <alignment horizontal="left" vertical="center"/>
    </xf>
    <xf numFmtId="181" fontId="141" fillId="57" borderId="69" xfId="0" applyNumberFormat="1" applyFont="1" applyFill="1" applyBorder="1" applyAlignment="1" applyProtection="1">
      <alignment horizontal="left" vertical="center"/>
      <protection locked="0"/>
    </xf>
    <xf numFmtId="174" fontId="231" fillId="57" borderId="9" xfId="0" applyNumberFormat="1" applyFont="1" applyFill="1" applyBorder="1" applyAlignment="1" applyProtection="1">
      <alignment vertical="center" wrapText="1"/>
    </xf>
    <xf numFmtId="174" fontId="51" fillId="57" borderId="9" xfId="0" applyNumberFormat="1" applyFont="1" applyFill="1" applyBorder="1" applyAlignment="1" applyProtection="1">
      <alignment vertical="center" wrapText="1"/>
    </xf>
    <xf numFmtId="174" fontId="60" fillId="57" borderId="9" xfId="0" applyNumberFormat="1" applyFont="1" applyFill="1" applyBorder="1" applyAlignment="1" applyProtection="1">
      <alignment vertical="center"/>
    </xf>
    <xf numFmtId="0" fontId="51" fillId="57" borderId="9" xfId="0" applyFont="1" applyFill="1" applyBorder="1" applyAlignment="1">
      <alignment horizontal="center" vertical="center"/>
    </xf>
    <xf numFmtId="181" fontId="141" fillId="11" borderId="69" xfId="0" applyNumberFormat="1" applyFont="1" applyFill="1" applyBorder="1" applyAlignment="1" applyProtection="1">
      <alignment horizontal="center" vertical="center"/>
      <protection locked="0"/>
    </xf>
    <xf numFmtId="0" fontId="141" fillId="11" borderId="7" xfId="0" applyFont="1" applyFill="1" applyBorder="1" applyAlignment="1" applyProtection="1">
      <alignment vertical="center" wrapText="1"/>
    </xf>
    <xf numFmtId="179" fontId="141"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horizontal="right" vertical="center"/>
      <protection locked="0"/>
    </xf>
    <xf numFmtId="0" fontId="40" fillId="11" borderId="7" xfId="0" applyFont="1" applyFill="1" applyBorder="1" applyAlignment="1" applyProtection="1">
      <alignment vertical="center" wrapText="1"/>
    </xf>
    <xf numFmtId="179" fontId="40"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vertical="center"/>
      <protection locked="0"/>
    </xf>
    <xf numFmtId="0" fontId="50" fillId="6" borderId="0" xfId="0" applyFont="1" applyFill="1" applyBorder="1" applyAlignment="1">
      <alignment horizontal="center" vertical="center"/>
    </xf>
    <xf numFmtId="0" fontId="50" fillId="12" borderId="0" xfId="0" applyFont="1" applyFill="1" applyBorder="1" applyAlignment="1">
      <alignment horizontal="center" vertical="center"/>
    </xf>
    <xf numFmtId="14" fontId="60" fillId="13" borderId="5" xfId="0" applyNumberFormat="1" applyFont="1" applyFill="1" applyBorder="1" applyAlignment="1" applyProtection="1">
      <alignment vertical="center"/>
    </xf>
    <xf numFmtId="14" fontId="60" fillId="13" borderId="9" xfId="0" applyNumberFormat="1" applyFont="1" applyFill="1" applyBorder="1" applyAlignment="1" applyProtection="1">
      <alignment vertical="center"/>
    </xf>
    <xf numFmtId="0" fontId="60" fillId="13" borderId="9" xfId="0" applyFont="1" applyFill="1" applyBorder="1" applyAlignment="1" applyProtection="1">
      <alignment vertical="center" wrapText="1"/>
    </xf>
    <xf numFmtId="0" fontId="60" fillId="13" borderId="6" xfId="0" applyFont="1" applyFill="1" applyBorder="1" applyAlignment="1" applyProtection="1">
      <alignment vertical="center" wrapText="1"/>
    </xf>
    <xf numFmtId="174" fontId="60" fillId="13" borderId="5" xfId="0" applyNumberFormat="1" applyFont="1" applyFill="1" applyBorder="1" applyAlignment="1" applyProtection="1">
      <alignment vertical="center" wrapText="1"/>
    </xf>
    <xf numFmtId="174" fontId="60" fillId="13" borderId="1" xfId="0" applyNumberFormat="1" applyFont="1" applyFill="1" applyBorder="1" applyAlignment="1" applyProtection="1">
      <alignment horizontal="centerContinuous" vertical="center"/>
    </xf>
    <xf numFmtId="14" fontId="60" fillId="13" borderId="5" xfId="0" applyNumberFormat="1" applyFont="1" applyFill="1" applyBorder="1" applyAlignment="1">
      <alignment horizontal="left" vertical="center"/>
    </xf>
    <xf numFmtId="0" fontId="60" fillId="13" borderId="9" xfId="0" applyFont="1" applyFill="1" applyBorder="1" applyAlignment="1">
      <alignment vertical="center" wrapText="1"/>
    </xf>
    <xf numFmtId="0" fontId="60" fillId="13" borderId="6" xfId="0" applyFont="1" applyFill="1" applyBorder="1" applyAlignment="1">
      <alignment vertical="center" wrapText="1"/>
    </xf>
    <xf numFmtId="174" fontId="60" fillId="13" borderId="13" xfId="0" applyNumberFormat="1" applyFont="1" applyFill="1" applyBorder="1" applyAlignment="1">
      <alignment vertical="center" wrapText="1"/>
    </xf>
    <xf numFmtId="0" fontId="233" fillId="13" borderId="8" xfId="0" applyFont="1" applyFill="1" applyBorder="1" applyAlignment="1">
      <alignment vertical="center"/>
    </xf>
    <xf numFmtId="0" fontId="65" fillId="13" borderId="5" xfId="0" applyFont="1" applyFill="1" applyBorder="1" applyAlignment="1">
      <alignment horizontal="centerContinuous" vertical="center"/>
    </xf>
    <xf numFmtId="0" fontId="65" fillId="13" borderId="9" xfId="0" applyFont="1" applyFill="1" applyBorder="1" applyAlignment="1">
      <alignment horizontal="centerContinuous" vertical="center"/>
    </xf>
    <xf numFmtId="0" fontId="65" fillId="13" borderId="6" xfId="0" applyFont="1" applyFill="1" applyBorder="1" applyAlignment="1">
      <alignment horizontal="centerContinuous" vertical="center"/>
    </xf>
    <xf numFmtId="14" fontId="74" fillId="13" borderId="5" xfId="0" applyNumberFormat="1" applyFont="1" applyFill="1" applyBorder="1" applyAlignment="1" applyProtection="1">
      <alignment vertical="center"/>
    </xf>
    <xf numFmtId="14" fontId="74" fillId="13" borderId="9" xfId="0" applyNumberFormat="1" applyFont="1" applyFill="1" applyBorder="1" applyAlignment="1" applyProtection="1">
      <alignment vertical="center"/>
    </xf>
    <xf numFmtId="0" fontId="74" fillId="13" borderId="9" xfId="0" applyFont="1" applyFill="1" applyBorder="1" applyAlignment="1" applyProtection="1">
      <alignment vertical="center" wrapText="1"/>
    </xf>
    <xf numFmtId="174" fontId="74" fillId="13" borderId="5" xfId="0" applyNumberFormat="1" applyFont="1" applyFill="1" applyBorder="1" applyAlignment="1" applyProtection="1">
      <alignment vertical="center" wrapText="1"/>
    </xf>
    <xf numFmtId="174" fontId="74" fillId="13" borderId="9" xfId="0" applyNumberFormat="1" applyFont="1" applyFill="1" applyBorder="1" applyAlignment="1" applyProtection="1">
      <alignment vertical="center" wrapText="1"/>
    </xf>
    <xf numFmtId="174" fontId="74" fillId="13" borderId="1" xfId="0" applyNumberFormat="1" applyFont="1" applyFill="1" applyBorder="1" applyAlignment="1" applyProtection="1">
      <alignment horizontal="centerContinuous" vertical="center"/>
    </xf>
    <xf numFmtId="174" fontId="74" fillId="13" borderId="86" xfId="0" applyNumberFormat="1" applyFont="1" applyFill="1" applyBorder="1" applyAlignment="1" applyProtection="1">
      <alignment horizontal="centerContinuous" vertical="center"/>
    </xf>
    <xf numFmtId="179" fontId="141" fillId="13" borderId="9" xfId="0" applyNumberFormat="1" applyFont="1" applyFill="1" applyBorder="1" applyAlignment="1">
      <alignment horizontal="right" vertical="center" wrapText="1"/>
    </xf>
    <xf numFmtId="0" fontId="74" fillId="13" borderId="9" xfId="0" applyFont="1" applyFill="1" applyBorder="1" applyAlignment="1">
      <alignment vertical="center" wrapText="1"/>
    </xf>
    <xf numFmtId="179" fontId="74" fillId="13" borderId="9" xfId="0" applyNumberFormat="1" applyFont="1" applyFill="1" applyBorder="1" applyAlignment="1">
      <alignment vertical="center" wrapText="1"/>
    </xf>
    <xf numFmtId="0" fontId="74" fillId="13" borderId="6" xfId="0" applyFont="1" applyFill="1" applyBorder="1" applyAlignment="1">
      <alignment vertical="center" wrapText="1"/>
    </xf>
    <xf numFmtId="174" fontId="74" fillId="13" borderId="13" xfId="0" applyNumberFormat="1" applyFont="1" applyFill="1" applyBorder="1" applyAlignment="1">
      <alignment vertical="center" wrapText="1"/>
    </xf>
    <xf numFmtId="0" fontId="235" fillId="13" borderId="8" xfId="0" applyFont="1" applyFill="1" applyBorder="1" applyAlignment="1">
      <alignment vertical="center"/>
    </xf>
    <xf numFmtId="0" fontId="146" fillId="13" borderId="5" xfId="0" applyFont="1" applyFill="1" applyBorder="1" applyAlignment="1">
      <alignment horizontal="centerContinuous" vertical="center"/>
    </xf>
    <xf numFmtId="0" fontId="146" fillId="13" borderId="9" xfId="0" applyFont="1" applyFill="1" applyBorder="1" applyAlignment="1">
      <alignment horizontal="centerContinuous" vertical="center"/>
    </xf>
    <xf numFmtId="0" fontId="146" fillId="13" borderId="6" xfId="0" applyFont="1" applyFill="1" applyBorder="1" applyAlignment="1">
      <alignment horizontal="centerContinuous" vertical="center"/>
    </xf>
    <xf numFmtId="14" fontId="40" fillId="0" borderId="69" xfId="8" applyNumberFormat="1" applyFont="1" applyFill="1" applyBorder="1" applyAlignment="1" applyProtection="1">
      <alignment horizontal="left" vertical="center"/>
    </xf>
    <xf numFmtId="181" fontId="141" fillId="0" borderId="0" xfId="0" applyNumberFormat="1" applyFont="1" applyFill="1" applyBorder="1" applyAlignment="1" applyProtection="1">
      <alignment horizontal="left" vertical="center"/>
      <protection locked="0"/>
    </xf>
    <xf numFmtId="14" fontId="40" fillId="11" borderId="69" xfId="8" applyNumberFormat="1" applyFont="1" applyFill="1" applyBorder="1" applyAlignment="1" applyProtection="1">
      <alignment horizontal="left" vertical="center"/>
    </xf>
    <xf numFmtId="0" fontId="24" fillId="6" borderId="0" xfId="0" applyFont="1" applyFill="1" applyAlignment="1">
      <alignment horizontal="center" vertical="center" wrapText="1"/>
    </xf>
    <xf numFmtId="0" fontId="24" fillId="0" borderId="0" xfId="0" applyFont="1" applyFill="1" applyBorder="1" applyAlignment="1">
      <alignment horizontal="center" vertical="center"/>
    </xf>
    <xf numFmtId="0" fontId="40" fillId="0" borderId="0" xfId="8" applyFont="1" applyFill="1" applyBorder="1" applyAlignment="1" applyProtection="1">
      <alignment vertical="center" wrapText="1"/>
    </xf>
    <xf numFmtId="181" fontId="141"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horizontal="right" vertical="center"/>
      <protection locked="0"/>
    </xf>
    <xf numFmtId="179" fontId="116" fillId="0" borderId="7" xfId="0" applyNumberFormat="1" applyFont="1" applyFill="1" applyBorder="1" applyAlignment="1" applyProtection="1">
      <alignment horizontal="left" vertical="center"/>
      <protection locked="0"/>
    </xf>
    <xf numFmtId="174" fontId="10" fillId="0" borderId="7" xfId="0" applyNumberFormat="1" applyFont="1" applyFill="1" applyBorder="1" applyAlignment="1">
      <alignment vertical="center" wrapText="1"/>
    </xf>
    <xf numFmtId="174" fontId="146" fillId="5" borderId="9" xfId="0" quotePrefix="1" applyNumberFormat="1" applyFont="1" applyFill="1" applyBorder="1" applyAlignment="1">
      <alignment horizontal="centerContinuous" vertical="center"/>
    </xf>
    <xf numFmtId="174" fontId="146" fillId="5" borderId="6" xfId="0" quotePrefix="1" applyNumberFormat="1" applyFont="1" applyFill="1" applyBorder="1" applyAlignment="1">
      <alignment horizontal="centerContinuous" vertical="center"/>
    </xf>
    <xf numFmtId="2" fontId="24" fillId="0" borderId="0" xfId="0" applyNumberFormat="1" applyFont="1" applyFill="1">
      <alignment vertical="center"/>
    </xf>
    <xf numFmtId="0" fontId="14" fillId="0" borderId="0" xfId="0" applyFont="1" applyFill="1" applyAlignment="1">
      <alignment vertical="center" wrapText="1"/>
    </xf>
    <xf numFmtId="170" fontId="32" fillId="0" borderId="0" xfId="0" quotePrefix="1" applyNumberFormat="1" applyFont="1" applyFill="1" applyBorder="1" applyAlignment="1" applyProtection="1">
      <alignment horizontal="center" vertical="center"/>
    </xf>
    <xf numFmtId="176" fontId="50" fillId="0" borderId="133" xfId="1" applyNumberFormat="1" applyFont="1" applyFill="1" applyBorder="1" applyAlignment="1" applyProtection="1">
      <alignment horizontal="center" vertical="center"/>
    </xf>
    <xf numFmtId="167" fontId="38" fillId="0" borderId="134" xfId="0" applyNumberFormat="1" applyFont="1" applyFill="1" applyBorder="1" applyAlignment="1">
      <alignment vertical="center"/>
    </xf>
    <xf numFmtId="177" fontId="38" fillId="0" borderId="134" xfId="0" applyNumberFormat="1" applyFont="1" applyFill="1" applyBorder="1" applyAlignment="1" applyProtection="1">
      <alignment vertical="center"/>
    </xf>
    <xf numFmtId="166" fontId="38" fillId="0" borderId="135" xfId="8" applyNumberFormat="1" applyFont="1" applyFill="1" applyBorder="1" applyAlignment="1" applyProtection="1">
      <alignment horizontal="center" vertical="center"/>
    </xf>
    <xf numFmtId="0" fontId="38" fillId="0" borderId="101" xfId="0" applyFont="1" applyFill="1" applyBorder="1" applyAlignment="1" applyProtection="1">
      <alignment horizontal="center" vertical="center" wrapText="1"/>
    </xf>
    <xf numFmtId="171" fontId="8" fillId="13" borderId="1" xfId="0" applyNumberFormat="1" applyFont="1" applyFill="1" applyBorder="1" applyAlignment="1">
      <alignment horizontal="left" vertical="center" wrapText="1"/>
    </xf>
    <xf numFmtId="170" fontId="32" fillId="0" borderId="5" xfId="0" applyNumberFormat="1" applyFont="1" applyFill="1" applyBorder="1" applyAlignment="1" applyProtection="1">
      <alignment horizontal="center" vertical="center"/>
      <protection locked="0"/>
    </xf>
    <xf numFmtId="170" fontId="32" fillId="50" borderId="5" xfId="0" applyNumberFormat="1" applyFont="1" applyFill="1" applyBorder="1" applyAlignment="1" applyProtection="1">
      <alignment horizontal="center" vertical="center"/>
      <protection locked="0"/>
    </xf>
    <xf numFmtId="170" fontId="32" fillId="5" borderId="5" xfId="0" applyNumberFormat="1" applyFont="1" applyFill="1" applyBorder="1" applyAlignment="1" applyProtection="1">
      <alignment horizontal="center" vertical="center"/>
      <protection locked="0"/>
    </xf>
    <xf numFmtId="170" fontId="32" fillId="6" borderId="5" xfId="0" applyNumberFormat="1" applyFont="1" applyFill="1" applyBorder="1" applyAlignment="1" applyProtection="1">
      <alignment horizontal="center" vertical="center"/>
      <protection locked="0"/>
    </xf>
    <xf numFmtId="0" fontId="55" fillId="11" borderId="1" xfId="0" applyNumberFormat="1" applyFont="1" applyFill="1" applyBorder="1" applyAlignment="1">
      <alignment horizontal="center" vertical="center" wrapText="1"/>
    </xf>
    <xf numFmtId="0" fontId="14" fillId="11" borderId="1" xfId="0" applyNumberFormat="1" applyFont="1" applyFill="1" applyBorder="1" applyAlignment="1" applyProtection="1">
      <alignment horizontal="center" vertical="center" wrapText="1"/>
    </xf>
    <xf numFmtId="170" fontId="14" fillId="11" borderId="1" xfId="0" applyNumberFormat="1" applyFont="1" applyFill="1" applyBorder="1" applyAlignment="1" applyProtection="1">
      <alignment horizontal="center" vertical="center"/>
      <protection locked="0"/>
    </xf>
    <xf numFmtId="0" fontId="24" fillId="11" borderId="1" xfId="0" applyNumberFormat="1" applyFont="1" applyFill="1" applyBorder="1" applyAlignment="1" applyProtection="1">
      <alignment horizontal="center" vertical="center" wrapText="1"/>
    </xf>
    <xf numFmtId="0" fontId="14" fillId="11" borderId="1" xfId="0" applyFont="1" applyFill="1" applyBorder="1" applyAlignment="1">
      <alignment horizontal="left" vertical="center"/>
    </xf>
    <xf numFmtId="0" fontId="14" fillId="11" borderId="1" xfId="0" applyFont="1" applyFill="1" applyBorder="1" applyAlignment="1">
      <alignment horizontal="center" vertical="center"/>
    </xf>
    <xf numFmtId="0" fontId="14" fillId="11" borderId="1" xfId="0" applyFont="1" applyFill="1" applyBorder="1" applyAlignment="1">
      <alignment vertical="center"/>
    </xf>
    <xf numFmtId="0" fontId="14" fillId="11" borderId="1" xfId="8" applyNumberFormat="1" applyFont="1" applyFill="1" applyBorder="1" applyAlignment="1" applyProtection="1">
      <alignment horizontal="center" vertical="center" wrapText="1"/>
    </xf>
    <xf numFmtId="0" fontId="14" fillId="11" borderId="1" xfId="0" applyNumberFormat="1" applyFont="1" applyFill="1" applyBorder="1" applyAlignment="1">
      <alignment horizontal="center" vertical="center" wrapText="1"/>
    </xf>
    <xf numFmtId="0" fontId="24" fillId="11" borderId="1" xfId="0" applyNumberFormat="1" applyFont="1" applyFill="1" applyBorder="1" applyAlignment="1">
      <alignment horizontal="center" vertical="center" wrapText="1"/>
    </xf>
    <xf numFmtId="0" fontId="68" fillId="0" borderId="1" xfId="0" applyFont="1" applyFill="1" applyBorder="1" applyAlignment="1">
      <alignment horizontal="center" vertical="center"/>
    </xf>
    <xf numFmtId="180" fontId="105" fillId="0" borderId="1" xfId="0" applyNumberFormat="1" applyFont="1" applyFill="1" applyBorder="1" applyAlignment="1">
      <alignment horizontal="center" vertical="center"/>
    </xf>
    <xf numFmtId="0" fontId="68" fillId="0" borderId="103" xfId="0" applyFont="1" applyFill="1" applyBorder="1" applyAlignment="1" applyProtection="1">
      <alignment horizontal="center" vertical="center" wrapText="1"/>
    </xf>
    <xf numFmtId="0" fontId="68" fillId="0" borderId="101" xfId="0" applyFont="1" applyFill="1" applyBorder="1" applyAlignment="1" applyProtection="1">
      <alignment horizontal="center" vertical="center" wrapText="1"/>
    </xf>
    <xf numFmtId="0" fontId="151" fillId="0" borderId="101" xfId="0" applyFont="1" applyFill="1" applyBorder="1" applyAlignment="1" applyProtection="1">
      <alignment horizontal="center" vertical="center"/>
    </xf>
    <xf numFmtId="14" fontId="60" fillId="11" borderId="0" xfId="0" applyNumberFormat="1" applyFont="1" applyFill="1" applyAlignment="1">
      <alignment horizontal="center" vertical="center"/>
    </xf>
    <xf numFmtId="181" fontId="77" fillId="0" borderId="0" xfId="8" applyNumberFormat="1" applyFont="1" applyFill="1" applyBorder="1" applyAlignment="1" applyProtection="1">
      <alignment vertical="center" wrapText="1"/>
    </xf>
    <xf numFmtId="181" fontId="50" fillId="58" borderId="0" xfId="0" applyNumberFormat="1" applyFont="1" applyFill="1" applyBorder="1" applyAlignment="1" applyProtection="1">
      <alignment horizontal="left" vertical="center"/>
      <protection locked="0"/>
    </xf>
    <xf numFmtId="182" fontId="14" fillId="0" borderId="101" xfId="8" applyNumberFormat="1" applyFont="1" applyFill="1" applyBorder="1" applyAlignment="1" applyProtection="1">
      <alignment horizontal="center" vertical="center" wrapText="1"/>
    </xf>
    <xf numFmtId="183" fontId="14" fillId="0" borderId="101" xfId="8" applyNumberFormat="1" applyFont="1" applyFill="1" applyBorder="1" applyAlignment="1" applyProtection="1">
      <alignment horizontal="center" vertical="center" wrapText="1"/>
    </xf>
    <xf numFmtId="0" fontId="145" fillId="0" borderId="0" xfId="4" applyFont="1" applyAlignment="1">
      <alignment horizontal="center" vertical="center"/>
    </xf>
    <xf numFmtId="20" fontId="52" fillId="0" borderId="0" xfId="4" applyNumberFormat="1" applyFont="1">
      <alignment vertical="center"/>
    </xf>
    <xf numFmtId="0" fontId="52" fillId="11" borderId="0" xfId="4" applyFont="1" applyFill="1" applyBorder="1">
      <alignment vertical="center"/>
    </xf>
    <xf numFmtId="0" fontId="219" fillId="13" borderId="0" xfId="4" applyFont="1" applyFill="1" applyBorder="1">
      <alignment vertical="center"/>
    </xf>
    <xf numFmtId="0" fontId="209" fillId="13" borderId="1" xfId="4" applyFont="1" applyFill="1" applyBorder="1" applyAlignment="1">
      <alignment horizontal="center" vertical="center"/>
    </xf>
    <xf numFmtId="0" fontId="52" fillId="13" borderId="1" xfId="4" applyFont="1" applyFill="1" applyBorder="1">
      <alignment vertical="center"/>
    </xf>
    <xf numFmtId="165" fontId="14" fillId="13" borderId="1" xfId="1" applyFont="1" applyFill="1" applyBorder="1" applyAlignment="1">
      <alignment horizontal="center" vertical="center" shrinkToFit="1"/>
    </xf>
    <xf numFmtId="0" fontId="14" fillId="13" borderId="1" xfId="4" applyFont="1" applyFill="1" applyBorder="1" applyAlignment="1">
      <alignment horizontal="center" vertical="center" shrinkToFit="1"/>
    </xf>
    <xf numFmtId="0" fontId="52" fillId="13" borderId="1" xfId="4" applyFont="1" applyFill="1" applyBorder="1" applyAlignment="1">
      <alignment horizontal="center" vertical="center"/>
    </xf>
    <xf numFmtId="168" fontId="52" fillId="13" borderId="1" xfId="4" quotePrefix="1" applyNumberFormat="1" applyFont="1" applyFill="1" applyBorder="1" applyAlignment="1">
      <alignment horizontal="right" vertical="center"/>
    </xf>
    <xf numFmtId="177" fontId="51" fillId="0" borderId="78" xfId="0" applyNumberFormat="1" applyFont="1" applyFill="1" applyBorder="1" applyAlignment="1" applyProtection="1">
      <alignment vertical="center" shrinkToFit="1"/>
    </xf>
    <xf numFmtId="177" fontId="51" fillId="0" borderId="81" xfId="0" applyNumberFormat="1" applyFont="1" applyFill="1" applyBorder="1" applyAlignment="1" applyProtection="1">
      <alignment vertical="center" shrinkToFit="1"/>
    </xf>
    <xf numFmtId="177" fontId="51" fillId="0" borderId="84" xfId="0" applyNumberFormat="1" applyFont="1" applyFill="1" applyBorder="1" applyAlignment="1" applyProtection="1">
      <alignment vertical="center" shrinkToFit="1"/>
    </xf>
    <xf numFmtId="177" fontId="51" fillId="0" borderId="100" xfId="0" applyNumberFormat="1" applyFont="1" applyFill="1" applyBorder="1" applyAlignment="1" applyProtection="1">
      <alignment vertical="center" shrinkToFit="1"/>
    </xf>
    <xf numFmtId="176" fontId="51" fillId="0" borderId="100" xfId="0" applyNumberFormat="1" applyFont="1" applyFill="1" applyBorder="1" applyAlignment="1" applyProtection="1">
      <alignment vertical="center" shrinkToFit="1"/>
    </xf>
    <xf numFmtId="168" fontId="51" fillId="0" borderId="100" xfId="0" applyNumberFormat="1" applyFont="1" applyFill="1" applyBorder="1" applyAlignment="1" applyProtection="1">
      <alignment horizontal="center" vertical="center" shrinkToFit="1"/>
    </xf>
    <xf numFmtId="0" fontId="10" fillId="0" borderId="5" xfId="0" applyNumberFormat="1" applyFont="1" applyFill="1" applyBorder="1" applyAlignment="1" applyProtection="1">
      <alignment vertical="center" wrapText="1"/>
      <protection locked="0"/>
    </xf>
    <xf numFmtId="0" fontId="10" fillId="0" borderId="46" xfId="8" applyFont="1" applyFill="1" applyBorder="1" applyAlignment="1">
      <alignment vertical="center" wrapTex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46" xfId="0" applyFont="1" applyFill="1" applyBorder="1" applyAlignment="1" applyProtection="1">
      <alignment horizontal="centerContinuous" vertical="center" wrapText="1"/>
    </xf>
    <xf numFmtId="0" fontId="38" fillId="0" borderId="108" xfId="0" applyFont="1" applyFill="1" applyBorder="1" applyAlignment="1" applyProtection="1">
      <alignment horizontal="centerContinuous" vertical="center" wrapText="1"/>
    </xf>
    <xf numFmtId="0" fontId="38" fillId="0" borderId="1" xfId="0" applyFont="1" applyFill="1" applyBorder="1" applyAlignment="1" applyProtection="1">
      <alignment horizontal="centerContinuous" vertical="center" wrapText="1"/>
    </xf>
    <xf numFmtId="0" fontId="14" fillId="14" borderId="1" xfId="0" applyNumberFormat="1" applyFont="1" applyFill="1" applyBorder="1" applyAlignment="1" applyProtection="1">
      <alignment horizontal="center" vertical="center" wrapText="1"/>
    </xf>
    <xf numFmtId="0" fontId="14" fillId="14" borderId="1" xfId="0" applyFont="1" applyFill="1" applyBorder="1" applyAlignment="1">
      <alignment horizontal="center" vertical="center"/>
    </xf>
    <xf numFmtId="0" fontId="26" fillId="14" borderId="1" xfId="0" applyFont="1" applyFill="1" applyBorder="1" applyAlignment="1" applyProtection="1">
      <alignment horizontal="center" vertical="center"/>
    </xf>
    <xf numFmtId="0" fontId="14" fillId="14" borderId="6" xfId="0" applyNumberFormat="1" applyFont="1" applyFill="1" applyBorder="1" applyAlignment="1">
      <alignment horizontal="center" vertical="center" wrapText="1"/>
    </xf>
    <xf numFmtId="0" fontId="199" fillId="14" borderId="1" xfId="0" applyFont="1" applyFill="1" applyBorder="1" applyAlignment="1" applyProtection="1">
      <alignment horizontal="center" vertical="center"/>
    </xf>
    <xf numFmtId="166" fontId="10" fillId="0" borderId="1" xfId="0" applyNumberFormat="1" applyFont="1" applyFill="1" applyBorder="1" applyAlignment="1" applyProtection="1">
      <alignment horizontal="right" vertical="center"/>
    </xf>
    <xf numFmtId="177" fontId="11" fillId="0" borderId="1" xfId="1" applyNumberFormat="1" applyFont="1" applyFill="1" applyBorder="1" applyAlignment="1" applyProtection="1">
      <alignment horizontal="center" vertical="center"/>
    </xf>
    <xf numFmtId="0" fontId="10" fillId="0" borderId="5" xfId="0" applyFont="1" applyBorder="1" applyAlignment="1" applyProtection="1">
      <alignment horizontal="center" vertical="center"/>
    </xf>
    <xf numFmtId="0" fontId="14" fillId="0" borderId="1" xfId="0" applyNumberFormat="1" applyFont="1" applyFill="1" applyBorder="1" applyAlignment="1" applyProtection="1">
      <alignment horizontal="left" vertical="center" wrapText="1"/>
    </xf>
    <xf numFmtId="0" fontId="10" fillId="40" borderId="0" xfId="0" applyFont="1" applyFill="1" applyBorder="1" applyAlignment="1" applyProtection="1">
      <alignment horizontal="center" vertical="center"/>
    </xf>
    <xf numFmtId="0" fontId="10" fillId="40" borderId="0" xfId="0" applyFont="1" applyFill="1" applyBorder="1" applyAlignment="1" applyProtection="1">
      <alignment horizontal="center" vertical="center" wrapText="1"/>
    </xf>
    <xf numFmtId="0" fontId="26" fillId="40" borderId="0" xfId="0" applyFont="1" applyFill="1" applyBorder="1" applyAlignment="1" applyProtection="1">
      <alignment horizontal="center" vertical="center"/>
    </xf>
    <xf numFmtId="0" fontId="14" fillId="40" borderId="0" xfId="0" applyNumberFormat="1" applyFont="1" applyFill="1" applyBorder="1" applyAlignment="1">
      <alignment horizontal="center" vertical="center" wrapText="1"/>
    </xf>
    <xf numFmtId="165" fontId="38" fillId="0" borderId="100" xfId="0" applyNumberFormat="1" applyFont="1" applyFill="1" applyBorder="1" applyAlignment="1">
      <alignment horizontal="center" vertical="center"/>
    </xf>
    <xf numFmtId="165" fontId="38" fillId="0" borderId="100" xfId="0" applyNumberFormat="1" applyFont="1" applyFill="1" applyBorder="1" applyAlignment="1" applyProtection="1">
      <alignment horizontal="center" vertical="center"/>
    </xf>
    <xf numFmtId="165" fontId="38" fillId="0" borderId="46" xfId="0" applyNumberFormat="1" applyFont="1" applyFill="1" applyBorder="1" applyAlignment="1" applyProtection="1">
      <alignment vertical="center"/>
      <protection locked="0"/>
    </xf>
    <xf numFmtId="165" fontId="38" fillId="0" borderId="106" xfId="0" applyNumberFormat="1" applyFont="1" applyFill="1" applyBorder="1" applyAlignment="1" applyProtection="1">
      <alignment vertical="center"/>
      <protection locked="0"/>
    </xf>
    <xf numFmtId="0" fontId="38" fillId="11" borderId="0" xfId="0" applyFont="1" applyFill="1" applyAlignment="1">
      <alignment horizontal="center" vertical="center"/>
    </xf>
    <xf numFmtId="179" fontId="38" fillId="0" borderId="0" xfId="0" applyNumberFormat="1" applyFont="1" applyFill="1" applyAlignment="1">
      <alignment horizontal="center" vertical="center"/>
    </xf>
    <xf numFmtId="179" fontId="18" fillId="0" borderId="0" xfId="0" applyNumberFormat="1" applyFont="1" applyFill="1" applyAlignment="1">
      <alignment horizontal="center" vertical="center"/>
    </xf>
    <xf numFmtId="180" fontId="38" fillId="11" borderId="0" xfId="0" applyNumberFormat="1" applyFont="1" applyFill="1" applyAlignment="1">
      <alignment horizontal="center" vertical="center"/>
    </xf>
    <xf numFmtId="180" fontId="38" fillId="0" borderId="0" xfId="0" applyNumberFormat="1" applyFont="1" applyFill="1" applyAlignment="1">
      <alignment horizontal="center" vertical="center"/>
    </xf>
    <xf numFmtId="169" fontId="38" fillId="11" borderId="0" xfId="0" applyNumberFormat="1" applyFont="1" applyFill="1" applyBorder="1" applyAlignment="1">
      <alignment horizontal="center" vertical="center"/>
    </xf>
    <xf numFmtId="166" fontId="38" fillId="7" borderId="0" xfId="0" applyNumberFormat="1" applyFont="1" applyFill="1" applyBorder="1" applyAlignment="1" applyProtection="1">
      <alignment horizontal="center" vertical="center"/>
    </xf>
    <xf numFmtId="0" fontId="238" fillId="0" borderId="0" xfId="0" applyFont="1" applyFill="1" applyBorder="1" applyAlignment="1" applyProtection="1">
      <alignment vertical="center"/>
    </xf>
    <xf numFmtId="181" fontId="38" fillId="11" borderId="0" xfId="0" applyNumberFormat="1" applyFont="1" applyFill="1" applyAlignment="1">
      <alignment horizontal="center" vertical="center"/>
    </xf>
    <xf numFmtId="179" fontId="38" fillId="11" borderId="0" xfId="0" applyNumberFormat="1" applyFont="1" applyFill="1" applyAlignment="1">
      <alignment horizontal="center" vertical="center"/>
    </xf>
    <xf numFmtId="0" fontId="38" fillId="11" borderId="0" xfId="0" applyFont="1" applyFill="1" applyAlignment="1" applyProtection="1">
      <alignment horizontal="center" vertical="center"/>
    </xf>
    <xf numFmtId="0" fontId="240" fillId="57" borderId="9" xfId="0" applyFont="1" applyFill="1" applyBorder="1" applyAlignment="1" applyProtection="1">
      <alignment vertical="center" wrapText="1"/>
    </xf>
    <xf numFmtId="0" fontId="239" fillId="13" borderId="9" xfId="0" applyFont="1" applyFill="1" applyBorder="1" applyAlignment="1" applyProtection="1">
      <alignment vertical="center" wrapText="1"/>
    </xf>
    <xf numFmtId="0" fontId="239" fillId="13" borderId="6" xfId="0" applyFont="1" applyFill="1" applyBorder="1" applyAlignment="1">
      <alignment vertical="center" wrapText="1"/>
    </xf>
    <xf numFmtId="0" fontId="239" fillId="13" borderId="6" xfId="0" applyFont="1" applyFill="1" applyBorder="1" applyAlignment="1" applyProtection="1">
      <alignment vertical="center" wrapText="1"/>
    </xf>
    <xf numFmtId="0" fontId="38" fillId="0" borderId="0" xfId="0" quotePrefix="1" applyFont="1" applyFill="1" applyBorder="1" applyAlignment="1" applyProtection="1">
      <alignment horizontal="centerContinuous" vertical="center"/>
    </xf>
    <xf numFmtId="0" fontId="24" fillId="0" borderId="3" xfId="0" applyFont="1" applyFill="1" applyBorder="1" applyAlignment="1">
      <alignment horizontal="center" vertical="center"/>
    </xf>
    <xf numFmtId="170" fontId="32" fillId="0" borderId="3" xfId="0" applyNumberFormat="1" applyFont="1" applyFill="1" applyBorder="1" applyAlignment="1" applyProtection="1">
      <alignment horizontal="center" vertical="center"/>
      <protection locked="0"/>
    </xf>
    <xf numFmtId="170" fontId="32" fillId="0" borderId="13" xfId="0" applyNumberFormat="1" applyFont="1" applyFill="1" applyBorder="1" applyAlignment="1" applyProtection="1">
      <alignment horizontal="center" vertical="center"/>
      <protection locked="0"/>
    </xf>
    <xf numFmtId="0" fontId="14" fillId="11" borderId="3" xfId="0" applyNumberFormat="1" applyFont="1" applyFill="1" applyBorder="1" applyAlignment="1">
      <alignment horizontal="center" vertical="center" wrapText="1"/>
    </xf>
    <xf numFmtId="0" fontId="24" fillId="50" borderId="86" xfId="0" applyFont="1" applyFill="1" applyBorder="1" applyAlignment="1">
      <alignment horizontal="center" vertical="center"/>
    </xf>
    <xf numFmtId="170" fontId="32" fillId="50" borderId="86" xfId="0" applyNumberFormat="1" applyFont="1" applyFill="1" applyBorder="1" applyAlignment="1" applyProtection="1">
      <alignment horizontal="center" vertical="center"/>
      <protection locked="0"/>
    </xf>
    <xf numFmtId="170" fontId="32" fillId="50" borderId="87" xfId="0" applyNumberFormat="1" applyFont="1" applyFill="1" applyBorder="1" applyAlignment="1" applyProtection="1">
      <alignment horizontal="center" vertical="center"/>
      <protection locked="0"/>
    </xf>
    <xf numFmtId="0" fontId="14" fillId="11" borderId="86" xfId="0" applyNumberFormat="1" applyFont="1" applyFill="1" applyBorder="1" applyAlignment="1">
      <alignment horizontal="center" vertical="center" wrapText="1"/>
    </xf>
    <xf numFmtId="0" fontId="24" fillId="50" borderId="136" xfId="0" applyFont="1" applyFill="1" applyBorder="1" applyAlignment="1">
      <alignment horizontal="center" vertical="center"/>
    </xf>
    <xf numFmtId="170" fontId="32" fillId="50" borderId="137" xfId="0" applyNumberFormat="1" applyFont="1" applyFill="1" applyBorder="1" applyAlignment="1" applyProtection="1">
      <alignment horizontal="center" vertical="center"/>
      <protection locked="0"/>
    </xf>
    <xf numFmtId="170" fontId="32" fillId="50" borderId="138" xfId="0" applyNumberFormat="1" applyFont="1" applyFill="1" applyBorder="1" applyAlignment="1" applyProtection="1">
      <alignment horizontal="center" vertical="center"/>
      <protection locked="0"/>
    </xf>
    <xf numFmtId="0" fontId="14" fillId="11" borderId="137" xfId="0" applyNumberFormat="1" applyFont="1" applyFill="1" applyBorder="1" applyAlignment="1">
      <alignment horizontal="center" vertical="center" wrapText="1"/>
    </xf>
    <xf numFmtId="0" fontId="24" fillId="11" borderId="3" xfId="0" applyNumberFormat="1" applyFont="1" applyFill="1" applyBorder="1" applyAlignment="1">
      <alignment horizontal="center" vertical="center" wrapText="1"/>
    </xf>
    <xf numFmtId="0" fontId="24" fillId="11" borderId="86" xfId="0" applyNumberFormat="1" applyFont="1" applyFill="1" applyBorder="1" applyAlignment="1">
      <alignment horizontal="center" vertical="center" wrapText="1"/>
    </xf>
    <xf numFmtId="0" fontId="24" fillId="11" borderId="3" xfId="0" applyNumberFormat="1" applyFont="1" applyFill="1" applyBorder="1" applyAlignment="1" applyProtection="1">
      <alignment horizontal="center" vertical="center" wrapText="1"/>
    </xf>
    <xf numFmtId="0" fontId="24" fillId="11" borderId="86" xfId="0" applyNumberFormat="1" applyFont="1" applyFill="1" applyBorder="1" applyAlignment="1" applyProtection="1">
      <alignment horizontal="center" vertical="center" wrapText="1"/>
    </xf>
    <xf numFmtId="0" fontId="24" fillId="11" borderId="137" xfId="0" applyNumberFormat="1"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169" fontId="50" fillId="0" borderId="3" xfId="0" applyNumberFormat="1" applyFont="1" applyFill="1" applyBorder="1" applyAlignment="1" applyProtection="1">
      <alignment horizontal="center" vertical="center"/>
    </xf>
    <xf numFmtId="176" fontId="50" fillId="0" borderId="89" xfId="0" applyNumberFormat="1" applyFont="1" applyFill="1" applyBorder="1" applyAlignment="1" applyProtection="1">
      <alignment horizontal="center" vertical="center"/>
    </xf>
    <xf numFmtId="176" fontId="51" fillId="0" borderId="141" xfId="0" applyNumberFormat="1" applyFont="1" applyFill="1" applyBorder="1" applyAlignment="1" applyProtection="1">
      <alignment horizontal="center" vertical="center"/>
    </xf>
    <xf numFmtId="167" fontId="193" fillId="0" borderId="142" xfId="0" applyNumberFormat="1" applyFont="1" applyFill="1" applyBorder="1" applyAlignment="1" applyProtection="1">
      <alignment horizontal="center" vertical="center"/>
    </xf>
    <xf numFmtId="192" fontId="51" fillId="0" borderId="142" xfId="0" applyNumberFormat="1" applyFont="1" applyFill="1" applyBorder="1" applyAlignment="1" applyProtection="1">
      <alignment horizontal="center" vertical="center"/>
    </xf>
    <xf numFmtId="166" fontId="51" fillId="0" borderId="143" xfId="0" applyNumberFormat="1" applyFont="1" applyFill="1" applyBorder="1" applyAlignment="1" applyProtection="1">
      <alignment horizontal="center" vertical="center"/>
    </xf>
    <xf numFmtId="166" fontId="53" fillId="0" borderId="87" xfId="0" applyNumberFormat="1" applyFont="1" applyFill="1" applyBorder="1" applyAlignment="1" applyProtection="1">
      <alignment horizontal="right" vertical="center"/>
    </xf>
    <xf numFmtId="177" fontId="53" fillId="0" borderId="144" xfId="1" applyNumberFormat="1" applyFont="1" applyFill="1" applyBorder="1" applyAlignment="1" applyProtection="1">
      <alignment horizontal="center" vertical="center"/>
    </xf>
    <xf numFmtId="168" fontId="53" fillId="0" borderId="69" xfId="0" applyNumberFormat="1" applyFont="1" applyFill="1" applyBorder="1" applyAlignment="1" applyProtection="1">
      <alignment horizontal="center" vertical="center"/>
    </xf>
    <xf numFmtId="176" fontId="50" fillId="0" borderId="148" xfId="1" applyNumberFormat="1" applyFont="1" applyFill="1" applyBorder="1" applyAlignment="1" applyProtection="1">
      <alignment horizontal="center" vertical="center"/>
    </xf>
    <xf numFmtId="0" fontId="51" fillId="0" borderId="10" xfId="0" applyFont="1" applyFill="1" applyBorder="1" applyAlignment="1" applyProtection="1">
      <alignment horizontal="center" vertical="center" wrapText="1"/>
    </xf>
    <xf numFmtId="0" fontId="51" fillId="0" borderId="3" xfId="0" applyNumberFormat="1" applyFont="1" applyFill="1" applyBorder="1" applyAlignment="1" applyProtection="1">
      <alignment horizontal="center" vertical="center" wrapText="1"/>
    </xf>
    <xf numFmtId="0" fontId="38" fillId="0" borderId="125" xfId="0" applyNumberFormat="1" applyFont="1" applyFill="1" applyBorder="1" applyAlignment="1" applyProtection="1">
      <alignment horizontal="center" vertical="center" wrapText="1"/>
    </xf>
    <xf numFmtId="171" fontId="38" fillId="0" borderId="3" xfId="0" applyNumberFormat="1" applyFont="1" applyFill="1" applyBorder="1" applyAlignment="1">
      <alignment horizontal="center" vertical="center"/>
    </xf>
    <xf numFmtId="165" fontId="50" fillId="0" borderId="103" xfId="1" applyNumberFormat="1" applyFont="1" applyFill="1" applyBorder="1" applyAlignment="1" applyProtection="1">
      <alignment horizontal="center" vertical="center"/>
    </xf>
    <xf numFmtId="170" fontId="38" fillId="0" borderId="112" xfId="0" applyNumberFormat="1" applyFont="1" applyFill="1" applyBorder="1" applyAlignment="1" applyProtection="1">
      <alignment horizontal="center" vertical="center"/>
      <protection locked="0"/>
    </xf>
    <xf numFmtId="167" fontId="38" fillId="0" borderId="112" xfId="0" applyNumberFormat="1" applyFont="1" applyFill="1" applyBorder="1" applyAlignment="1" applyProtection="1">
      <alignment horizontal="center" vertical="center"/>
      <protection locked="0"/>
    </xf>
    <xf numFmtId="0" fontId="38" fillId="0" borderId="112" xfId="0" applyFont="1" applyFill="1" applyBorder="1" applyAlignment="1" applyProtection="1">
      <alignment horizontal="center" vertical="center"/>
    </xf>
    <xf numFmtId="168" fontId="38" fillId="0" borderId="99" xfId="0" applyNumberFormat="1" applyFont="1" applyFill="1" applyBorder="1" applyAlignment="1">
      <alignment horizontal="center" vertical="center"/>
    </xf>
    <xf numFmtId="170" fontId="38" fillId="0" borderId="99" xfId="0" applyNumberFormat="1" applyFont="1" applyFill="1" applyBorder="1" applyAlignment="1" applyProtection="1">
      <alignment vertical="center"/>
      <protection locked="0"/>
    </xf>
    <xf numFmtId="0" fontId="50" fillId="0" borderId="69" xfId="0" applyFont="1" applyFill="1" applyBorder="1" applyAlignment="1" applyProtection="1">
      <alignment horizontal="centerContinuous" vertical="center"/>
    </xf>
    <xf numFmtId="0" fontId="38" fillId="0" borderId="69" xfId="0" applyFont="1" applyFill="1" applyBorder="1" applyAlignment="1" applyProtection="1">
      <alignment horizontal="centerContinuous" vertical="center"/>
    </xf>
    <xf numFmtId="0" fontId="38" fillId="4" borderId="70" xfId="0" applyFont="1" applyFill="1" applyBorder="1" applyAlignment="1" applyProtection="1">
      <alignment horizontal="centerContinuous" vertical="center"/>
    </xf>
    <xf numFmtId="0" fontId="38" fillId="14" borderId="156" xfId="0" applyFont="1" applyFill="1" applyBorder="1" applyAlignment="1">
      <alignment horizontal="left" vertical="center" wrapText="1"/>
    </xf>
    <xf numFmtId="0" fontId="38" fillId="14" borderId="147" xfId="0" applyFont="1" applyFill="1" applyBorder="1" applyAlignment="1">
      <alignment horizontal="center" vertical="center"/>
    </xf>
    <xf numFmtId="0" fontId="50" fillId="0" borderId="147" xfId="0" applyNumberFormat="1" applyFont="1" applyFill="1" applyBorder="1" applyAlignment="1" applyProtection="1">
      <alignment horizontal="center" vertical="center" wrapText="1"/>
    </xf>
    <xf numFmtId="0" fontId="38" fillId="0" borderId="157" xfId="0" applyNumberFormat="1" applyFont="1" applyFill="1" applyBorder="1" applyAlignment="1" applyProtection="1">
      <alignment horizontal="center" vertical="center" wrapText="1"/>
    </xf>
    <xf numFmtId="0" fontId="50" fillId="0" borderId="147" xfId="0" applyFont="1" applyFill="1" applyBorder="1" applyAlignment="1">
      <alignment horizontal="center" vertical="center"/>
    </xf>
    <xf numFmtId="171" fontId="38" fillId="0" borderId="147" xfId="0" applyNumberFormat="1" applyFont="1" applyFill="1" applyBorder="1" applyAlignment="1">
      <alignment horizontal="center" vertical="center"/>
    </xf>
    <xf numFmtId="169" fontId="38" fillId="14" borderId="158" xfId="0" applyNumberFormat="1" applyFont="1" applyFill="1" applyBorder="1" applyAlignment="1">
      <alignment horizontal="center" vertical="center"/>
    </xf>
    <xf numFmtId="166" fontId="38" fillId="0" borderId="158" xfId="0" applyNumberFormat="1" applyFont="1" applyFill="1" applyBorder="1" applyAlignment="1">
      <alignment horizontal="center" vertical="center"/>
    </xf>
    <xf numFmtId="168" fontId="38" fillId="0" borderId="158" xfId="0" applyNumberFormat="1" applyFont="1" applyFill="1" applyBorder="1" applyAlignment="1" applyProtection="1">
      <alignment horizontal="center" vertical="center"/>
    </xf>
    <xf numFmtId="168" fontId="51" fillId="0" borderId="158" xfId="0" applyNumberFormat="1" applyFont="1" applyFill="1" applyBorder="1" applyAlignment="1" applyProtection="1">
      <alignment horizontal="center" vertical="center"/>
    </xf>
    <xf numFmtId="168" fontId="38" fillId="0" borderId="159" xfId="0" applyNumberFormat="1" applyFont="1" applyFill="1" applyBorder="1" applyAlignment="1">
      <alignment horizontal="center" vertical="center"/>
    </xf>
    <xf numFmtId="168" fontId="38" fillId="0" borderId="160" xfId="0" applyNumberFormat="1" applyFont="1" applyFill="1" applyBorder="1" applyAlignment="1">
      <alignment horizontal="center" vertical="center"/>
    </xf>
    <xf numFmtId="0" fontId="38" fillId="14" borderId="161" xfId="0" applyFont="1" applyFill="1" applyBorder="1" applyAlignment="1">
      <alignment horizontal="left" vertical="center" wrapText="1"/>
    </xf>
    <xf numFmtId="168" fontId="38" fillId="0" borderId="162" xfId="0" applyNumberFormat="1" applyFont="1" applyFill="1" applyBorder="1" applyAlignment="1">
      <alignment horizontal="center" vertical="center"/>
    </xf>
    <xf numFmtId="171" fontId="38" fillId="0" borderId="152" xfId="0" applyNumberFormat="1" applyFont="1" applyFill="1" applyBorder="1" applyAlignment="1">
      <alignment horizontal="center" vertical="center"/>
    </xf>
    <xf numFmtId="170" fontId="24" fillId="0" borderId="1" xfId="0" applyNumberFormat="1" applyFont="1" applyFill="1" applyBorder="1" applyAlignment="1" applyProtection="1">
      <alignment horizontal="center" vertical="center"/>
      <protection locked="0"/>
    </xf>
    <xf numFmtId="0" fontId="38" fillId="54" borderId="122" xfId="0" applyNumberFormat="1" applyFont="1" applyFill="1" applyBorder="1" applyAlignment="1" applyProtection="1">
      <alignment horizontal="center" vertical="center" wrapText="1"/>
    </xf>
    <xf numFmtId="0" fontId="50" fillId="0" borderId="122" xfId="8" applyNumberFormat="1" applyFont="1" applyFill="1" applyBorder="1" applyAlignment="1" applyProtection="1">
      <alignment horizontal="center" vertical="center" wrapText="1"/>
    </xf>
    <xf numFmtId="0" fontId="24" fillId="11" borderId="138" xfId="0" applyNumberFormat="1" applyFont="1" applyFill="1" applyBorder="1" applyAlignment="1">
      <alignment horizontal="center" vertical="center" wrapText="1"/>
    </xf>
    <xf numFmtId="0" fontId="14" fillId="11" borderId="138" xfId="0" applyNumberFormat="1" applyFont="1" applyFill="1" applyBorder="1" applyAlignment="1">
      <alignment horizontal="center" vertical="center" wrapText="1"/>
    </xf>
    <xf numFmtId="0" fontId="24" fillId="11" borderId="138" xfId="0" applyNumberFormat="1" applyFont="1" applyFill="1" applyBorder="1" applyAlignment="1" applyProtection="1">
      <alignment horizontal="center" vertical="center" wrapText="1"/>
    </xf>
    <xf numFmtId="0" fontId="38" fillId="54" borderId="1" xfId="0"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24" fillId="0" borderId="10" xfId="0" applyFont="1" applyFill="1" applyBorder="1" applyAlignment="1" applyProtection="1">
      <alignment horizontal="center" vertical="center" wrapText="1"/>
    </xf>
    <xf numFmtId="0" fontId="241" fillId="0" borderId="9" xfId="0" applyFont="1" applyFill="1" applyBorder="1" applyAlignment="1" applyProtection="1">
      <alignment vertical="center"/>
    </xf>
    <xf numFmtId="0" fontId="38"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38" fillId="0" borderId="1" xfId="0" applyFont="1" applyFill="1" applyBorder="1" applyAlignment="1">
      <alignment horizontal="center" vertical="center"/>
    </xf>
    <xf numFmtId="0" fontId="38" fillId="4" borderId="1" xfId="0" applyFont="1" applyFill="1" applyBorder="1" applyAlignment="1" applyProtection="1">
      <alignment horizontal="center" vertical="center"/>
    </xf>
    <xf numFmtId="0" fontId="38" fillId="13" borderId="1" xfId="0"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Font="1" applyFill="1" applyBorder="1" applyAlignment="1">
      <alignment horizontal="center" vertical="center"/>
    </xf>
    <xf numFmtId="16" fontId="50"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24" fillId="0" borderId="6"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38" fillId="0" borderId="1" xfId="0" applyFont="1" applyFill="1" applyBorder="1" applyAlignment="1">
      <alignment horizontal="center" vertical="center"/>
    </xf>
    <xf numFmtId="0" fontId="24" fillId="0" borderId="1" xfId="8" applyFont="1" applyFill="1" applyBorder="1" applyAlignment="1" applyProtection="1">
      <alignment horizontal="center" vertical="center"/>
    </xf>
    <xf numFmtId="10" fontId="50" fillId="0" borderId="1" xfId="7" applyNumberFormat="1" applyFont="1" applyFill="1" applyBorder="1" applyAlignment="1" applyProtection="1">
      <alignment vertical="center"/>
    </xf>
    <xf numFmtId="172" fontId="38" fillId="0" borderId="1" xfId="8" applyNumberFormat="1" applyFont="1" applyFill="1" applyBorder="1" applyAlignment="1" applyProtection="1">
      <alignment horizontal="center" vertical="center" wrapText="1"/>
    </xf>
    <xf numFmtId="0" fontId="38" fillId="0" borderId="86" xfId="0" applyFont="1" applyFill="1" applyBorder="1" applyAlignment="1">
      <alignment vertical="center" wrapText="1"/>
    </xf>
    <xf numFmtId="0" fontId="52" fillId="0" borderId="5" xfId="8" applyFont="1" applyFill="1" applyBorder="1" applyAlignment="1" applyProtection="1">
      <alignment horizontal="center" vertical="center"/>
    </xf>
    <xf numFmtId="167" fontId="24" fillId="0" borderId="9" xfId="8" applyNumberFormat="1" applyFont="1" applyFill="1" applyBorder="1" applyAlignment="1" applyProtection="1">
      <alignment horizontal="center" vertical="center"/>
    </xf>
    <xf numFmtId="166" fontId="24" fillId="0" borderId="9" xfId="8" applyNumberFormat="1" applyFont="1" applyFill="1" applyBorder="1" applyAlignment="1" applyProtection="1">
      <alignment horizontal="center" vertical="center"/>
    </xf>
    <xf numFmtId="169" fontId="38" fillId="0" borderId="100" xfId="0" applyNumberFormat="1" applyFont="1" applyFill="1" applyBorder="1" applyAlignment="1" applyProtection="1">
      <alignment horizontal="center" vertical="center"/>
    </xf>
    <xf numFmtId="171" fontId="51" fillId="0" borderId="100" xfId="0" applyNumberFormat="1" applyFont="1" applyFill="1" applyBorder="1" applyAlignment="1" applyProtection="1">
      <alignment horizontal="center" vertical="center" shrinkToFit="1"/>
    </xf>
    <xf numFmtId="165" fontId="50" fillId="0" borderId="77" xfId="1" applyNumberFormat="1" applyFont="1" applyFill="1" applyBorder="1" applyAlignment="1" applyProtection="1">
      <alignment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105" fillId="0" borderId="87" xfId="8" applyFont="1" applyFill="1" applyBorder="1" applyAlignment="1" applyProtection="1">
      <alignment horizontal="center" vertical="center" wrapText="1"/>
    </xf>
    <xf numFmtId="165" fontId="51" fillId="0" borderId="100" xfId="0" applyNumberFormat="1" applyFont="1" applyFill="1" applyBorder="1" applyAlignment="1" applyProtection="1">
      <alignment vertical="center" shrinkToFit="1"/>
    </xf>
    <xf numFmtId="165" fontId="38" fillId="0" borderId="106" xfId="0" applyNumberFormat="1" applyFont="1" applyFill="1" applyBorder="1" applyAlignment="1">
      <alignment horizontal="center" vertical="center"/>
    </xf>
    <xf numFmtId="0" fontId="50" fillId="0" borderId="166" xfId="8" applyNumberFormat="1" applyFont="1" applyFill="1" applyBorder="1" applyAlignment="1" applyProtection="1">
      <alignment horizontal="center" vertical="center" wrapText="1"/>
    </xf>
    <xf numFmtId="0" fontId="38" fillId="0" borderId="6" xfId="0" applyNumberFormat="1" applyFont="1" applyFill="1" applyBorder="1" applyAlignment="1" applyProtection="1">
      <alignment horizontal="center" vertical="center" wrapText="1"/>
      <protection locked="0"/>
    </xf>
    <xf numFmtId="0" fontId="38" fillId="0" borderId="122" xfId="0" applyNumberFormat="1" applyFont="1" applyFill="1" applyBorder="1" applyAlignment="1" applyProtection="1">
      <alignment horizontal="center" vertical="center" wrapText="1"/>
      <protection locked="0"/>
    </xf>
    <xf numFmtId="16" fontId="50" fillId="0" borderId="1" xfId="0" quotePrefix="1" applyNumberFormat="1" applyFont="1" applyFill="1" applyBorder="1" applyAlignment="1" applyProtection="1">
      <alignment horizontal="center" vertical="center" wrapText="1"/>
    </xf>
    <xf numFmtId="0" fontId="50" fillId="0" borderId="5" xfId="8" applyNumberFormat="1" applyFont="1" applyFill="1" applyBorder="1" applyAlignment="1" applyProtection="1">
      <alignment horizontal="center" vertical="center" wrapText="1"/>
    </xf>
    <xf numFmtId="0" fontId="38" fillId="0" borderId="126" xfId="0" applyNumberFormat="1" applyFont="1" applyFill="1" applyBorder="1" applyAlignment="1" applyProtection="1">
      <alignment horizontal="center" vertical="center" wrapText="1"/>
    </xf>
    <xf numFmtId="172" fontId="50" fillId="0" borderId="1" xfId="8" applyNumberFormat="1" applyFont="1" applyFill="1" applyBorder="1" applyAlignment="1" applyProtection="1">
      <alignment horizontal="center" vertical="center" wrapText="1"/>
    </xf>
    <xf numFmtId="0" fontId="51" fillId="4" borderId="69" xfId="0" applyFont="1" applyFill="1" applyBorder="1" applyAlignment="1" applyProtection="1">
      <alignment horizontal="centerContinuous" vertical="center"/>
    </xf>
    <xf numFmtId="0" fontId="53" fillId="0" borderId="1" xfId="0" applyFont="1" applyFill="1" applyBorder="1" applyAlignment="1" applyProtection="1">
      <alignment horizontal="center" vertical="center" wrapText="1"/>
    </xf>
    <xf numFmtId="0" fontId="52" fillId="0" borderId="12" xfId="0" applyFont="1" applyFill="1" applyBorder="1" applyAlignment="1" applyProtection="1">
      <alignment vertical="center" wrapText="1"/>
    </xf>
    <xf numFmtId="176" fontId="50" fillId="0" borderId="6" xfId="1" applyNumberFormat="1" applyFont="1" applyFill="1" applyBorder="1" applyAlignment="1" applyProtection="1">
      <alignment vertical="center"/>
    </xf>
    <xf numFmtId="0" fontId="24" fillId="0" borderId="6" xfId="0" applyFont="1" applyFill="1" applyBorder="1" applyAlignment="1" applyProtection="1">
      <alignment vertical="center" wrapText="1"/>
    </xf>
    <xf numFmtId="182" fontId="38" fillId="0" borderId="6" xfId="0" applyNumberFormat="1" applyFont="1" applyFill="1" applyBorder="1" applyAlignment="1" applyProtection="1">
      <alignment horizontal="center" vertical="center"/>
    </xf>
    <xf numFmtId="182" fontId="24" fillId="0" borderId="6" xfId="0" applyNumberFormat="1" applyFont="1" applyFill="1" applyBorder="1" applyAlignment="1" applyProtection="1">
      <alignment vertical="center" wrapText="1"/>
    </xf>
    <xf numFmtId="176" fontId="50" fillId="0" borderId="108" xfId="1" applyNumberFormat="1" applyFont="1" applyFill="1" applyBorder="1" applyAlignment="1" applyProtection="1">
      <alignment vertical="center"/>
    </xf>
    <xf numFmtId="165" fontId="50" fillId="0" borderId="108" xfId="1" applyNumberFormat="1" applyFont="1" applyFill="1" applyBorder="1" applyAlignment="1" applyProtection="1">
      <alignment vertical="center"/>
    </xf>
    <xf numFmtId="165" fontId="50" fillId="0" borderId="108" xfId="1" applyNumberFormat="1" applyFont="1" applyFill="1" applyBorder="1" applyAlignment="1" applyProtection="1">
      <alignment horizontal="center" vertical="center"/>
    </xf>
    <xf numFmtId="173" fontId="50" fillId="0" borderId="108" xfId="7" applyNumberFormat="1" applyFont="1" applyFill="1" applyBorder="1" applyAlignment="1" applyProtection="1">
      <alignment horizontal="center" vertical="center"/>
    </xf>
    <xf numFmtId="173" fontId="50" fillId="0" borderId="108" xfId="7" applyNumberFormat="1" applyFont="1" applyFill="1" applyBorder="1" applyAlignment="1" applyProtection="1">
      <alignment vertical="center"/>
    </xf>
    <xf numFmtId="10" fontId="50" fillId="0" borderId="108" xfId="7" applyNumberFormat="1" applyFont="1" applyFill="1" applyBorder="1" applyAlignment="1" applyProtection="1">
      <alignment vertical="center"/>
    </xf>
    <xf numFmtId="176" fontId="50" fillId="0" borderId="139" xfId="1" applyNumberFormat="1" applyFont="1" applyFill="1" applyBorder="1" applyAlignment="1" applyProtection="1">
      <alignment vertical="center"/>
    </xf>
    <xf numFmtId="165" fontId="50" fillId="0" borderId="139" xfId="1" applyNumberFormat="1" applyFont="1" applyFill="1" applyBorder="1" applyAlignment="1" applyProtection="1">
      <alignment vertical="center"/>
    </xf>
    <xf numFmtId="0" fontId="14" fillId="0" borderId="122" xfId="0" applyNumberFormat="1" applyFont="1" applyFill="1" applyBorder="1" applyAlignment="1" applyProtection="1">
      <alignment horizontal="center" vertical="center" wrapText="1"/>
    </xf>
    <xf numFmtId="0" fontId="24" fillId="0" borderId="122" xfId="0" applyNumberFormat="1" applyFont="1" applyFill="1" applyBorder="1" applyAlignment="1">
      <alignment horizontal="center" vertical="center" wrapText="1"/>
    </xf>
    <xf numFmtId="0" fontId="53" fillId="0" borderId="122" xfId="0" applyFont="1" applyFill="1" applyBorder="1" applyAlignment="1" applyProtection="1">
      <alignment horizontal="center" vertical="center" wrapText="1"/>
    </xf>
    <xf numFmtId="176" fontId="50" fillId="0" borderId="6" xfId="1" applyNumberFormat="1" applyFont="1" applyFill="1" applyBorder="1" applyAlignment="1" applyProtection="1">
      <alignment horizontal="center" vertical="center"/>
    </xf>
    <xf numFmtId="0" fontId="14" fillId="0" borderId="122" xfId="0" applyNumberFormat="1" applyFont="1" applyFill="1" applyBorder="1" applyAlignment="1">
      <alignment horizontal="center" vertical="center" wrapText="1"/>
    </xf>
    <xf numFmtId="176" fontId="38" fillId="0" borderId="6" xfId="0" applyNumberFormat="1" applyFont="1" applyFill="1" applyBorder="1" applyAlignment="1" applyProtection="1">
      <alignment horizontal="center" vertical="center"/>
    </xf>
    <xf numFmtId="176" fontId="50" fillId="0" borderId="139" xfId="1" applyNumberFormat="1" applyFont="1" applyFill="1" applyBorder="1" applyAlignment="1" applyProtection="1">
      <alignment horizontal="center" vertical="center"/>
    </xf>
    <xf numFmtId="165" fontId="50" fillId="0" borderId="6" xfId="1" applyNumberFormat="1" applyFont="1" applyFill="1" applyBorder="1" applyAlignment="1" applyProtection="1">
      <alignment horizontal="center" vertical="center"/>
    </xf>
    <xf numFmtId="10" fontId="50" fillId="0" borderId="6" xfId="7" applyNumberFormat="1" applyFont="1" applyFill="1" applyBorder="1" applyAlignment="1" applyProtection="1">
      <alignment vertical="center"/>
    </xf>
    <xf numFmtId="169" fontId="38" fillId="0" borderId="6" xfId="0" applyNumberFormat="1" applyFont="1" applyFill="1" applyBorder="1" applyAlignment="1" applyProtection="1">
      <alignment horizontal="center" vertical="center"/>
    </xf>
    <xf numFmtId="169" fontId="50" fillId="0" borderId="6" xfId="0" applyNumberFormat="1" applyFont="1" applyFill="1" applyBorder="1" applyAlignment="1" applyProtection="1">
      <alignment horizontal="center" vertical="center"/>
    </xf>
    <xf numFmtId="169" fontId="50" fillId="0" borderId="12" xfId="0" applyNumberFormat="1" applyFont="1" applyFill="1" applyBorder="1" applyAlignment="1" applyProtection="1">
      <alignment horizontal="center" vertical="center"/>
    </xf>
    <xf numFmtId="169" fontId="38" fillId="0" borderId="108" xfId="0" applyNumberFormat="1" applyFont="1" applyFill="1" applyBorder="1" applyAlignment="1" applyProtection="1">
      <alignment horizontal="center" vertical="center"/>
    </xf>
    <xf numFmtId="10" fontId="50" fillId="0" borderId="6" xfId="7" applyNumberFormat="1" applyFont="1" applyFill="1" applyBorder="1" applyAlignment="1" applyProtection="1">
      <alignment horizontal="center" vertical="center"/>
    </xf>
    <xf numFmtId="0" fontId="14" fillId="0" borderId="125" xfId="0" applyNumberFormat="1" applyFont="1" applyFill="1" applyBorder="1" applyAlignment="1" applyProtection="1">
      <alignment horizontal="center" vertical="center" wrapText="1"/>
    </xf>
    <xf numFmtId="0" fontId="14" fillId="14" borderId="122" xfId="0" applyNumberFormat="1" applyFont="1" applyFill="1" applyBorder="1" applyAlignment="1" applyProtection="1">
      <alignment horizontal="center" vertical="center" wrapText="1"/>
    </xf>
    <xf numFmtId="0" fontId="14" fillId="0" borderId="126" xfId="0" applyNumberFormat="1" applyFont="1" applyFill="1" applyBorder="1" applyAlignment="1" applyProtection="1">
      <alignment horizontal="center" vertical="center" wrapText="1"/>
    </xf>
    <xf numFmtId="0" fontId="14" fillId="14" borderId="122" xfId="0" applyNumberFormat="1" applyFont="1" applyFill="1" applyBorder="1" applyAlignment="1">
      <alignment horizontal="center" vertical="center" wrapText="1"/>
    </xf>
    <xf numFmtId="0" fontId="24" fillId="0" borderId="12" xfId="0" applyFont="1" applyFill="1" applyBorder="1" applyAlignment="1" applyProtection="1">
      <alignment vertical="center" wrapText="1"/>
    </xf>
    <xf numFmtId="0" fontId="24" fillId="0" borderId="122" xfId="0" applyNumberFormat="1" applyFont="1" applyFill="1" applyBorder="1" applyAlignment="1" applyProtection="1">
      <alignment horizontal="center" vertical="center" wrapText="1"/>
    </xf>
    <xf numFmtId="0" fontId="14" fillId="0" borderId="122" xfId="8" applyNumberFormat="1" applyFont="1" applyFill="1" applyBorder="1" applyAlignment="1" applyProtection="1">
      <alignment horizontal="center" vertical="center" wrapText="1"/>
    </xf>
    <xf numFmtId="0" fontId="14" fillId="0" borderId="122" xfId="8" applyNumberFormat="1" applyFont="1" applyFill="1" applyBorder="1" applyAlignment="1" applyProtection="1">
      <alignment horizontal="center" vertical="center"/>
      <protection locked="0"/>
    </xf>
    <xf numFmtId="0" fontId="14" fillId="0" borderId="122" xfId="8" applyNumberFormat="1" applyFont="1" applyFill="1" applyBorder="1" applyAlignment="1" applyProtection="1">
      <alignment horizontal="center" vertical="center" wrapText="1"/>
      <protection locked="0"/>
    </xf>
    <xf numFmtId="170" fontId="38" fillId="0" borderId="6" xfId="0" applyNumberFormat="1" applyFont="1" applyFill="1" applyBorder="1" applyAlignment="1" applyProtection="1">
      <alignment horizontal="center" vertical="center"/>
    </xf>
    <xf numFmtId="0" fontId="62" fillId="0" borderId="69" xfId="0" applyFont="1" applyFill="1" applyBorder="1" applyAlignment="1" applyProtection="1">
      <alignment vertical="center"/>
    </xf>
    <xf numFmtId="0" fontId="14" fillId="0" borderId="167" xfId="8" applyNumberFormat="1" applyFont="1" applyFill="1" applyBorder="1" applyAlignment="1" applyProtection="1">
      <alignment horizontal="center" vertical="center" wrapText="1"/>
    </xf>
    <xf numFmtId="165" fontId="50" fillId="0" borderId="77" xfId="1" applyNumberFormat="1" applyFont="1" applyFill="1" applyBorder="1" applyAlignment="1" applyProtection="1">
      <alignment horizontal="center" vertical="center"/>
    </xf>
    <xf numFmtId="0" fontId="38" fillId="0" borderId="3" xfId="0" applyFont="1" applyFill="1" applyBorder="1" applyAlignment="1">
      <alignment horizontal="center" vertical="center" wrapText="1"/>
    </xf>
    <xf numFmtId="165" fontId="50" fillId="0" borderId="139" xfId="1" applyNumberFormat="1" applyFont="1" applyFill="1" applyBorder="1" applyAlignment="1" applyProtection="1">
      <alignment horizontal="center" vertical="center"/>
    </xf>
    <xf numFmtId="165" fontId="50" fillId="0" borderId="165" xfId="1" applyNumberFormat="1" applyFont="1" applyFill="1" applyBorder="1" applyAlignment="1" applyProtection="1">
      <alignment vertical="center"/>
    </xf>
    <xf numFmtId="165" fontId="50" fillId="0" borderId="1" xfId="1" applyNumberFormat="1" applyFont="1" applyFill="1" applyBorder="1" applyAlignment="1" applyProtection="1">
      <alignment vertical="center"/>
    </xf>
    <xf numFmtId="166" fontId="38" fillId="0" borderId="5" xfId="0" applyNumberFormat="1" applyFont="1" applyFill="1" applyBorder="1" applyAlignment="1" applyProtection="1">
      <alignment horizontal="center" vertical="center"/>
    </xf>
    <xf numFmtId="0" fontId="24" fillId="0" borderId="1" xfId="0" applyFont="1" applyFill="1" applyBorder="1" applyAlignment="1">
      <alignment horizontal="left" vertical="center" wrapText="1"/>
    </xf>
    <xf numFmtId="0" fontId="38" fillId="0" borderId="1" xfId="0" applyFont="1" applyFill="1" applyBorder="1" applyAlignment="1">
      <alignment horizontal="left" vertical="center" wrapText="1"/>
    </xf>
    <xf numFmtId="177" fontId="51" fillId="0" borderId="134" xfId="0" applyNumberFormat="1" applyFont="1" applyFill="1" applyBorder="1" applyAlignment="1" applyProtection="1">
      <alignment vertical="center" shrinkToFit="1"/>
    </xf>
    <xf numFmtId="0" fontId="38" fillId="0" borderId="104" xfId="0" applyFont="1" applyFill="1" applyBorder="1" applyAlignment="1" applyProtection="1">
      <alignment horizontal="centerContinuous" vertical="center" wrapText="1"/>
    </xf>
    <xf numFmtId="176" fontId="51" fillId="0" borderId="80" xfId="1" applyNumberFormat="1"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38" fillId="0" borderId="0" xfId="0" applyFont="1" applyFill="1" applyBorder="1" applyAlignment="1" applyProtection="1">
      <alignment horizontal="center" vertical="center" wrapText="1"/>
      <protection locked="0"/>
    </xf>
    <xf numFmtId="0" fontId="52" fillId="0" borderId="0" xfId="8" applyFont="1" applyFill="1" applyBorder="1" applyAlignment="1" applyProtection="1">
      <alignment horizontal="center" vertical="center"/>
    </xf>
    <xf numFmtId="0" fontId="55" fillId="0" borderId="0" xfId="0" applyFont="1" applyFill="1" applyBorder="1" applyAlignment="1" applyProtection="1">
      <alignment horizontal="center" vertical="center" wrapText="1"/>
    </xf>
    <xf numFmtId="0" fontId="59" fillId="0" borderId="0" xfId="8"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177" fontId="38" fillId="0" borderId="6"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177" fontId="38" fillId="0" borderId="0"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10" fillId="0" borderId="5" xfId="0" applyFont="1" applyBorder="1" applyAlignment="1" applyProtection="1">
      <alignment horizontal="center" vertical="center"/>
    </xf>
    <xf numFmtId="0" fontId="14" fillId="0" borderId="5" xfId="0" applyNumberFormat="1" applyFont="1" applyFill="1" applyBorder="1" applyAlignment="1" applyProtection="1">
      <alignment horizontal="center" vertical="center" wrapText="1"/>
    </xf>
    <xf numFmtId="0" fontId="14" fillId="0" borderId="9" xfId="0" applyNumberFormat="1" applyFont="1" applyFill="1" applyBorder="1" applyAlignment="1" applyProtection="1">
      <alignment horizontal="center" vertical="center" wrapText="1"/>
    </xf>
    <xf numFmtId="0" fontId="199" fillId="0" borderId="9" xfId="0" applyFont="1" applyFill="1" applyBorder="1" applyAlignment="1" applyProtection="1">
      <alignment horizontal="center" vertical="center"/>
    </xf>
    <xf numFmtId="0" fontId="38" fillId="0" borderId="86" xfId="0" applyFont="1" applyFill="1" applyBorder="1" applyAlignment="1">
      <alignment horizontal="center" vertical="center"/>
    </xf>
    <xf numFmtId="0" fontId="38" fillId="0" borderId="1" xfId="0" applyFont="1" applyFill="1" applyBorder="1" applyAlignment="1">
      <alignment horizontal="center" vertical="center"/>
    </xf>
    <xf numFmtId="0" fontId="38" fillId="0" borderId="5" xfId="0" applyFont="1" applyFill="1" applyBorder="1" applyAlignment="1">
      <alignment horizontal="center" vertical="center"/>
    </xf>
    <xf numFmtId="0" fontId="0" fillId="0" borderId="1" xfId="0" applyBorder="1">
      <alignment vertical="center"/>
    </xf>
    <xf numFmtId="181" fontId="116" fillId="0" borderId="0" xfId="0" applyNumberFormat="1" applyFont="1" applyFill="1" applyBorder="1" applyAlignment="1" applyProtection="1">
      <alignment horizontal="left" vertical="center"/>
      <protection locked="0"/>
    </xf>
    <xf numFmtId="0" fontId="24" fillId="0" borderId="1" xfId="8"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38" fillId="0" borderId="86" xfId="0" applyFont="1" applyFill="1" applyBorder="1" applyAlignment="1">
      <alignment horizontal="left" vertical="center"/>
    </xf>
    <xf numFmtId="1" fontId="52" fillId="0" borderId="0" xfId="6" applyNumberFormat="1" applyFont="1"/>
    <xf numFmtId="0" fontId="38" fillId="0" borderId="3" xfId="0" applyFont="1" applyFill="1" applyBorder="1" applyAlignment="1" applyProtection="1">
      <alignment horizontal="center" vertical="center" wrapText="1"/>
    </xf>
    <xf numFmtId="0" fontId="38" fillId="35" borderId="5" xfId="0" applyFont="1" applyFill="1" applyBorder="1" applyAlignment="1">
      <alignment vertical="center"/>
    </xf>
    <xf numFmtId="0" fontId="38" fillId="35" borderId="6" xfId="0" applyFont="1" applyFill="1" applyBorder="1" applyAlignment="1">
      <alignment vertical="center"/>
    </xf>
    <xf numFmtId="0" fontId="38" fillId="35" borderId="9" xfId="0" applyFont="1" applyFill="1" applyBorder="1" applyAlignment="1">
      <alignment vertical="center"/>
    </xf>
    <xf numFmtId="0" fontId="51" fillId="14" borderId="1" xfId="0" applyFont="1" applyFill="1" applyBorder="1" applyAlignment="1">
      <alignment horizontal="left" vertical="center" wrapText="1"/>
    </xf>
    <xf numFmtId="41" fontId="193" fillId="0" borderId="2" xfId="0" applyNumberFormat="1"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xf>
    <xf numFmtId="176" fontId="50" fillId="0" borderId="169" xfId="1" applyNumberFormat="1" applyFont="1" applyFill="1" applyBorder="1" applyAlignment="1" applyProtection="1">
      <alignment horizontal="center" vertical="center"/>
    </xf>
    <xf numFmtId="166" fontId="53" fillId="0" borderId="13" xfId="0" applyNumberFormat="1" applyFont="1" applyFill="1" applyBorder="1" applyAlignment="1" applyProtection="1">
      <alignment horizontal="right" vertical="center"/>
    </xf>
    <xf numFmtId="177" fontId="53" fillId="0" borderId="89" xfId="1" applyNumberFormat="1" applyFont="1" applyFill="1" applyBorder="1" applyAlignment="1" applyProtection="1">
      <alignment horizontal="center" vertical="center"/>
    </xf>
    <xf numFmtId="168" fontId="53" fillId="0" borderId="8" xfId="0" applyNumberFormat="1" applyFont="1" applyFill="1" applyBorder="1" applyAlignment="1" applyProtection="1">
      <alignment horizontal="center" vertical="center"/>
    </xf>
    <xf numFmtId="167" fontId="68" fillId="0" borderId="142" xfId="8" applyNumberFormat="1" applyFont="1" applyFill="1" applyBorder="1" applyAlignment="1" applyProtection="1">
      <alignment horizontal="center" vertical="center"/>
    </xf>
    <xf numFmtId="190" fontId="51" fillId="0" borderId="142" xfId="0" applyNumberFormat="1" applyFont="1" applyFill="1" applyBorder="1" applyAlignment="1">
      <alignment horizontal="center" vertical="center" wrapText="1"/>
    </xf>
    <xf numFmtId="166" fontId="68" fillId="0" borderId="143" xfId="8" applyNumberFormat="1" applyFont="1" applyFill="1" applyBorder="1" applyAlignment="1" applyProtection="1">
      <alignment horizontal="center" vertical="center"/>
    </xf>
    <xf numFmtId="167" fontId="68" fillId="0" borderId="134" xfId="8" applyNumberFormat="1" applyFont="1" applyFill="1" applyBorder="1" applyAlignment="1" applyProtection="1">
      <alignment horizontal="center" vertical="center"/>
    </xf>
    <xf numFmtId="166" fontId="68" fillId="0" borderId="135" xfId="8" applyNumberFormat="1" applyFont="1" applyFill="1" applyBorder="1" applyAlignment="1" applyProtection="1">
      <alignment horizontal="center" vertical="center"/>
    </xf>
    <xf numFmtId="0" fontId="53" fillId="0" borderId="173" xfId="0" applyFont="1" applyFill="1" applyBorder="1" applyAlignment="1" applyProtection="1">
      <alignment horizontal="center" vertical="center"/>
    </xf>
    <xf numFmtId="0" fontId="68" fillId="0" borderId="173" xfId="0" applyNumberFormat="1" applyFont="1" applyFill="1" applyBorder="1" applyAlignment="1" applyProtection="1">
      <alignment horizontal="center" vertical="center" wrapText="1"/>
    </xf>
    <xf numFmtId="0" fontId="68" fillId="0" borderId="174" xfId="0" applyNumberFormat="1" applyFont="1" applyFill="1" applyBorder="1" applyAlignment="1" applyProtection="1">
      <alignment horizontal="center" vertical="center" wrapText="1"/>
    </xf>
    <xf numFmtId="176" fontId="50" fillId="0" borderId="175" xfId="1" applyNumberFormat="1" applyFont="1" applyFill="1" applyBorder="1" applyAlignment="1" applyProtection="1">
      <alignment horizontal="center" vertical="center"/>
    </xf>
    <xf numFmtId="166" fontId="53" fillId="0" borderId="176" xfId="0" applyNumberFormat="1" applyFont="1" applyFill="1" applyBorder="1" applyAlignment="1" applyProtection="1">
      <alignment horizontal="right" vertical="center"/>
    </xf>
    <xf numFmtId="177" fontId="53" fillId="0" borderId="177" xfId="1" applyNumberFormat="1" applyFont="1" applyFill="1" applyBorder="1" applyAlignment="1" applyProtection="1">
      <alignment horizontal="center" vertical="center"/>
    </xf>
    <xf numFmtId="168" fontId="53" fillId="0" borderId="178" xfId="0" applyNumberFormat="1" applyFont="1" applyFill="1" applyBorder="1" applyAlignment="1" applyProtection="1">
      <alignment horizontal="center" vertical="center"/>
    </xf>
    <xf numFmtId="176" fontId="51" fillId="0" borderId="179" xfId="0" applyNumberFormat="1" applyFont="1" applyFill="1" applyBorder="1" applyAlignment="1" applyProtection="1">
      <alignment horizontal="center" vertical="center"/>
    </xf>
    <xf numFmtId="167" fontId="193" fillId="0" borderId="180" xfId="0" applyNumberFormat="1" applyFont="1" applyFill="1" applyBorder="1" applyAlignment="1" applyProtection="1">
      <alignment horizontal="center" vertical="center"/>
    </xf>
    <xf numFmtId="190" fontId="51" fillId="0" borderId="180" xfId="0" applyNumberFormat="1" applyFont="1" applyFill="1" applyBorder="1" applyAlignment="1">
      <alignment horizontal="center" vertical="center"/>
    </xf>
    <xf numFmtId="166" fontId="51" fillId="0" borderId="181" xfId="0" applyNumberFormat="1" applyFont="1" applyFill="1" applyBorder="1" applyAlignment="1" applyProtection="1">
      <alignment horizontal="center" vertical="center"/>
    </xf>
    <xf numFmtId="176" fontId="50" fillId="0" borderId="182" xfId="1" applyNumberFormat="1" applyFont="1" applyFill="1" applyBorder="1" applyAlignment="1" applyProtection="1">
      <alignment horizontal="center" vertical="center"/>
    </xf>
    <xf numFmtId="0" fontId="24" fillId="0" borderId="183" xfId="8" applyFont="1" applyFill="1" applyBorder="1" applyAlignment="1" applyProtection="1">
      <alignment horizontal="center" vertical="center" wrapText="1"/>
    </xf>
    <xf numFmtId="0" fontId="53" fillId="0" borderId="187" xfId="0" applyFont="1" applyFill="1" applyBorder="1" applyAlignment="1" applyProtection="1">
      <alignment horizontal="center" vertical="center"/>
    </xf>
    <xf numFmtId="0" fontId="68" fillId="0" borderId="187" xfId="0" applyNumberFormat="1" applyFont="1" applyFill="1" applyBorder="1" applyAlignment="1" applyProtection="1">
      <alignment horizontal="center" vertical="center" wrapText="1"/>
    </xf>
    <xf numFmtId="0" fontId="68" fillId="0" borderId="188" xfId="0" applyNumberFormat="1" applyFont="1" applyFill="1" applyBorder="1" applyAlignment="1" applyProtection="1">
      <alignment horizontal="center" vertical="center" wrapText="1"/>
    </xf>
    <xf numFmtId="165" fontId="50" fillId="0" borderId="189" xfId="1" applyNumberFormat="1" applyFont="1" applyFill="1" applyBorder="1" applyAlignment="1" applyProtection="1">
      <alignment horizontal="center" vertical="center"/>
    </xf>
    <xf numFmtId="170" fontId="53" fillId="0" borderId="190" xfId="0" applyNumberFormat="1" applyFont="1" applyFill="1" applyBorder="1" applyAlignment="1" applyProtection="1">
      <alignment horizontal="right" vertical="center"/>
    </xf>
    <xf numFmtId="170" fontId="53" fillId="0" borderId="191" xfId="1" applyNumberFormat="1" applyFont="1" applyFill="1" applyBorder="1" applyAlignment="1" applyProtection="1">
      <alignment horizontal="center" vertical="center"/>
    </xf>
    <xf numFmtId="170" fontId="53" fillId="0" borderId="192" xfId="0" applyNumberFormat="1" applyFont="1" applyFill="1" applyBorder="1" applyAlignment="1" applyProtection="1">
      <alignment horizontal="center" vertical="center"/>
    </xf>
    <xf numFmtId="176" fontId="51" fillId="0" borderId="193" xfId="0" applyNumberFormat="1" applyFont="1" applyFill="1" applyBorder="1" applyAlignment="1" applyProtection="1">
      <alignment horizontal="center" vertical="center"/>
    </xf>
    <xf numFmtId="170" fontId="68" fillId="0" borderId="194" xfId="8" applyNumberFormat="1" applyFont="1" applyFill="1" applyBorder="1" applyAlignment="1" applyProtection="1">
      <alignment vertical="center"/>
    </xf>
    <xf numFmtId="190" fontId="51" fillId="0" borderId="194" xfId="0" applyNumberFormat="1" applyFont="1" applyFill="1" applyBorder="1" applyAlignment="1" applyProtection="1">
      <alignment horizontal="center" vertical="center"/>
    </xf>
    <xf numFmtId="170" fontId="68" fillId="0" borderId="195" xfId="8" applyNumberFormat="1" applyFont="1" applyFill="1" applyBorder="1" applyAlignment="1" applyProtection="1">
      <alignment vertical="center"/>
    </xf>
    <xf numFmtId="165" fontId="50" fillId="0" borderId="196" xfId="1" applyNumberFormat="1" applyFont="1" applyFill="1" applyBorder="1" applyAlignment="1" applyProtection="1">
      <alignment horizontal="center" vertical="center"/>
    </xf>
    <xf numFmtId="166" fontId="53" fillId="0" borderId="190" xfId="0" applyNumberFormat="1" applyFont="1" applyFill="1" applyBorder="1" applyAlignment="1" applyProtection="1">
      <alignment horizontal="right" vertical="center"/>
    </xf>
    <xf numFmtId="177" fontId="53" fillId="0" borderId="191" xfId="1" applyNumberFormat="1" applyFont="1" applyFill="1" applyBorder="1" applyAlignment="1" applyProtection="1">
      <alignment horizontal="center" vertical="center"/>
    </xf>
    <xf numFmtId="168" fontId="53" fillId="0" borderId="192" xfId="0" applyNumberFormat="1" applyFont="1" applyFill="1" applyBorder="1" applyAlignment="1" applyProtection="1">
      <alignment horizontal="center" vertical="center"/>
    </xf>
    <xf numFmtId="0" fontId="24" fillId="0" borderId="197" xfId="8" applyFont="1" applyFill="1" applyBorder="1" applyAlignment="1" applyProtection="1">
      <alignment horizontal="center" vertical="center"/>
    </xf>
    <xf numFmtId="0" fontId="199" fillId="0" borderId="201" xfId="0" applyFont="1" applyFill="1" applyBorder="1" applyAlignment="1" applyProtection="1">
      <alignment horizontal="center" vertical="center"/>
    </xf>
    <xf numFmtId="0" fontId="105" fillId="0" borderId="200" xfId="0" applyNumberFormat="1" applyFont="1" applyFill="1" applyBorder="1" applyAlignment="1">
      <alignment horizontal="center" vertical="center" wrapText="1"/>
    </xf>
    <xf numFmtId="0" fontId="105" fillId="0" borderId="202" xfId="0" applyNumberFormat="1" applyFont="1" applyFill="1" applyBorder="1" applyAlignment="1">
      <alignment horizontal="center" vertical="center" wrapText="1"/>
    </xf>
    <xf numFmtId="187" fontId="105" fillId="0" borderId="206" xfId="8" applyNumberFormat="1" applyFont="1" applyFill="1" applyBorder="1" applyAlignment="1" applyProtection="1">
      <alignment horizontal="center" vertical="center" wrapText="1"/>
    </xf>
    <xf numFmtId="187" fontId="105" fillId="0" borderId="199" xfId="8" applyNumberFormat="1" applyFont="1" applyFill="1" applyBorder="1" applyAlignment="1" applyProtection="1">
      <alignment horizontal="center" vertical="center" wrapText="1"/>
    </xf>
    <xf numFmtId="187" fontId="105" fillId="0" borderId="200" xfId="8" applyNumberFormat="1" applyFont="1" applyFill="1" applyBorder="1" applyAlignment="1" applyProtection="1">
      <alignment horizontal="center" vertical="center" wrapText="1"/>
    </xf>
    <xf numFmtId="0" fontId="14" fillId="14" borderId="173" xfId="0" applyFont="1" applyFill="1" applyBorder="1" applyAlignment="1">
      <alignment horizontal="center" vertical="center"/>
    </xf>
    <xf numFmtId="0" fontId="14" fillId="14" borderId="173" xfId="0" applyNumberFormat="1" applyFont="1" applyFill="1" applyBorder="1" applyAlignment="1" applyProtection="1">
      <alignment horizontal="center" vertical="center" wrapText="1"/>
    </xf>
    <xf numFmtId="0" fontId="14" fillId="14" borderId="174" xfId="0" applyNumberFormat="1" applyFont="1" applyFill="1" applyBorder="1" applyAlignment="1" applyProtection="1">
      <alignment horizontal="center" vertical="center" wrapText="1"/>
    </xf>
    <xf numFmtId="167" fontId="68" fillId="0" borderId="180" xfId="8" applyNumberFormat="1" applyFont="1" applyFill="1" applyBorder="1" applyAlignment="1" applyProtection="1">
      <alignment horizontal="center" vertical="center"/>
    </xf>
    <xf numFmtId="190" fontId="51" fillId="0" borderId="180" xfId="0" applyNumberFormat="1" applyFont="1" applyFill="1" applyBorder="1" applyAlignment="1">
      <alignment horizontal="center" vertical="center" wrapText="1"/>
    </xf>
    <xf numFmtId="166" fontId="68" fillId="0" borderId="181" xfId="8" applyNumberFormat="1" applyFont="1" applyFill="1" applyBorder="1" applyAlignment="1" applyProtection="1">
      <alignment horizontal="center" vertical="center"/>
    </xf>
    <xf numFmtId="0" fontId="24" fillId="0" borderId="210" xfId="8" applyFont="1" applyFill="1" applyBorder="1" applyAlignment="1" applyProtection="1">
      <alignment horizontal="center" vertical="center" wrapText="1"/>
    </xf>
    <xf numFmtId="0" fontId="10" fillId="14" borderId="187" xfId="0" applyFont="1" applyFill="1" applyBorder="1" applyAlignment="1" applyProtection="1">
      <alignment horizontal="center" vertical="center"/>
    </xf>
    <xf numFmtId="0" fontId="14" fillId="14" borderId="187" xfId="0" applyNumberFormat="1" applyFont="1" applyFill="1" applyBorder="1" applyAlignment="1" applyProtection="1">
      <alignment horizontal="center" vertical="center" wrapText="1"/>
    </xf>
    <xf numFmtId="0" fontId="14" fillId="14" borderId="188" xfId="0" applyNumberFormat="1" applyFont="1" applyFill="1" applyBorder="1" applyAlignment="1" applyProtection="1">
      <alignment horizontal="center" vertical="center" wrapText="1"/>
    </xf>
    <xf numFmtId="167" fontId="193" fillId="0" borderId="194" xfId="0" applyNumberFormat="1" applyFont="1" applyFill="1" applyBorder="1" applyAlignment="1" applyProtection="1">
      <alignment horizontal="center" vertical="center"/>
    </xf>
    <xf numFmtId="190" fontId="51" fillId="0" borderId="194" xfId="0" applyNumberFormat="1" applyFont="1" applyFill="1" applyBorder="1" applyAlignment="1">
      <alignment horizontal="center" vertical="center"/>
    </xf>
    <xf numFmtId="166" fontId="51" fillId="0" borderId="195" xfId="0" applyNumberFormat="1" applyFont="1" applyFill="1" applyBorder="1" applyAlignment="1" applyProtection="1">
      <alignment horizontal="center" vertical="center"/>
    </xf>
    <xf numFmtId="0" fontId="24" fillId="0" borderId="197" xfId="8"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0" fillId="0" borderId="3"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38" fillId="0" borderId="1" xfId="0" applyFont="1" applyFill="1" applyBorder="1" applyAlignment="1">
      <alignment horizontal="center" vertical="center"/>
    </xf>
    <xf numFmtId="0" fontId="24" fillId="0" borderId="1" xfId="0" applyFont="1" applyFill="1" applyBorder="1" applyAlignment="1" applyProtection="1">
      <alignment horizontal="center" vertical="center" wrapText="1"/>
    </xf>
    <xf numFmtId="14" fontId="40" fillId="0" borderId="69" xfId="8" applyNumberFormat="1" applyFont="1" applyFill="1" applyBorder="1" applyAlignment="1" applyProtection="1">
      <alignment horizontal="left" vertical="center"/>
    </xf>
    <xf numFmtId="0" fontId="38" fillId="0" borderId="9" xfId="0" applyFont="1" applyFill="1" applyBorder="1" applyAlignment="1">
      <alignment horizontal="center" vertical="center" wrapText="1"/>
    </xf>
    <xf numFmtId="0" fontId="38" fillId="0" borderId="0" xfId="0" applyFont="1" applyFill="1" applyBorder="1" applyAlignment="1" applyProtection="1">
      <alignment horizontal="center" vertical="center" wrapText="1"/>
      <protection locked="0"/>
    </xf>
    <xf numFmtId="0" fontId="111"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75" fillId="0" borderId="1" xfId="0" applyFont="1" applyFill="1" applyBorder="1" applyAlignment="1" applyProtection="1">
      <alignment horizontal="center" vertical="center"/>
    </xf>
    <xf numFmtId="41" fontId="50" fillId="0" borderId="1" xfId="0" applyNumberFormat="1" applyFont="1" applyFill="1" applyBorder="1" applyAlignment="1" applyProtection="1">
      <alignment horizontal="center" vertical="center" wrapText="1"/>
      <protection locked="0"/>
    </xf>
    <xf numFmtId="41" fontId="50" fillId="0" borderId="5"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xf>
    <xf numFmtId="0" fontId="52" fillId="0" borderId="1" xfId="4" applyFont="1" applyBorder="1" applyAlignment="1">
      <alignment horizontal="center" vertical="center"/>
    </xf>
    <xf numFmtId="0" fontId="0" fillId="0" borderId="0" xfId="0" applyFont="1" applyBorder="1" applyAlignment="1">
      <alignment vertical="center"/>
    </xf>
    <xf numFmtId="0" fontId="38" fillId="5" borderId="0" xfId="0" applyFont="1" applyFill="1" applyBorder="1" applyAlignment="1" applyProtection="1">
      <alignment horizontal="center" vertical="center" wrapText="1"/>
      <protection locked="0"/>
    </xf>
    <xf numFmtId="0" fontId="50" fillId="0" borderId="103" xfId="0" applyFont="1" applyFill="1" applyBorder="1" applyAlignment="1" applyProtection="1">
      <alignment horizontal="center" vertical="center"/>
    </xf>
    <xf numFmtId="0" fontId="50" fillId="0" borderId="100" xfId="0" applyFont="1" applyFill="1" applyBorder="1" applyAlignment="1" applyProtection="1">
      <alignment vertical="center"/>
    </xf>
    <xf numFmtId="176" fontId="50" fillId="0" borderId="101" xfId="0" applyNumberFormat="1" applyFont="1" applyFill="1" applyBorder="1" applyAlignment="1">
      <alignment horizontal="center" vertical="center"/>
    </xf>
    <xf numFmtId="176" fontId="50" fillId="0" borderId="100" xfId="0" applyNumberFormat="1" applyFont="1" applyFill="1" applyBorder="1" applyAlignment="1">
      <alignment horizontal="center" vertical="center"/>
    </xf>
    <xf numFmtId="176" fontId="50" fillId="0" borderId="46" xfId="0" applyNumberFormat="1" applyFont="1" applyFill="1" applyBorder="1" applyAlignment="1">
      <alignment horizontal="center" vertical="center"/>
    </xf>
    <xf numFmtId="176" fontId="50" fillId="0" borderId="100" xfId="0" applyNumberFormat="1" applyFont="1" applyFill="1" applyBorder="1" applyAlignment="1" applyProtection="1">
      <alignment horizontal="center" vertical="center"/>
    </xf>
    <xf numFmtId="176" fontId="50" fillId="0" borderId="106" xfId="0" applyNumberFormat="1" applyFont="1" applyFill="1" applyBorder="1" applyAlignment="1">
      <alignment horizontal="center" vertical="center"/>
    </xf>
    <xf numFmtId="165" fontId="50" fillId="0" borderId="101" xfId="0" applyNumberFormat="1" applyFont="1" applyFill="1" applyBorder="1" applyAlignment="1">
      <alignment horizontal="center" vertical="center"/>
    </xf>
    <xf numFmtId="169" fontId="50" fillId="0" borderId="101" xfId="0" applyNumberFormat="1" applyFont="1" applyFill="1" applyBorder="1" applyAlignment="1">
      <alignment horizontal="center" vertical="center"/>
    </xf>
    <xf numFmtId="169" fontId="50" fillId="0" borderId="100" xfId="0" applyNumberFormat="1" applyFont="1" applyFill="1" applyBorder="1" applyAlignment="1">
      <alignment horizontal="center" vertical="center"/>
    </xf>
    <xf numFmtId="166" fontId="50" fillId="0" borderId="100" xfId="0" applyNumberFormat="1" applyFont="1" applyFill="1" applyBorder="1" applyAlignment="1">
      <alignment horizontal="center" vertical="center"/>
    </xf>
    <xf numFmtId="171" fontId="50" fillId="0" borderId="100" xfId="0" applyNumberFormat="1" applyFont="1" applyFill="1" applyBorder="1" applyAlignment="1" applyProtection="1">
      <alignment horizontal="center" vertical="center"/>
    </xf>
    <xf numFmtId="168" fontId="50" fillId="0" borderId="106" xfId="0" applyNumberFormat="1" applyFont="1" applyFill="1" applyBorder="1" applyAlignment="1">
      <alignment horizontal="center" vertical="center"/>
    </xf>
    <xf numFmtId="170" fontId="50" fillId="0" borderId="101" xfId="0" applyNumberFormat="1" applyFont="1" applyFill="1" applyBorder="1" applyAlignment="1">
      <alignment horizontal="center" vertical="center"/>
    </xf>
    <xf numFmtId="165" fontId="50" fillId="0" borderId="101" xfId="1" applyFont="1" applyFill="1" applyBorder="1" applyAlignment="1">
      <alignment horizontal="center" vertical="center"/>
    </xf>
    <xf numFmtId="168" fontId="50" fillId="0" borderId="46" xfId="0" applyNumberFormat="1" applyFont="1" applyFill="1" applyBorder="1" applyAlignment="1">
      <alignment horizontal="center" vertical="center"/>
    </xf>
    <xf numFmtId="168" fontId="50" fillId="0" borderId="101" xfId="0" applyNumberFormat="1" applyFont="1" applyFill="1" applyBorder="1" applyAlignment="1">
      <alignment horizontal="center" vertical="center"/>
    </xf>
    <xf numFmtId="0" fontId="50" fillId="0" borderId="101" xfId="0" applyFont="1" applyFill="1" applyBorder="1" applyAlignment="1" applyProtection="1">
      <alignment horizontal="centerContinuous" vertical="center" wrapText="1"/>
    </xf>
    <xf numFmtId="0" fontId="50" fillId="0" borderId="100" xfId="0" applyFont="1" applyFill="1" applyBorder="1" applyAlignment="1" applyProtection="1">
      <alignment horizontal="centerContinuous" vertical="center" wrapText="1"/>
    </xf>
    <xf numFmtId="0" fontId="93" fillId="0" borderId="46" xfId="0" applyFont="1" applyBorder="1" applyAlignment="1">
      <alignment horizontal="centerContinuous" vertical="center" wrapText="1"/>
    </xf>
    <xf numFmtId="170" fontId="38" fillId="0" borderId="101" xfId="0" applyNumberFormat="1" applyFont="1" applyFill="1" applyBorder="1" applyAlignment="1">
      <alignment horizontal="center" vertical="center"/>
    </xf>
    <xf numFmtId="170" fontId="38" fillId="0" borderId="101" xfId="0" applyNumberFormat="1" applyFont="1" applyFill="1" applyBorder="1" applyAlignment="1">
      <alignment horizontal="left" vertical="center"/>
    </xf>
    <xf numFmtId="170" fontId="38" fillId="0" borderId="101" xfId="0" applyNumberFormat="1" applyFont="1" applyFill="1" applyBorder="1" applyAlignment="1">
      <alignment horizontal="right" vertical="center"/>
    </xf>
    <xf numFmtId="170" fontId="38" fillId="0" borderId="101" xfId="0" applyNumberFormat="1" applyFont="1" applyFill="1" applyBorder="1" applyAlignment="1" applyProtection="1">
      <alignment horizontal="center" vertical="center"/>
    </xf>
    <xf numFmtId="171" fontId="38" fillId="0" borderId="101" xfId="0" applyNumberFormat="1" applyFont="1" applyFill="1" applyBorder="1" applyAlignment="1" applyProtection="1">
      <alignment horizontal="center" vertical="center"/>
    </xf>
    <xf numFmtId="14" fontId="25" fillId="0" borderId="7" xfId="8" applyNumberFormat="1" applyFont="1" applyFill="1" applyBorder="1" applyAlignment="1" applyProtection="1">
      <alignment horizontal="center" wrapText="1"/>
      <protection locked="0"/>
    </xf>
    <xf numFmtId="0" fontId="38" fillId="0" borderId="3" xfId="0" applyFont="1" applyFill="1" applyBorder="1" applyAlignment="1" applyProtection="1">
      <alignment horizontal="center"/>
    </xf>
    <xf numFmtId="0" fontId="38" fillId="0" borderId="1" xfId="0" applyFont="1" applyFill="1" applyBorder="1" applyAlignment="1" applyProtection="1">
      <alignment horizontal="center"/>
    </xf>
    <xf numFmtId="0" fontId="25" fillId="0" borderId="1" xfId="0" applyFont="1" applyFill="1" applyBorder="1" applyAlignment="1" applyProtection="1">
      <alignment horizontal="center"/>
    </xf>
    <xf numFmtId="0" fontId="24" fillId="0" borderId="0" xfId="0" applyFont="1" applyFill="1" applyAlignment="1" applyProtection="1">
      <alignment horizontal="center"/>
      <protection locked="0"/>
    </xf>
    <xf numFmtId="0" fontId="50" fillId="0" borderId="90" xfId="0" applyFont="1" applyFill="1" applyBorder="1" applyAlignment="1" applyProtection="1">
      <alignment horizontal="center" vertical="center"/>
    </xf>
    <xf numFmtId="20" fontId="98" fillId="0" borderId="7" xfId="8" applyNumberFormat="1" applyFont="1" applyFill="1" applyBorder="1" applyAlignment="1" applyProtection="1">
      <alignment horizontal="left" vertical="center" wrapText="1"/>
      <protection locked="0"/>
    </xf>
    <xf numFmtId="0" fontId="38" fillId="0" borderId="9" xfId="0" applyFont="1" applyFill="1" applyBorder="1" applyAlignment="1" applyProtection="1">
      <alignment horizontal="center" vertical="center" wrapText="1"/>
      <protection locked="0"/>
    </xf>
    <xf numFmtId="0" fontId="38" fillId="0" borderId="0" xfId="0" applyFont="1" applyFill="1" applyBorder="1" applyAlignment="1" applyProtection="1">
      <alignment horizontal="center" vertical="center" wrapText="1"/>
      <protection locked="0"/>
    </xf>
    <xf numFmtId="0" fontId="75" fillId="0" borderId="5" xfId="0" applyFont="1" applyFill="1" applyBorder="1" applyAlignment="1" applyProtection="1">
      <alignment horizontal="centerContinuous" vertical="center"/>
    </xf>
    <xf numFmtId="0" fontId="75" fillId="0" borderId="9" xfId="0" applyFont="1" applyFill="1" applyBorder="1" applyAlignment="1" applyProtection="1">
      <alignment horizontal="centerContinuous" vertical="center" wrapText="1"/>
    </xf>
    <xf numFmtId="0" fontId="75" fillId="0" borderId="6" xfId="0" applyFont="1" applyFill="1" applyBorder="1" applyAlignment="1" applyProtection="1">
      <alignment horizontal="centerContinuous" vertical="center" wrapText="1"/>
    </xf>
    <xf numFmtId="0" fontId="24" fillId="0" borderId="6"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177" fontId="38" fillId="0" borderId="1" xfId="0" applyNumberFormat="1" applyFont="1" applyFill="1" applyBorder="1" applyAlignment="1" applyProtection="1">
      <alignment horizontal="center" vertical="center" wrapText="1"/>
      <protection locked="0"/>
    </xf>
    <xf numFmtId="177" fontId="38" fillId="0" borderId="6" xfId="0" applyNumberFormat="1"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wrapText="1"/>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53" fillId="0" borderId="1" xfId="0" applyFont="1" applyBorder="1" applyAlignment="1" applyProtection="1">
      <alignment horizontal="center" vertical="center"/>
    </xf>
    <xf numFmtId="177" fontId="38" fillId="0" borderId="0"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53" fillId="0" borderId="3" xfId="0" applyFont="1" applyFill="1" applyBorder="1" applyAlignment="1" applyProtection="1">
      <alignment horizontal="center" vertical="center"/>
    </xf>
    <xf numFmtId="0" fontId="24" fillId="0" borderId="87"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xf>
    <xf numFmtId="10" fontId="51" fillId="0" borderId="141" xfId="7" applyNumberFormat="1" applyFont="1" applyFill="1" applyBorder="1" applyAlignment="1" applyProtection="1">
      <alignment horizontal="center" vertical="center"/>
    </xf>
    <xf numFmtId="190" fontId="51" fillId="0" borderId="142" xfId="0" applyNumberFormat="1" applyFont="1" applyFill="1" applyBorder="1" applyAlignment="1">
      <alignment horizontal="center" vertical="center"/>
    </xf>
    <xf numFmtId="0" fontId="24" fillId="0" borderId="5" xfId="8" applyNumberFormat="1" applyFont="1" applyFill="1" applyBorder="1" applyAlignment="1" applyProtection="1">
      <alignment horizontal="centerContinuous" vertical="center" wrapText="1"/>
    </xf>
    <xf numFmtId="0" fontId="24" fillId="0" borderId="9" xfId="8" applyNumberFormat="1" applyFont="1" applyFill="1" applyBorder="1" applyAlignment="1" applyProtection="1">
      <alignment horizontal="centerContinuous" vertical="center" wrapText="1"/>
    </xf>
    <xf numFmtId="0" fontId="24" fillId="0" borderId="6" xfId="8" applyNumberFormat="1" applyFont="1" applyFill="1" applyBorder="1" applyAlignment="1" applyProtection="1">
      <alignment horizontal="centerContinuous" vertical="center" wrapText="1"/>
    </xf>
    <xf numFmtId="0" fontId="59" fillId="0" borderId="0" xfId="0" applyFont="1" applyAlignment="1" applyProtection="1">
      <alignment horizontal="centerContinuous" vertical="center" wrapText="1"/>
    </xf>
    <xf numFmtId="0" fontId="57" fillId="0" borderId="0" xfId="0" applyFont="1" applyAlignment="1" applyProtection="1">
      <alignment horizontal="centerContinuous" vertical="center" wrapText="1"/>
    </xf>
    <xf numFmtId="0" fontId="194" fillId="0" borderId="0" xfId="0" applyFont="1" applyAlignment="1" applyProtection="1">
      <alignment horizontal="centerContinuous" vertical="center" wrapText="1"/>
    </xf>
    <xf numFmtId="0" fontId="60" fillId="0" borderId="0" xfId="8" applyFont="1" applyFill="1" applyBorder="1" applyAlignment="1" applyProtection="1">
      <alignment horizontal="centerContinuous" vertical="center" wrapText="1"/>
    </xf>
    <xf numFmtId="0" fontId="60" fillId="0" borderId="16" xfId="8" applyFont="1" applyFill="1" applyBorder="1" applyAlignment="1" applyProtection="1">
      <alignment horizontal="centerContinuous" vertical="center" wrapText="1"/>
    </xf>
    <xf numFmtId="0" fontId="59" fillId="0" borderId="0" xfId="0" applyFont="1" applyFill="1" applyAlignment="1" applyProtection="1">
      <alignment horizontal="centerContinuous" vertical="center" wrapText="1"/>
    </xf>
    <xf numFmtId="0" fontId="57" fillId="0" borderId="0" xfId="0" applyFont="1" applyFill="1" applyBorder="1" applyAlignment="1" applyProtection="1">
      <alignment horizontal="centerContinuous" vertical="center" wrapText="1"/>
    </xf>
    <xf numFmtId="0" fontId="194" fillId="0" borderId="0" xfId="0" applyFont="1" applyFill="1" applyBorder="1" applyAlignment="1" applyProtection="1">
      <alignment horizontal="centerContinuous" vertical="center" wrapText="1"/>
    </xf>
    <xf numFmtId="0" fontId="52" fillId="0" borderId="0" xfId="0" applyFont="1" applyFill="1" applyBorder="1" applyAlignment="1" applyProtection="1">
      <alignment horizontal="centerContinuous" vertical="center" wrapText="1"/>
    </xf>
    <xf numFmtId="0" fontId="68" fillId="0" borderId="0" xfId="0" applyFont="1" applyFill="1" applyBorder="1" applyAlignment="1" applyProtection="1">
      <alignment horizontal="centerContinuous" vertical="center" wrapText="1"/>
    </xf>
    <xf numFmtId="0" fontId="194" fillId="0" borderId="0" xfId="0" applyFont="1" applyFill="1" applyAlignment="1" applyProtection="1">
      <alignment horizontal="centerContinuous" vertical="center" wrapText="1"/>
    </xf>
    <xf numFmtId="0" fontId="62" fillId="0" borderId="5" xfId="0" applyFont="1" applyFill="1" applyBorder="1" applyAlignment="1" applyProtection="1">
      <alignment horizontal="centerContinuous" vertical="center" wrapText="1"/>
    </xf>
    <xf numFmtId="0" fontId="62" fillId="0" borderId="9" xfId="0" applyFont="1" applyFill="1" applyBorder="1" applyAlignment="1" applyProtection="1">
      <alignment horizontal="centerContinuous" vertical="center" wrapText="1"/>
    </xf>
    <xf numFmtId="0" fontId="62" fillId="0" borderId="6" xfId="0" applyFont="1" applyFill="1" applyBorder="1" applyAlignment="1" applyProtection="1">
      <alignment horizontal="centerContinuous" vertical="center" wrapText="1"/>
    </xf>
    <xf numFmtId="0" fontId="133" fillId="0" borderId="0" xfId="0" applyFont="1" applyAlignment="1" applyProtection="1">
      <alignment horizontal="centerContinuous" vertical="center" wrapText="1"/>
    </xf>
    <xf numFmtId="0" fontId="195" fillId="0" borderId="0" xfId="0" applyFont="1" applyAlignment="1" applyProtection="1">
      <alignment horizontal="centerContinuous" vertical="center" wrapText="1"/>
    </xf>
    <xf numFmtId="0" fontId="65" fillId="0" borderId="0" xfId="0" applyFont="1" applyBorder="1" applyAlignment="1" applyProtection="1">
      <alignment horizontal="centerContinuous" vertical="center" wrapText="1"/>
    </xf>
    <xf numFmtId="0" fontId="65" fillId="0" borderId="5" xfId="0" applyFont="1" applyBorder="1" applyAlignment="1" applyProtection="1">
      <alignment horizontal="centerContinuous" vertical="center" wrapText="1"/>
    </xf>
    <xf numFmtId="0" fontId="65" fillId="0" borderId="9" xfId="0" applyFont="1" applyBorder="1" applyAlignment="1" applyProtection="1">
      <alignment horizontal="centerContinuous" vertical="center" wrapText="1"/>
    </xf>
    <xf numFmtId="0" fontId="65" fillId="0" borderId="6" xfId="0" applyFont="1" applyBorder="1" applyAlignment="1" applyProtection="1">
      <alignment horizontal="centerContinuous" vertical="center" wrapText="1"/>
    </xf>
    <xf numFmtId="0" fontId="38" fillId="0" borderId="6"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protection locked="0"/>
    </xf>
    <xf numFmtId="0" fontId="38" fillId="13" borderId="1" xfId="0" applyFont="1" applyFill="1" applyBorder="1" applyAlignment="1">
      <alignment horizontal="center" vertical="center"/>
    </xf>
    <xf numFmtId="0" fontId="38" fillId="0" borderId="1" xfId="0" applyFont="1" applyFill="1" applyBorder="1" applyAlignment="1">
      <alignment horizontal="center" vertical="center"/>
    </xf>
    <xf numFmtId="0" fontId="99" fillId="0" borderId="1" xfId="84" applyFill="1" applyBorder="1" applyAlignment="1" applyProtection="1">
      <alignment horizontal="left" vertical="center"/>
    </xf>
    <xf numFmtId="0" fontId="24" fillId="0" borderId="5" xfId="0" applyFont="1" applyFill="1" applyBorder="1" applyAlignment="1" applyProtection="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0" fontId="24" fillId="0" borderId="4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214" xfId="0" applyFont="1" applyFill="1" applyBorder="1" applyAlignment="1">
      <alignment horizontal="center" vertical="center" wrapText="1"/>
    </xf>
    <xf numFmtId="0" fontId="38" fillId="0" borderId="12" xfId="0" applyFont="1" applyFill="1" applyBorder="1" applyAlignment="1">
      <alignment vertical="center" wrapText="1"/>
    </xf>
    <xf numFmtId="0" fontId="38" fillId="0" borderId="1" xfId="0" applyFont="1" applyFill="1" applyBorder="1" applyAlignment="1">
      <alignment vertical="center" wrapText="1"/>
    </xf>
    <xf numFmtId="0" fontId="205" fillId="0" borderId="1" xfId="84" applyFont="1" applyFill="1" applyBorder="1" applyAlignment="1" applyProtection="1">
      <alignment horizontal="left" vertical="center"/>
    </xf>
    <xf numFmtId="0" fontId="99" fillId="0" borderId="0" xfId="84" applyFill="1" applyAlignment="1" applyProtection="1">
      <alignment horizontal="left" vertical="center"/>
    </xf>
    <xf numFmtId="0" fontId="50" fillId="0" borderId="1" xfId="0" applyFont="1" applyFill="1" applyBorder="1" applyAlignment="1">
      <alignment horizontal="left" vertical="center"/>
    </xf>
    <xf numFmtId="0" fontId="38" fillId="13" borderId="1" xfId="0" applyFont="1" applyFill="1" applyBorder="1" applyAlignment="1" applyProtection="1">
      <alignment horizontal="center" vertical="center" wrapText="1"/>
    </xf>
    <xf numFmtId="0" fontId="24" fillId="35" borderId="0" xfId="0" applyFont="1" applyFill="1" applyAlignment="1">
      <alignment horizontal="left" vertical="center"/>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1" xfId="8" applyFont="1" applyFill="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1" xfId="0" applyFont="1" applyFill="1" applyBorder="1" applyAlignment="1">
      <alignment horizontal="center" vertical="center"/>
    </xf>
    <xf numFmtId="0" fontId="76" fillId="0" borderId="86" xfId="0" applyFont="1" applyFill="1" applyBorder="1" applyAlignment="1" applyProtection="1">
      <alignment horizontal="center" vertical="center"/>
    </xf>
    <xf numFmtId="0" fontId="94" fillId="11" borderId="0" xfId="0" applyFont="1" applyFill="1" applyAlignment="1">
      <alignment horizontal="centerContinuous" vertical="center"/>
    </xf>
    <xf numFmtId="0" fontId="94" fillId="11" borderId="7" xfId="0" applyFont="1" applyFill="1" applyBorder="1" applyAlignment="1">
      <alignment horizontal="centerContinuous" vertical="center"/>
    </xf>
    <xf numFmtId="174" fontId="38" fillId="11" borderId="9" xfId="0" applyNumberFormat="1" applyFont="1" applyFill="1" applyBorder="1" applyAlignment="1" applyProtection="1">
      <alignment vertical="center" wrapText="1"/>
    </xf>
    <xf numFmtId="0" fontId="38" fillId="11" borderId="9" xfId="0" quotePrefix="1" applyFont="1" applyFill="1" applyBorder="1" applyAlignment="1" applyProtection="1">
      <alignment horizontal="centerContinuous" vertical="center"/>
    </xf>
    <xf numFmtId="0" fontId="38" fillId="11" borderId="9" xfId="0" applyFont="1" applyFill="1" applyBorder="1" applyAlignment="1" applyProtection="1">
      <alignment vertical="center"/>
    </xf>
    <xf numFmtId="169" fontId="38" fillId="11" borderId="78" xfId="0" applyNumberFormat="1" applyFont="1" applyFill="1" applyBorder="1" applyAlignment="1">
      <alignment vertical="center" wrapText="1"/>
    </xf>
    <xf numFmtId="169" fontId="38" fillId="11" borderId="81" xfId="0" applyNumberFormat="1" applyFont="1" applyFill="1" applyBorder="1" applyAlignment="1">
      <alignment vertical="center" wrapText="1"/>
    </xf>
    <xf numFmtId="169" fontId="38" fillId="11" borderId="84" xfId="0" applyNumberFormat="1" applyFont="1" applyFill="1" applyBorder="1" applyAlignment="1">
      <alignment vertical="center" wrapText="1"/>
    </xf>
    <xf numFmtId="169" fontId="38" fillId="11" borderId="100" xfId="0" applyNumberFormat="1" applyFont="1" applyFill="1" applyBorder="1" applyAlignment="1">
      <alignment horizontal="center" vertical="center" wrapText="1"/>
    </xf>
    <xf numFmtId="170" fontId="38" fillId="11" borderId="100" xfId="0" applyNumberFormat="1" applyFont="1" applyFill="1" applyBorder="1" applyAlignment="1" applyProtection="1">
      <alignment horizontal="center" vertical="center"/>
      <protection locked="0"/>
    </xf>
    <xf numFmtId="169" fontId="38" fillId="11" borderId="100" xfId="0" applyNumberFormat="1" applyFont="1" applyFill="1" applyBorder="1" applyAlignment="1">
      <alignment horizontal="center" vertical="center"/>
    </xf>
    <xf numFmtId="167" fontId="38" fillId="11" borderId="100" xfId="0" applyNumberFormat="1" applyFont="1" applyFill="1" applyBorder="1" applyAlignment="1" applyProtection="1">
      <alignment horizontal="center" vertical="center"/>
      <protection locked="0"/>
    </xf>
    <xf numFmtId="167" fontId="38" fillId="11" borderId="100" xfId="0" applyNumberFormat="1" applyFont="1" applyFill="1" applyBorder="1" applyAlignment="1">
      <alignment horizontal="center" vertical="center"/>
    </xf>
    <xf numFmtId="0" fontId="38" fillId="11" borderId="69" xfId="0" applyFont="1" applyFill="1" applyBorder="1" applyAlignment="1" applyProtection="1">
      <alignment horizontal="centerContinuous" vertical="center"/>
    </xf>
    <xf numFmtId="0" fontId="38" fillId="11" borderId="100" xfId="0" applyFont="1" applyFill="1" applyBorder="1" applyAlignment="1" applyProtection="1">
      <alignment horizontal="centerContinuous" vertical="center" wrapText="1"/>
    </xf>
    <xf numFmtId="0" fontId="38" fillId="11" borderId="9" xfId="0" applyFont="1" applyFill="1" applyBorder="1" applyAlignment="1" applyProtection="1">
      <alignment horizontal="centerContinuous" vertical="center"/>
    </xf>
    <xf numFmtId="0" fontId="38" fillId="11" borderId="7" xfId="0" applyFont="1" applyFill="1" applyBorder="1" applyAlignment="1" applyProtection="1">
      <alignment vertical="center"/>
    </xf>
    <xf numFmtId="0" fontId="38" fillId="11" borderId="78" xfId="0" applyFont="1" applyFill="1" applyBorder="1" applyAlignment="1" applyProtection="1">
      <alignment horizontal="center" vertical="center"/>
    </xf>
    <xf numFmtId="0" fontId="38" fillId="11" borderId="84" xfId="0" applyFont="1" applyFill="1" applyBorder="1" applyAlignment="1" applyProtection="1">
      <alignment horizontal="center" vertical="center"/>
    </xf>
    <xf numFmtId="169" fontId="38" fillId="11" borderId="78" xfId="0" applyNumberFormat="1" applyFont="1" applyFill="1" applyBorder="1" applyAlignment="1">
      <alignment horizontal="center" vertical="center" wrapText="1"/>
    </xf>
    <xf numFmtId="169" fontId="38" fillId="11" borderId="84" xfId="0" applyNumberFormat="1" applyFont="1" applyFill="1" applyBorder="1" applyAlignment="1">
      <alignment horizontal="center" vertical="center" wrapText="1"/>
    </xf>
    <xf numFmtId="0" fontId="38" fillId="11" borderId="100" xfId="0" applyFont="1" applyFill="1" applyBorder="1" applyAlignment="1" applyProtection="1">
      <alignment horizontal="center" vertical="center"/>
    </xf>
    <xf numFmtId="165" fontId="38" fillId="11" borderId="100" xfId="0" applyNumberFormat="1" applyFont="1" applyFill="1" applyBorder="1" applyAlignment="1">
      <alignment horizontal="center" vertical="center"/>
    </xf>
    <xf numFmtId="0" fontId="38" fillId="11" borderId="7" xfId="0" applyFont="1" applyFill="1" applyBorder="1" applyAlignment="1">
      <alignment horizontal="center" vertical="center"/>
    </xf>
    <xf numFmtId="170" fontId="38" fillId="11" borderId="112" xfId="0" applyNumberFormat="1" applyFont="1" applyFill="1" applyBorder="1" applyAlignment="1" applyProtection="1">
      <alignment horizontal="center" vertical="center"/>
      <protection locked="0"/>
    </xf>
    <xf numFmtId="169" fontId="38" fillId="11" borderId="158" xfId="0" applyNumberFormat="1" applyFont="1" applyFill="1" applyBorder="1" applyAlignment="1">
      <alignment horizontal="center" vertical="center"/>
    </xf>
    <xf numFmtId="165" fontId="38" fillId="11" borderId="100" xfId="1" applyFont="1" applyFill="1" applyBorder="1" applyAlignment="1" applyProtection="1">
      <alignment vertical="center"/>
    </xf>
    <xf numFmtId="165" fontId="38" fillId="11" borderId="100" xfId="0" applyNumberFormat="1" applyFont="1" applyFill="1" applyBorder="1" applyAlignment="1" applyProtection="1">
      <alignment vertical="center"/>
      <protection locked="0"/>
    </xf>
    <xf numFmtId="0" fontId="38" fillId="11" borderId="110" xfId="0" applyFont="1" applyFill="1" applyBorder="1" applyAlignment="1">
      <alignment horizontal="center" vertical="center"/>
    </xf>
    <xf numFmtId="0" fontId="94" fillId="11" borderId="69" xfId="0" applyFont="1" applyFill="1" applyBorder="1" applyAlignment="1">
      <alignment horizontal="centerContinuous" vertical="center"/>
    </xf>
    <xf numFmtId="174" fontId="95" fillId="11" borderId="9" xfId="0" applyNumberFormat="1" applyFont="1" applyFill="1" applyBorder="1" applyAlignment="1" applyProtection="1">
      <alignment vertical="center" wrapText="1"/>
    </xf>
    <xf numFmtId="177" fontId="51" fillId="11" borderId="78" xfId="0" applyNumberFormat="1" applyFont="1" applyFill="1" applyBorder="1" applyAlignment="1" applyProtection="1">
      <alignment vertical="center"/>
    </xf>
    <xf numFmtId="177" fontId="51" fillId="11" borderId="81" xfId="0" applyNumberFormat="1" applyFont="1" applyFill="1" applyBorder="1" applyAlignment="1" applyProtection="1">
      <alignment vertical="center"/>
    </xf>
    <xf numFmtId="177" fontId="51" fillId="11" borderId="84" xfId="0" applyNumberFormat="1" applyFont="1" applyFill="1" applyBorder="1" applyAlignment="1" applyProtection="1">
      <alignment vertical="center"/>
    </xf>
    <xf numFmtId="167" fontId="38" fillId="11" borderId="100" xfId="0" applyNumberFormat="1" applyFont="1" applyFill="1" applyBorder="1" applyAlignment="1" applyProtection="1">
      <alignment horizontal="center" vertical="center"/>
    </xf>
    <xf numFmtId="168" fontId="38" fillId="11" borderId="100" xfId="0" applyNumberFormat="1" applyFont="1" applyFill="1" applyBorder="1" applyAlignment="1" applyProtection="1">
      <alignment horizontal="center" vertical="center"/>
    </xf>
    <xf numFmtId="171" fontId="38" fillId="11" borderId="100" xfId="0" applyNumberFormat="1" applyFont="1" applyFill="1" applyBorder="1" applyAlignment="1" applyProtection="1">
      <alignment horizontal="center" vertical="center"/>
    </xf>
    <xf numFmtId="168" fontId="51" fillId="11" borderId="100" xfId="0" applyNumberFormat="1" applyFont="1" applyFill="1" applyBorder="1" applyAlignment="1" applyProtection="1">
      <alignment horizontal="center" vertical="center" shrinkToFit="1"/>
    </xf>
    <xf numFmtId="0" fontId="38" fillId="11" borderId="69" xfId="0" applyFont="1" applyFill="1" applyBorder="1" applyAlignment="1" applyProtection="1">
      <alignment vertical="center"/>
    </xf>
    <xf numFmtId="167" fontId="38" fillId="11" borderId="78" xfId="0" applyNumberFormat="1" applyFont="1" applyFill="1" applyBorder="1" applyAlignment="1" applyProtection="1">
      <alignment horizontal="center" vertical="center"/>
    </xf>
    <xf numFmtId="167" fontId="38" fillId="11" borderId="84" xfId="0" applyNumberFormat="1" applyFont="1" applyFill="1" applyBorder="1" applyAlignment="1" applyProtection="1">
      <alignment horizontal="center" vertical="center"/>
    </xf>
    <xf numFmtId="177" fontId="51" fillId="11" borderId="100" xfId="0" applyNumberFormat="1" applyFont="1" applyFill="1" applyBorder="1" applyAlignment="1" applyProtection="1">
      <alignment vertical="center" shrinkToFit="1"/>
    </xf>
    <xf numFmtId="165" fontId="51" fillId="11" borderId="100" xfId="0" applyNumberFormat="1" applyFont="1" applyFill="1" applyBorder="1" applyAlignment="1" applyProtection="1">
      <alignment vertical="center" shrinkToFit="1"/>
    </xf>
    <xf numFmtId="0" fontId="38" fillId="11" borderId="69" xfId="0" applyFont="1" applyFill="1" applyBorder="1" applyAlignment="1">
      <alignment horizontal="center" vertical="center"/>
    </xf>
    <xf numFmtId="167" fontId="38" fillId="11" borderId="112" xfId="0" applyNumberFormat="1" applyFont="1" applyFill="1" applyBorder="1" applyAlignment="1" applyProtection="1">
      <alignment horizontal="center" vertical="center"/>
      <protection locked="0"/>
    </xf>
    <xf numFmtId="168" fontId="51" fillId="11" borderId="158" xfId="0" applyNumberFormat="1" applyFont="1" applyFill="1" applyBorder="1" applyAlignment="1" applyProtection="1">
      <alignment horizontal="center" vertical="center"/>
    </xf>
    <xf numFmtId="168" fontId="51" fillId="11" borderId="100" xfId="0" applyNumberFormat="1" applyFont="1" applyFill="1" applyBorder="1" applyAlignment="1" applyProtection="1">
      <alignment horizontal="center" vertical="center"/>
    </xf>
    <xf numFmtId="165" fontId="38" fillId="11" borderId="100" xfId="1" applyFont="1" applyFill="1" applyBorder="1" applyAlignment="1" applyProtection="1">
      <alignment horizontal="centerContinuous" vertical="center"/>
    </xf>
    <xf numFmtId="165" fontId="51" fillId="11" borderId="100" xfId="0" applyNumberFormat="1" applyFont="1" applyFill="1" applyBorder="1" applyAlignment="1" applyProtection="1">
      <alignment horizontal="center" vertical="center"/>
    </xf>
    <xf numFmtId="0" fontId="38" fillId="11" borderId="112" xfId="0" applyFont="1" applyFill="1" applyBorder="1" applyAlignment="1" applyProtection="1">
      <alignment horizontal="center" vertical="center"/>
    </xf>
    <xf numFmtId="0" fontId="38" fillId="11" borderId="0" xfId="0" applyFont="1" applyFill="1" applyBorder="1" applyAlignment="1" applyProtection="1">
      <alignment horizontal="centerContinuous" vertical="center"/>
    </xf>
    <xf numFmtId="0" fontId="38" fillId="11" borderId="8" xfId="0" applyFont="1" applyFill="1" applyBorder="1" applyAlignment="1" applyProtection="1">
      <alignment vertical="center"/>
    </xf>
    <xf numFmtId="0" fontId="38" fillId="11" borderId="8" xfId="0" applyFont="1" applyFill="1" applyBorder="1" applyAlignment="1" applyProtection="1">
      <alignment horizontal="centerContinuous" vertical="center"/>
    </xf>
    <xf numFmtId="0" fontId="0" fillId="11" borderId="100" xfId="0" applyFont="1" applyFill="1" applyBorder="1" applyAlignment="1">
      <alignment horizontal="centerContinuous" vertical="center" wrapText="1"/>
    </xf>
    <xf numFmtId="0" fontId="38" fillId="11" borderId="4" xfId="0" quotePrefix="1" applyFont="1" applyFill="1" applyBorder="1" applyAlignment="1" applyProtection="1">
      <alignment vertical="center" wrapText="1"/>
    </xf>
    <xf numFmtId="0" fontId="38" fillId="11" borderId="6" xfId="0" applyFont="1" applyFill="1" applyBorder="1" applyAlignment="1" applyProtection="1">
      <alignment horizontal="center" vertical="center"/>
    </xf>
    <xf numFmtId="171" fontId="38" fillId="11" borderId="116" xfId="0" applyNumberFormat="1" applyFont="1" applyFill="1" applyBorder="1" applyAlignment="1">
      <alignment vertical="center"/>
    </xf>
    <xf numFmtId="171" fontId="38" fillId="11" borderId="118" xfId="0" applyNumberFormat="1" applyFont="1" applyFill="1" applyBorder="1" applyAlignment="1">
      <alignment vertical="center"/>
    </xf>
    <xf numFmtId="171" fontId="38" fillId="11" borderId="120" xfId="0" applyNumberFormat="1" applyFont="1" applyFill="1" applyBorder="1" applyAlignment="1">
      <alignment vertical="center"/>
    </xf>
    <xf numFmtId="171" fontId="38" fillId="11" borderId="1" xfId="0" applyNumberFormat="1" applyFont="1" applyFill="1" applyBorder="1" applyAlignment="1">
      <alignment horizontal="center" vertical="center"/>
    </xf>
    <xf numFmtId="171" fontId="38" fillId="11" borderId="6" xfId="0" applyNumberFormat="1" applyFont="1" applyFill="1" applyBorder="1" applyAlignment="1">
      <alignment horizontal="center" vertical="center"/>
    </xf>
    <xf numFmtId="170" fontId="38" fillId="11" borderId="9" xfId="0" applyNumberFormat="1" applyFont="1" applyFill="1" applyBorder="1" applyAlignment="1" applyProtection="1">
      <alignment horizontal="center" vertical="center"/>
      <protection locked="0"/>
    </xf>
    <xf numFmtId="170" fontId="38" fillId="11" borderId="1" xfId="0" applyNumberFormat="1" applyFont="1" applyFill="1" applyBorder="1" applyAlignment="1" applyProtection="1">
      <alignment horizontal="center" vertical="center"/>
      <protection locked="0"/>
    </xf>
    <xf numFmtId="170" fontId="38" fillId="11" borderId="6" xfId="0" applyNumberFormat="1" applyFont="1" applyFill="1" applyBorder="1" applyAlignment="1" applyProtection="1">
      <alignment horizontal="center" vertical="center"/>
      <protection locked="0"/>
    </xf>
    <xf numFmtId="167" fontId="38" fillId="11" borderId="14" xfId="0" applyNumberFormat="1" applyFont="1" applyFill="1" applyBorder="1" applyAlignment="1" applyProtection="1">
      <alignment horizontal="center" vertical="center"/>
      <protection locked="0"/>
    </xf>
    <xf numFmtId="0" fontId="38" fillId="11" borderId="2" xfId="0" applyFont="1" applyFill="1" applyBorder="1" applyAlignment="1" applyProtection="1">
      <alignment horizontal="center" vertical="center" wrapText="1"/>
    </xf>
    <xf numFmtId="177" fontId="38" fillId="11" borderId="2" xfId="0" applyNumberFormat="1" applyFont="1" applyFill="1" applyBorder="1" applyAlignment="1" applyProtection="1">
      <alignment horizontal="center" vertical="center" wrapText="1"/>
    </xf>
    <xf numFmtId="0" fontId="38" fillId="11" borderId="9" xfId="0" applyFont="1" applyFill="1" applyBorder="1" applyAlignment="1" applyProtection="1">
      <alignment horizontal="centerContinuous" vertical="center" wrapText="1"/>
    </xf>
    <xf numFmtId="0" fontId="38" fillId="11" borderId="1" xfId="0" applyFont="1" applyFill="1" applyBorder="1" applyAlignment="1" applyProtection="1">
      <alignment horizontal="center" vertical="center" wrapText="1"/>
    </xf>
    <xf numFmtId="0" fontId="38" fillId="11" borderId="123" xfId="0" applyFont="1" applyFill="1" applyBorder="1" applyAlignment="1" applyProtection="1">
      <alignment horizontal="center" vertical="center"/>
    </xf>
    <xf numFmtId="0" fontId="38" fillId="11" borderId="121" xfId="0" applyFont="1" applyFill="1" applyBorder="1" applyAlignment="1" applyProtection="1">
      <alignment horizontal="center" vertical="center"/>
    </xf>
    <xf numFmtId="171" fontId="38" fillId="11" borderId="123" xfId="0" applyNumberFormat="1" applyFont="1" applyFill="1" applyBorder="1" applyAlignment="1">
      <alignment horizontal="center" vertical="center"/>
    </xf>
    <xf numFmtId="171" fontId="38" fillId="11" borderId="121" xfId="0" applyNumberFormat="1" applyFont="1" applyFill="1" applyBorder="1" applyAlignment="1">
      <alignment horizontal="center" vertical="center"/>
    </xf>
    <xf numFmtId="165" fontId="38" fillId="11" borderId="1" xfId="0" applyNumberFormat="1" applyFont="1" applyFill="1" applyBorder="1" applyAlignment="1" applyProtection="1">
      <alignment horizontal="center" vertical="center"/>
      <protection locked="0"/>
    </xf>
    <xf numFmtId="0" fontId="38" fillId="11" borderId="46" xfId="0" applyFont="1" applyFill="1" applyBorder="1" applyAlignment="1" applyProtection="1">
      <alignment horizontal="center" vertical="center" wrapText="1"/>
    </xf>
    <xf numFmtId="0" fontId="38" fillId="11" borderId="100" xfId="0" applyFont="1" applyFill="1" applyBorder="1" applyAlignment="1" applyProtection="1">
      <alignment horizontal="center" vertical="center" wrapText="1"/>
    </xf>
    <xf numFmtId="170" fontId="38" fillId="11" borderId="106" xfId="0" applyNumberFormat="1" applyFont="1" applyFill="1" applyBorder="1" applyAlignment="1" applyProtection="1">
      <alignment horizontal="center" vertical="center"/>
      <protection locked="0"/>
    </xf>
    <xf numFmtId="0" fontId="38" fillId="11" borderId="106" xfId="0" applyFont="1" applyFill="1" applyBorder="1" applyAlignment="1" applyProtection="1">
      <alignment horizontal="center" vertical="center"/>
    </xf>
    <xf numFmtId="170" fontId="38" fillId="11" borderId="155" xfId="0" applyNumberFormat="1" applyFont="1" applyFill="1" applyBorder="1" applyAlignment="1" applyProtection="1">
      <alignment horizontal="center" vertical="center"/>
      <protection locked="0"/>
    </xf>
    <xf numFmtId="170" fontId="38" fillId="11" borderId="149" xfId="0" applyNumberFormat="1" applyFont="1" applyFill="1" applyBorder="1" applyAlignment="1" applyProtection="1">
      <alignment vertical="center"/>
      <protection locked="0"/>
    </xf>
    <xf numFmtId="170" fontId="38" fillId="11" borderId="9" xfId="0" applyNumberFormat="1" applyFont="1" applyFill="1" applyBorder="1" applyAlignment="1" applyProtection="1">
      <alignment vertical="center"/>
      <protection locked="0"/>
    </xf>
    <xf numFmtId="177" fontId="50" fillId="11" borderId="101" xfId="1" applyNumberFormat="1" applyFont="1" applyFill="1" applyBorder="1" applyAlignment="1" applyProtection="1">
      <alignment horizontal="center" vertical="center"/>
    </xf>
    <xf numFmtId="0" fontId="38" fillId="11" borderId="111" xfId="0" applyFont="1" applyFill="1" applyBorder="1" applyAlignment="1">
      <alignment horizontal="center" vertical="center"/>
    </xf>
    <xf numFmtId="0" fontId="38" fillId="11" borderId="106" xfId="0" applyFont="1" applyFill="1" applyBorder="1" applyAlignment="1" applyProtection="1">
      <alignment vertical="center" wrapText="1"/>
    </xf>
    <xf numFmtId="165" fontId="38" fillId="11" borderId="6" xfId="1" applyFont="1" applyFill="1" applyBorder="1" applyAlignment="1" applyProtection="1">
      <alignment horizontal="center" vertical="center"/>
    </xf>
    <xf numFmtId="165" fontId="38" fillId="11" borderId="9" xfId="0" applyNumberFormat="1" applyFont="1" applyFill="1" applyBorder="1" applyAlignment="1" applyProtection="1">
      <alignment vertical="center"/>
      <protection locked="0"/>
    </xf>
    <xf numFmtId="41" fontId="38" fillId="11" borderId="106" xfId="0" applyNumberFormat="1" applyFont="1" applyFill="1" applyBorder="1" applyAlignment="1" applyProtection="1">
      <alignment vertical="center" wrapText="1"/>
    </xf>
    <xf numFmtId="0" fontId="38" fillId="11" borderId="1" xfId="0" applyNumberFormat="1" applyFont="1" applyFill="1" applyBorder="1" applyAlignment="1" applyProtection="1">
      <alignment horizontal="center" vertical="center"/>
    </xf>
    <xf numFmtId="170" fontId="38" fillId="11" borderId="5" xfId="0" applyNumberFormat="1" applyFont="1" applyFill="1" applyBorder="1" applyAlignment="1" applyProtection="1">
      <alignment horizontal="center" vertical="center"/>
      <protection locked="0"/>
    </xf>
    <xf numFmtId="0" fontId="38" fillId="11" borderId="5" xfId="0" applyFont="1" applyFill="1" applyBorder="1" applyAlignment="1" applyProtection="1">
      <alignment vertical="center" wrapText="1"/>
    </xf>
    <xf numFmtId="0" fontId="38" fillId="11" borderId="1" xfId="0" applyFont="1" applyFill="1" applyBorder="1" applyAlignment="1" applyProtection="1">
      <alignment horizontal="center" vertical="center"/>
    </xf>
    <xf numFmtId="0" fontId="38" fillId="11" borderId="116" xfId="0" applyNumberFormat="1" applyFont="1" applyFill="1" applyBorder="1" applyAlignment="1" applyProtection="1">
      <alignment horizontal="center" vertical="center"/>
    </xf>
    <xf numFmtId="0" fontId="38" fillId="11" borderId="120" xfId="0" applyNumberFormat="1" applyFont="1" applyFill="1" applyBorder="1" applyAlignment="1" applyProtection="1">
      <alignment horizontal="center" vertical="center"/>
    </xf>
    <xf numFmtId="171" fontId="38" fillId="11" borderId="116" xfId="0" applyNumberFormat="1" applyFont="1" applyFill="1" applyBorder="1" applyAlignment="1">
      <alignment horizontal="center" vertical="center"/>
    </xf>
    <xf numFmtId="171" fontId="38" fillId="11" borderId="120" xfId="0" applyNumberFormat="1" applyFont="1" applyFill="1" applyBorder="1" applyAlignment="1">
      <alignment horizontal="center" vertical="center"/>
    </xf>
    <xf numFmtId="0" fontId="38" fillId="11" borderId="46" xfId="0" applyFont="1" applyFill="1" applyBorder="1" applyAlignment="1" applyProtection="1">
      <alignment vertical="center" wrapText="1"/>
    </xf>
    <xf numFmtId="0" fontId="38" fillId="11" borderId="5" xfId="0" applyFont="1" applyFill="1" applyBorder="1" applyAlignment="1" applyProtection="1">
      <alignment vertical="center" wrapText="1"/>
      <protection locked="0"/>
    </xf>
    <xf numFmtId="0" fontId="38" fillId="11" borderId="5" xfId="0" applyNumberFormat="1" applyFont="1" applyFill="1" applyBorder="1" applyAlignment="1" applyProtection="1">
      <alignment horizontal="center" vertical="center"/>
    </xf>
    <xf numFmtId="0" fontId="38" fillId="11" borderId="13" xfId="0" applyNumberFormat="1" applyFont="1" applyFill="1" applyBorder="1" applyAlignment="1" applyProtection="1">
      <alignment horizontal="center" vertical="center"/>
    </xf>
    <xf numFmtId="0" fontId="38" fillId="11" borderId="101" xfId="0" applyFont="1" applyFill="1" applyBorder="1" applyAlignment="1" applyProtection="1">
      <alignment horizontal="centerContinuous" vertical="center" wrapText="1"/>
    </xf>
    <xf numFmtId="177" fontId="38" fillId="11" borderId="46" xfId="0" applyNumberFormat="1" applyFont="1" applyFill="1" applyBorder="1" applyAlignment="1" applyProtection="1">
      <alignment vertical="center" wrapText="1"/>
    </xf>
    <xf numFmtId="0" fontId="38" fillId="11" borderId="9" xfId="0" applyFont="1" applyFill="1" applyBorder="1" applyAlignment="1" applyProtection="1">
      <alignment vertical="center" wrapText="1"/>
    </xf>
    <xf numFmtId="165" fontId="38" fillId="11" borderId="1" xfId="1" applyFont="1" applyFill="1" applyBorder="1" applyAlignment="1" applyProtection="1">
      <alignment horizontal="center" vertical="center"/>
    </xf>
    <xf numFmtId="41" fontId="38" fillId="11" borderId="9" xfId="0" applyNumberFormat="1" applyFont="1" applyFill="1" applyBorder="1" applyAlignment="1" applyProtection="1">
      <alignment vertical="center" wrapText="1"/>
    </xf>
    <xf numFmtId="0" fontId="38" fillId="11" borderId="10" xfId="0" applyFont="1" applyFill="1" applyBorder="1" applyAlignment="1" applyProtection="1">
      <alignment horizontal="center" vertical="center" wrapText="1"/>
    </xf>
    <xf numFmtId="0" fontId="38" fillId="11" borderId="12" xfId="0" applyFont="1" applyFill="1" applyBorder="1" applyAlignment="1" applyProtection="1">
      <alignment horizontal="center" vertical="center"/>
    </xf>
    <xf numFmtId="170" fontId="38" fillId="11" borderId="145" xfId="0" applyNumberFormat="1" applyFont="1" applyFill="1" applyBorder="1" applyAlignment="1" applyProtection="1">
      <alignment vertical="center"/>
      <protection locked="0"/>
    </xf>
    <xf numFmtId="170" fontId="38" fillId="11" borderId="5" xfId="0" applyNumberFormat="1" applyFont="1" applyFill="1" applyBorder="1" applyAlignment="1" applyProtection="1">
      <alignment vertical="center"/>
      <protection locked="0"/>
    </xf>
    <xf numFmtId="0" fontId="38" fillId="11" borderId="108" xfId="0" applyFont="1" applyFill="1" applyBorder="1" applyAlignment="1" applyProtection="1">
      <alignment horizontal="centerContinuous" vertical="center" wrapText="1"/>
    </xf>
    <xf numFmtId="0" fontId="38" fillId="11" borderId="85" xfId="0" applyFont="1" applyFill="1" applyBorder="1" applyAlignment="1" applyProtection="1">
      <alignment vertical="center" wrapText="1"/>
    </xf>
    <xf numFmtId="177" fontId="38" fillId="11" borderId="85" xfId="0" applyNumberFormat="1" applyFont="1" applyFill="1" applyBorder="1" applyAlignment="1" applyProtection="1">
      <alignment vertical="center" wrapText="1"/>
    </xf>
    <xf numFmtId="0" fontId="38" fillId="11" borderId="46" xfId="0" applyFont="1" applyFill="1" applyBorder="1" applyAlignment="1">
      <alignment horizontal="center" vertical="center"/>
    </xf>
    <xf numFmtId="165" fontId="38" fillId="11" borderId="5" xfId="0" applyNumberFormat="1" applyFont="1" applyFill="1" applyBorder="1" applyAlignment="1" applyProtection="1">
      <alignment vertical="center"/>
      <protection locked="0"/>
    </xf>
    <xf numFmtId="41" fontId="38" fillId="11" borderId="46" xfId="0" applyNumberFormat="1" applyFont="1" applyFill="1" applyBorder="1" applyAlignment="1" applyProtection="1">
      <alignment vertical="center" wrapText="1"/>
    </xf>
    <xf numFmtId="0" fontId="38" fillId="11" borderId="0" xfId="0" applyFont="1" applyFill="1" applyAlignment="1" applyProtection="1">
      <alignment horizontal="centerContinuous" vertical="center"/>
    </xf>
    <xf numFmtId="0" fontId="38" fillId="11" borderId="10" xfId="0" applyFont="1" applyFill="1" applyBorder="1" applyAlignment="1" applyProtection="1">
      <alignment horizontal="center" vertical="center" wrapText="1"/>
      <protection locked="0"/>
    </xf>
    <xf numFmtId="0" fontId="38" fillId="11" borderId="1" xfId="0" applyFont="1" applyFill="1" applyBorder="1" applyAlignment="1" applyProtection="1">
      <alignment horizontal="center" vertical="center" wrapText="1"/>
      <protection locked="0"/>
    </xf>
    <xf numFmtId="0" fontId="38" fillId="11" borderId="5" xfId="0" applyFont="1" applyFill="1" applyBorder="1" applyAlignment="1" applyProtection="1">
      <alignment horizontal="centerContinuous" vertical="center" wrapText="1"/>
    </xf>
    <xf numFmtId="170" fontId="38" fillId="11" borderId="147" xfId="0" applyNumberFormat="1" applyFont="1" applyFill="1" applyBorder="1" applyAlignment="1" applyProtection="1">
      <alignment horizontal="center" vertical="center"/>
      <protection locked="0"/>
    </xf>
    <xf numFmtId="165" fontId="38" fillId="11" borderId="103" xfId="1" applyFont="1" applyFill="1" applyBorder="1" applyAlignment="1" applyProtection="1">
      <alignment horizontal="center" vertical="center"/>
    </xf>
    <xf numFmtId="0" fontId="38" fillId="11" borderId="109" xfId="0" applyFont="1" applyFill="1" applyBorder="1" applyAlignment="1">
      <alignment horizontal="center" vertical="center"/>
    </xf>
    <xf numFmtId="0" fontId="38" fillId="11" borderId="9" xfId="0" applyFont="1" applyFill="1" applyBorder="1" applyAlignment="1">
      <alignment horizontal="center" vertical="center"/>
    </xf>
    <xf numFmtId="165" fontId="50" fillId="11" borderId="77" xfId="1" applyNumberFormat="1" applyFont="1" applyFill="1" applyBorder="1" applyAlignment="1" applyProtection="1">
      <alignment vertical="center"/>
    </xf>
    <xf numFmtId="165" fontId="50" fillId="11" borderId="101" xfId="1" applyNumberFormat="1" applyFont="1" applyFill="1" applyBorder="1" applyAlignment="1" applyProtection="1">
      <alignment vertical="center"/>
    </xf>
    <xf numFmtId="168" fontId="38" fillId="11" borderId="106" xfId="0" applyNumberFormat="1" applyFont="1" applyFill="1" applyBorder="1" applyAlignment="1">
      <alignment horizontal="center" vertical="center"/>
    </xf>
    <xf numFmtId="170" fontId="38" fillId="11" borderId="146" xfId="0" applyNumberFormat="1" applyFont="1" applyFill="1" applyBorder="1" applyAlignment="1" applyProtection="1">
      <alignment horizontal="center" vertical="center"/>
      <protection locked="0"/>
    </xf>
    <xf numFmtId="165" fontId="38" fillId="11" borderId="6" xfId="0" applyNumberFormat="1" applyFont="1" applyFill="1" applyBorder="1" applyAlignment="1" applyProtection="1">
      <alignment vertical="center"/>
      <protection locked="0"/>
    </xf>
    <xf numFmtId="0" fontId="213" fillId="11" borderId="0" xfId="0" applyFont="1" applyFill="1" applyAlignment="1">
      <alignment horizontal="centerContinuous" vertical="center"/>
    </xf>
    <xf numFmtId="0" fontId="213" fillId="11" borderId="7" xfId="0" applyFont="1" applyFill="1" applyBorder="1" applyAlignment="1">
      <alignment horizontal="centerContinuous" vertical="center"/>
    </xf>
    <xf numFmtId="174" fontId="212" fillId="11" borderId="9" xfId="0" applyNumberFormat="1" applyFont="1" applyFill="1" applyBorder="1" applyAlignment="1" applyProtection="1">
      <alignment vertical="center" wrapText="1"/>
    </xf>
    <xf numFmtId="0" fontId="38" fillId="11" borderId="5" xfId="0" quotePrefix="1" applyFont="1" applyFill="1" applyBorder="1" applyAlignment="1" applyProtection="1">
      <alignment vertical="center" wrapText="1"/>
    </xf>
    <xf numFmtId="0" fontId="212" fillId="11" borderId="123" xfId="0" applyFont="1" applyFill="1" applyBorder="1" applyAlignment="1">
      <alignment horizontal="center" vertical="center"/>
    </xf>
    <xf numFmtId="0" fontId="212" fillId="11" borderId="124" xfId="0" applyFont="1" applyFill="1" applyBorder="1" applyAlignment="1">
      <alignment horizontal="center" vertical="center"/>
    </xf>
    <xf numFmtId="171" fontId="38" fillId="11" borderId="118" xfId="0" applyNumberFormat="1" applyFont="1" applyFill="1" applyBorder="1" applyAlignment="1">
      <alignment horizontal="center" vertical="center"/>
    </xf>
    <xf numFmtId="0" fontId="212" fillId="11" borderId="121" xfId="0" applyFont="1" applyFill="1" applyBorder="1" applyAlignment="1">
      <alignment horizontal="center" vertical="center"/>
    </xf>
    <xf numFmtId="168" fontId="212" fillId="11" borderId="6" xfId="0" applyNumberFormat="1" applyFont="1" applyFill="1" applyBorder="1" applyAlignment="1">
      <alignment horizontal="center" vertical="center"/>
    </xf>
    <xf numFmtId="171" fontId="212" fillId="11" borderId="6" xfId="0" quotePrefix="1" applyNumberFormat="1" applyFont="1" applyFill="1" applyBorder="1" applyAlignment="1">
      <alignment horizontal="center" vertical="center"/>
    </xf>
    <xf numFmtId="168" fontId="212" fillId="11" borderId="6" xfId="0" quotePrefix="1" applyNumberFormat="1" applyFont="1" applyFill="1" applyBorder="1" applyAlignment="1">
      <alignment horizontal="center" vertical="center"/>
    </xf>
    <xf numFmtId="173" fontId="212" fillId="11" borderId="6" xfId="0" applyNumberFormat="1" applyFont="1" applyFill="1" applyBorder="1" applyAlignment="1">
      <alignment horizontal="center" vertical="center"/>
    </xf>
    <xf numFmtId="10" fontId="212" fillId="11" borderId="70" xfId="0" applyNumberFormat="1" applyFont="1" applyFill="1" applyBorder="1" applyAlignment="1">
      <alignment horizontal="center" vertical="center"/>
    </xf>
    <xf numFmtId="171" fontId="38" fillId="11" borderId="5" xfId="0" applyNumberFormat="1" applyFont="1" applyFill="1" applyBorder="1" applyAlignment="1">
      <alignment horizontal="center" vertical="center"/>
    </xf>
    <xf numFmtId="166" fontId="212" fillId="11" borderId="6" xfId="0" quotePrefix="1" applyNumberFormat="1" applyFont="1" applyFill="1" applyBorder="1" applyAlignment="1">
      <alignment horizontal="center" vertical="center"/>
    </xf>
    <xf numFmtId="0" fontId="212" fillId="11" borderId="9" xfId="0" applyFont="1" applyFill="1" applyBorder="1" applyAlignment="1" applyProtection="1">
      <alignment horizontal="centerContinuous" vertical="center"/>
    </xf>
    <xf numFmtId="0" fontId="212" fillId="11" borderId="0" xfId="0" applyFont="1" applyFill="1" applyBorder="1" applyAlignment="1" applyProtection="1">
      <alignment horizontal="center" vertical="center" wrapText="1"/>
    </xf>
    <xf numFmtId="0" fontId="38" fillId="11" borderId="0" xfId="0" applyFont="1" applyFill="1" applyBorder="1" applyAlignment="1" applyProtection="1">
      <alignment horizontal="center" vertical="center" wrapText="1"/>
    </xf>
    <xf numFmtId="0" fontId="212" fillId="11" borderId="6" xfId="0" applyNumberFormat="1" applyFont="1" applyFill="1" applyBorder="1" applyAlignment="1" applyProtection="1">
      <alignment horizontal="center" vertical="center" wrapText="1"/>
    </xf>
    <xf numFmtId="0" fontId="38" fillId="11" borderId="9" xfId="0" applyNumberFormat="1" applyFont="1" applyFill="1" applyBorder="1" applyAlignment="1" applyProtection="1">
      <alignment horizontal="center" vertical="center" wrapText="1"/>
    </xf>
    <xf numFmtId="0" fontId="212" fillId="11" borderId="70" xfId="0" applyNumberFormat="1" applyFont="1" applyFill="1" applyBorder="1" applyAlignment="1" applyProtection="1">
      <alignment horizontal="center" vertical="center" wrapText="1"/>
    </xf>
    <xf numFmtId="0" fontId="38" fillId="11" borderId="2" xfId="0" applyNumberFormat="1" applyFont="1" applyFill="1" applyBorder="1" applyAlignment="1" applyProtection="1">
      <alignment horizontal="center" vertical="center" wrapText="1"/>
    </xf>
    <xf numFmtId="0" fontId="38" fillId="11" borderId="1" xfId="0" applyNumberFormat="1" applyFont="1" applyFill="1" applyBorder="1" applyAlignment="1" applyProtection="1">
      <alignment horizontal="center" vertical="center" wrapText="1"/>
    </xf>
    <xf numFmtId="0" fontId="38" fillId="11" borderId="9" xfId="8" applyFont="1" applyFill="1" applyBorder="1" applyAlignment="1" applyProtection="1">
      <alignment horizontal="center" vertical="center"/>
    </xf>
    <xf numFmtId="0" fontId="212" fillId="11" borderId="6" xfId="0" applyNumberFormat="1" applyFont="1" applyFill="1" applyBorder="1" applyAlignment="1">
      <alignment horizontal="center" vertical="center" wrapText="1"/>
    </xf>
    <xf numFmtId="0" fontId="38" fillId="11" borderId="9" xfId="0" applyNumberFormat="1" applyFont="1" applyFill="1" applyBorder="1" applyAlignment="1">
      <alignment horizontal="center" vertical="center" wrapText="1"/>
    </xf>
    <xf numFmtId="0" fontId="212" fillId="11" borderId="1" xfId="0" applyNumberFormat="1" applyFont="1" applyFill="1" applyBorder="1" applyAlignment="1">
      <alignment horizontal="center" vertical="center" wrapText="1"/>
    </xf>
    <xf numFmtId="0" fontId="38" fillId="11" borderId="1" xfId="0" applyNumberFormat="1" applyFont="1" applyFill="1" applyBorder="1" applyAlignment="1">
      <alignment horizontal="center" vertical="center" wrapText="1"/>
    </xf>
    <xf numFmtId="0" fontId="212" fillId="11" borderId="7" xfId="0" applyFont="1" applyFill="1" applyBorder="1" applyAlignment="1">
      <alignment horizontal="center" vertical="center"/>
    </xf>
    <xf numFmtId="0" fontId="212" fillId="11" borderId="116" xfId="0" applyFont="1" applyFill="1" applyBorder="1" applyAlignment="1">
      <alignment horizontal="center" vertical="center"/>
    </xf>
    <xf numFmtId="0" fontId="212" fillId="11" borderId="120" xfId="0" applyFont="1" applyFill="1" applyBorder="1" applyAlignment="1">
      <alignment horizontal="center" vertical="center"/>
    </xf>
    <xf numFmtId="0" fontId="212" fillId="11" borderId="1" xfId="0" applyFont="1" applyFill="1" applyBorder="1" applyAlignment="1">
      <alignment horizontal="center" vertical="center"/>
    </xf>
    <xf numFmtId="168" fontId="212" fillId="11" borderId="1" xfId="0" quotePrefix="1" applyNumberFormat="1" applyFont="1" applyFill="1" applyBorder="1" applyAlignment="1">
      <alignment horizontal="center" vertical="center"/>
    </xf>
    <xf numFmtId="173" fontId="212" fillId="11" borderId="1" xfId="0" applyNumberFormat="1" applyFont="1" applyFill="1" applyBorder="1" applyAlignment="1">
      <alignment horizontal="center" vertical="center"/>
    </xf>
    <xf numFmtId="10" fontId="212" fillId="11" borderId="165" xfId="7" applyNumberFormat="1" applyFont="1" applyFill="1" applyBorder="1" applyAlignment="1">
      <alignment horizontal="center" vertical="center"/>
    </xf>
    <xf numFmtId="171" fontId="212" fillId="11" borderId="1" xfId="0" quotePrefix="1" applyNumberFormat="1" applyFont="1" applyFill="1" applyBorder="1" applyAlignment="1">
      <alignment horizontal="center" vertical="center"/>
    </xf>
    <xf numFmtId="0" fontId="212" fillId="11" borderId="9" xfId="0" applyNumberFormat="1" applyFont="1" applyFill="1" applyBorder="1" applyAlignment="1">
      <alignment horizontal="center" vertical="center" wrapText="1"/>
    </xf>
    <xf numFmtId="0" fontId="52" fillId="11" borderId="6" xfId="0" applyFont="1" applyFill="1" applyBorder="1" applyAlignment="1" applyProtection="1">
      <alignment vertical="center" wrapText="1"/>
    </xf>
    <xf numFmtId="0" fontId="52" fillId="11" borderId="9" xfId="0" applyFont="1" applyFill="1" applyBorder="1" applyAlignment="1" applyProtection="1">
      <alignment vertical="center" wrapText="1"/>
    </xf>
    <xf numFmtId="0" fontId="212" fillId="11" borderId="5" xfId="0" applyNumberFormat="1" applyFont="1" applyFill="1" applyBorder="1" applyAlignment="1">
      <alignment horizontal="center" vertical="center"/>
    </xf>
    <xf numFmtId="0" fontId="38" fillId="11" borderId="5" xfId="0" applyNumberFormat="1" applyFont="1" applyFill="1" applyBorder="1" applyAlignment="1">
      <alignment horizontal="center" vertical="center"/>
    </xf>
    <xf numFmtId="0" fontId="212" fillId="11" borderId="0" xfId="0" applyFont="1" applyFill="1" applyAlignment="1">
      <alignment horizontal="center" vertical="center"/>
    </xf>
    <xf numFmtId="0" fontId="50" fillId="11" borderId="0" xfId="0" applyFont="1" applyFill="1" applyAlignment="1">
      <alignment horizontal="center" vertical="center"/>
    </xf>
    <xf numFmtId="174" fontId="60" fillId="11" borderId="9" xfId="0" applyNumberFormat="1" applyFont="1" applyFill="1" applyBorder="1" applyAlignment="1" applyProtection="1">
      <alignment vertical="center" wrapText="1"/>
    </xf>
    <xf numFmtId="0" fontId="38" fillId="11" borderId="100" xfId="0" applyFont="1" applyFill="1" applyBorder="1" applyAlignment="1" applyProtection="1">
      <alignment vertical="center"/>
    </xf>
    <xf numFmtId="169" fontId="38" fillId="11" borderId="100" xfId="0" applyNumberFormat="1" applyFont="1" applyFill="1" applyBorder="1" applyAlignment="1">
      <alignment vertical="center" wrapText="1"/>
    </xf>
    <xf numFmtId="170" fontId="38" fillId="11" borderId="100" xfId="0" applyNumberFormat="1" applyFont="1" applyFill="1" applyBorder="1" applyAlignment="1" applyProtection="1">
      <alignment vertical="center"/>
      <protection locked="0"/>
    </xf>
    <xf numFmtId="169" fontId="38" fillId="11" borderId="100" xfId="0" applyNumberFormat="1" applyFont="1" applyFill="1" applyBorder="1" applyAlignment="1">
      <alignment vertical="center"/>
    </xf>
    <xf numFmtId="167" fontId="38" fillId="11" borderId="100" xfId="0" applyNumberFormat="1" applyFont="1" applyFill="1" applyBorder="1" applyAlignment="1" applyProtection="1">
      <alignment vertical="center"/>
      <protection locked="0"/>
    </xf>
    <xf numFmtId="0" fontId="38" fillId="11" borderId="9" xfId="0" applyFont="1" applyFill="1" applyBorder="1" applyAlignment="1" applyProtection="1">
      <alignment horizontal="center" vertical="center" wrapText="1"/>
    </xf>
    <xf numFmtId="169" fontId="38" fillId="11" borderId="139" xfId="0" applyNumberFormat="1" applyFont="1" applyFill="1" applyBorder="1" applyAlignment="1">
      <alignment vertical="center" wrapText="1"/>
    </xf>
    <xf numFmtId="169" fontId="38" fillId="11" borderId="140" xfId="0" applyNumberFormat="1" applyFont="1" applyFill="1" applyBorder="1" applyAlignment="1">
      <alignment vertical="center" wrapText="1"/>
    </xf>
    <xf numFmtId="171" fontId="38" fillId="11" borderId="1" xfId="0" applyNumberFormat="1" applyFont="1" applyFill="1" applyBorder="1" applyAlignment="1">
      <alignment vertical="center"/>
    </xf>
    <xf numFmtId="171" fontId="38" fillId="11" borderId="6" xfId="0" applyNumberFormat="1" applyFont="1" applyFill="1" applyBorder="1" applyAlignment="1">
      <alignment vertical="center"/>
    </xf>
    <xf numFmtId="170" fontId="38" fillId="11" borderId="1" xfId="0" applyNumberFormat="1" applyFont="1" applyFill="1" applyBorder="1" applyAlignment="1" applyProtection="1">
      <alignment vertical="center"/>
      <protection locked="0"/>
    </xf>
    <xf numFmtId="170" fontId="38" fillId="11" borderId="6" xfId="0" applyNumberFormat="1" applyFont="1" applyFill="1" applyBorder="1" applyAlignment="1" applyProtection="1">
      <alignment vertical="center"/>
      <protection locked="0"/>
    </xf>
    <xf numFmtId="167" fontId="38" fillId="11" borderId="14" xfId="0" applyNumberFormat="1" applyFont="1" applyFill="1" applyBorder="1" applyAlignment="1" applyProtection="1">
      <alignment vertical="center"/>
      <protection locked="0"/>
    </xf>
    <xf numFmtId="41" fontId="38" fillId="11" borderId="2" xfId="0" applyNumberFormat="1" applyFont="1" applyFill="1" applyBorder="1" applyAlignment="1" applyProtection="1">
      <alignment horizontal="center" vertical="center" wrapText="1"/>
    </xf>
    <xf numFmtId="41" fontId="38" fillId="11" borderId="1" xfId="0" applyNumberFormat="1" applyFont="1" applyFill="1" applyBorder="1" applyAlignment="1" applyProtection="1">
      <alignment horizontal="center" vertical="center" wrapText="1"/>
    </xf>
    <xf numFmtId="187" fontId="38" fillId="11" borderId="106" xfId="0" applyNumberFormat="1" applyFont="1" applyFill="1" applyBorder="1" applyAlignment="1" applyProtection="1">
      <alignment vertical="center" wrapText="1"/>
    </xf>
    <xf numFmtId="169" fontId="38" fillId="11" borderId="1" xfId="0" applyNumberFormat="1" applyFont="1" applyFill="1" applyBorder="1" applyAlignment="1">
      <alignment horizontal="center" vertical="center"/>
    </xf>
    <xf numFmtId="0" fontId="38" fillId="11" borderId="13" xfId="0" applyFont="1" applyFill="1" applyBorder="1" applyAlignment="1" applyProtection="1">
      <alignment horizontal="center" vertical="center"/>
    </xf>
    <xf numFmtId="0" fontId="38" fillId="11" borderId="6" xfId="0" applyFont="1" applyFill="1" applyBorder="1" applyAlignment="1" applyProtection="1">
      <alignment vertical="center"/>
    </xf>
    <xf numFmtId="41" fontId="38" fillId="11" borderId="0" xfId="0" applyNumberFormat="1" applyFont="1" applyFill="1" applyAlignment="1" applyProtection="1">
      <alignment horizontal="center" vertical="center"/>
    </xf>
    <xf numFmtId="41" fontId="38" fillId="11" borderId="1" xfId="0" applyNumberFormat="1" applyFont="1" applyFill="1" applyBorder="1" applyAlignment="1" applyProtection="1">
      <alignment horizontal="center" vertical="center"/>
    </xf>
    <xf numFmtId="41" fontId="38" fillId="11" borderId="5" xfId="0" applyNumberFormat="1" applyFont="1" applyFill="1" applyBorder="1" applyAlignment="1" applyProtection="1">
      <alignment vertical="center" wrapText="1"/>
      <protection locked="0"/>
    </xf>
    <xf numFmtId="187" fontId="38" fillId="11" borderId="9" xfId="0" applyNumberFormat="1" applyFont="1" applyFill="1" applyBorder="1" applyAlignment="1" applyProtection="1">
      <alignment vertical="center" wrapText="1"/>
    </xf>
    <xf numFmtId="41" fontId="38" fillId="11" borderId="0" xfId="0" applyNumberFormat="1" applyFont="1" applyFill="1" applyAlignment="1">
      <alignment horizontal="center" vertical="center"/>
    </xf>
    <xf numFmtId="169" fontId="38" fillId="11" borderId="134" xfId="0" applyNumberFormat="1" applyFont="1" applyFill="1" applyBorder="1" applyAlignment="1">
      <alignment vertical="center" wrapText="1"/>
    </xf>
    <xf numFmtId="0" fontId="38" fillId="11" borderId="84" xfId="0" applyFont="1" applyFill="1" applyBorder="1" applyAlignment="1" applyProtection="1">
      <alignment horizontal="centerContinuous" vertical="center" wrapText="1"/>
    </xf>
    <xf numFmtId="0" fontId="38" fillId="11" borderId="1" xfId="0" applyNumberFormat="1" applyFont="1" applyFill="1" applyBorder="1" applyAlignment="1" applyProtection="1">
      <alignment vertical="center"/>
    </xf>
    <xf numFmtId="41" fontId="38" fillId="11" borderId="10" xfId="0" applyNumberFormat="1" applyFont="1" applyFill="1" applyBorder="1" applyAlignment="1" applyProtection="1">
      <alignment horizontal="center" vertical="center" wrapText="1"/>
    </xf>
    <xf numFmtId="171" fontId="38" fillId="11" borderId="168" xfId="0" applyNumberFormat="1" applyFont="1" applyFill="1" applyBorder="1" applyAlignment="1">
      <alignment vertical="center"/>
    </xf>
    <xf numFmtId="187" fontId="38" fillId="11" borderId="46" xfId="0" applyNumberFormat="1" applyFont="1" applyFill="1" applyBorder="1" applyAlignment="1" applyProtection="1">
      <alignment vertical="center" wrapText="1"/>
    </xf>
    <xf numFmtId="41" fontId="38" fillId="11" borderId="10" xfId="0" applyNumberFormat="1" applyFont="1" applyFill="1" applyBorder="1" applyAlignment="1" applyProtection="1">
      <alignment horizontal="center" vertical="center" wrapText="1"/>
      <protection locked="0"/>
    </xf>
    <xf numFmtId="41" fontId="38" fillId="11" borderId="1" xfId="0" applyNumberFormat="1" applyFont="1" applyFill="1" applyBorder="1" applyAlignment="1" applyProtection="1">
      <alignment horizontal="center" vertical="center" wrapText="1"/>
      <protection locked="0"/>
    </xf>
    <xf numFmtId="0" fontId="38" fillId="11" borderId="0" xfId="0" applyFont="1" applyFill="1" applyBorder="1" applyAlignment="1" applyProtection="1">
      <alignment horizontal="center" vertical="center" wrapText="1"/>
      <protection locked="0"/>
    </xf>
    <xf numFmtId="171" fontId="38" fillId="11" borderId="5" xfId="0" applyNumberFormat="1" applyFont="1" applyFill="1" applyBorder="1" applyAlignment="1" applyProtection="1">
      <alignment vertical="center"/>
      <protection locked="0"/>
    </xf>
    <xf numFmtId="173" fontId="38" fillId="11" borderId="100" xfId="7" applyNumberFormat="1" applyFont="1" applyFill="1" applyBorder="1" applyAlignment="1" applyProtection="1">
      <alignment horizontal="center" vertical="center"/>
    </xf>
    <xf numFmtId="0" fontId="24" fillId="0" borderId="11" xfId="8"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170" fontId="32" fillId="0" borderId="86" xfId="0" applyNumberFormat="1" applyFont="1" applyFill="1" applyBorder="1" applyAlignment="1" applyProtection="1">
      <alignment horizontal="center" vertical="center"/>
      <protection locked="0"/>
    </xf>
    <xf numFmtId="0" fontId="11" fillId="0" borderId="86" xfId="0" applyFont="1" applyFill="1" applyBorder="1" applyAlignment="1" applyProtection="1">
      <alignment horizontal="center" vertical="center"/>
    </xf>
    <xf numFmtId="0" fontId="10" fillId="0" borderId="87" xfId="0" applyFont="1" applyFill="1" applyBorder="1" applyAlignment="1" applyProtection="1">
      <alignment horizontal="center" vertical="center" wrapText="1"/>
    </xf>
    <xf numFmtId="0" fontId="10" fillId="0" borderId="69" xfId="0"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10"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10" fillId="0" borderId="215" xfId="0" applyFont="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13"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65" fillId="0" borderId="0" xfId="0" applyFont="1" applyBorder="1" applyAlignment="1" applyProtection="1">
      <alignment horizontal="center" vertical="center" wrapText="1"/>
    </xf>
    <xf numFmtId="0" fontId="76" fillId="0" borderId="216" xfId="0" applyFont="1" applyFill="1" applyBorder="1" applyAlignment="1" applyProtection="1">
      <alignment horizontal="center" vertical="center"/>
    </xf>
    <xf numFmtId="0" fontId="76" fillId="0" borderId="217" xfId="0" applyFont="1" applyFill="1" applyBorder="1" applyAlignment="1" applyProtection="1">
      <alignment horizontal="center" vertical="center"/>
    </xf>
    <xf numFmtId="176" fontId="51" fillId="0" borderId="218"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24" fillId="0" borderId="11" xfId="8" applyFont="1" applyFill="1" applyBorder="1" applyAlignment="1" applyProtection="1">
      <alignment horizontal="center" vertical="center"/>
    </xf>
    <xf numFmtId="0" fontId="24" fillId="0" borderId="86" xfId="8" applyFont="1" applyFill="1" applyBorder="1" applyAlignment="1" applyProtection="1">
      <alignment horizontal="center" vertical="center" wrapText="1"/>
    </xf>
    <xf numFmtId="0" fontId="76" fillId="0" borderId="87" xfId="0" applyFont="1" applyFill="1" applyBorder="1" applyAlignment="1" applyProtection="1">
      <alignment horizontal="center" vertical="center"/>
    </xf>
    <xf numFmtId="179" fontId="141" fillId="0" borderId="7" xfId="0" applyNumberFormat="1" applyFont="1" applyFill="1" applyBorder="1" applyAlignment="1" applyProtection="1">
      <alignment horizontal="center" vertical="center"/>
      <protection locked="0"/>
    </xf>
    <xf numFmtId="14" fontId="38" fillId="51" borderId="5" xfId="0" applyNumberFormat="1" applyFont="1" applyFill="1" applyBorder="1" applyAlignment="1" applyProtection="1">
      <alignment vertical="center"/>
    </xf>
    <xf numFmtId="14" fontId="38" fillId="51" borderId="9" xfId="0" applyNumberFormat="1" applyFont="1" applyFill="1" applyBorder="1" applyAlignment="1" applyProtection="1">
      <alignment vertical="center"/>
    </xf>
    <xf numFmtId="0" fontId="38" fillId="51" borderId="9" xfId="0" applyFont="1" applyFill="1" applyBorder="1" applyAlignment="1" applyProtection="1">
      <alignment vertical="center" wrapText="1"/>
    </xf>
    <xf numFmtId="0" fontId="50" fillId="51" borderId="9" xfId="0" applyFont="1" applyFill="1" applyBorder="1" applyAlignment="1" applyProtection="1">
      <alignment vertical="center" wrapText="1"/>
    </xf>
    <xf numFmtId="181" fontId="141" fillId="51" borderId="69" xfId="0" applyNumberFormat="1" applyFont="1" applyFill="1" applyBorder="1" applyAlignment="1" applyProtection="1">
      <alignment horizontal="center" vertical="center"/>
      <protection locked="0"/>
    </xf>
    <xf numFmtId="174" fontId="50" fillId="51" borderId="5" xfId="0" applyNumberFormat="1" applyFont="1" applyFill="1" applyBorder="1" applyAlignment="1" applyProtection="1">
      <alignment vertical="center" wrapText="1"/>
    </xf>
    <xf numFmtId="174" fontId="38" fillId="51" borderId="9" xfId="0" applyNumberFormat="1" applyFont="1" applyFill="1" applyBorder="1" applyAlignment="1" applyProtection="1">
      <alignment vertical="center" wrapText="1"/>
    </xf>
    <xf numFmtId="179" fontId="40" fillId="51" borderId="7" xfId="0" applyNumberFormat="1" applyFont="1" applyFill="1" applyBorder="1" applyAlignment="1" applyProtection="1">
      <alignment horizontal="left" vertical="center"/>
      <protection locked="0"/>
    </xf>
    <xf numFmtId="174" fontId="95" fillId="51" borderId="9" xfId="0" applyNumberFormat="1" applyFont="1" applyFill="1" applyBorder="1" applyAlignment="1" applyProtection="1">
      <alignment vertical="center" wrapText="1"/>
    </xf>
    <xf numFmtId="0" fontId="38" fillId="51" borderId="0" xfId="0" applyFont="1" applyFill="1" applyAlignment="1">
      <alignment horizontal="center" vertical="center"/>
    </xf>
    <xf numFmtId="0" fontId="38" fillId="51" borderId="9" xfId="0" applyFont="1" applyFill="1" applyBorder="1" applyAlignment="1">
      <alignment horizontal="center" vertical="center"/>
    </xf>
    <xf numFmtId="0" fontId="38" fillId="51" borderId="6" xfId="0" applyFont="1" applyFill="1" applyBorder="1" applyAlignment="1">
      <alignment horizontal="center" vertical="center"/>
    </xf>
    <xf numFmtId="14" fontId="38" fillId="51" borderId="5" xfId="0" applyNumberFormat="1" applyFont="1" applyFill="1" applyBorder="1" applyAlignment="1" applyProtection="1">
      <alignment horizontal="left" vertical="center"/>
    </xf>
    <xf numFmtId="0" fontId="239" fillId="51" borderId="9" xfId="0" applyFont="1" applyFill="1" applyBorder="1" applyAlignment="1" applyProtection="1">
      <alignment vertical="center" wrapText="1"/>
    </xf>
    <xf numFmtId="174" fontId="212" fillId="51" borderId="9" xfId="0" applyNumberFormat="1" applyFont="1" applyFill="1" applyBorder="1" applyAlignment="1" applyProtection="1">
      <alignment vertical="center" wrapText="1"/>
    </xf>
    <xf numFmtId="181" fontId="141" fillId="51" borderId="69" xfId="0" applyNumberFormat="1" applyFont="1" applyFill="1" applyBorder="1" applyAlignment="1" applyProtection="1">
      <alignment horizontal="left" vertical="center"/>
      <protection locked="0"/>
    </xf>
    <xf numFmtId="174" fontId="231" fillId="51" borderId="9" xfId="0" applyNumberFormat="1" applyFont="1" applyFill="1" applyBorder="1" applyAlignment="1" applyProtection="1">
      <alignment vertical="center" wrapText="1"/>
    </xf>
    <xf numFmtId="174" fontId="51" fillId="51" borderId="9" xfId="0" applyNumberFormat="1" applyFont="1" applyFill="1" applyBorder="1" applyAlignment="1" applyProtection="1">
      <alignment vertical="center" wrapText="1"/>
    </xf>
    <xf numFmtId="174" fontId="60" fillId="51" borderId="9" xfId="0" applyNumberFormat="1" applyFont="1" applyFill="1" applyBorder="1" applyAlignment="1" applyProtection="1">
      <alignment vertical="center"/>
    </xf>
    <xf numFmtId="0" fontId="51" fillId="51" borderId="9" xfId="0" applyFont="1" applyFill="1" applyBorder="1" applyAlignment="1">
      <alignment horizontal="center" vertical="center"/>
    </xf>
    <xf numFmtId="0" fontId="18" fillId="11" borderId="0" xfId="0" applyFont="1" applyFill="1" applyAlignment="1">
      <alignment horizontal="left" vertical="center" wrapText="1"/>
    </xf>
    <xf numFmtId="20" fontId="38" fillId="0" borderId="0" xfId="0" quotePrefix="1" applyNumberFormat="1" applyFont="1" applyFill="1" applyBorder="1" applyAlignment="1" applyProtection="1">
      <alignment vertical="center"/>
    </xf>
    <xf numFmtId="180" fontId="38" fillId="40" borderId="0" xfId="0" applyNumberFormat="1" applyFont="1" applyFill="1" applyAlignment="1">
      <alignment horizontal="center" vertical="center"/>
    </xf>
    <xf numFmtId="20" fontId="38" fillId="0" borderId="0" xfId="0" applyNumberFormat="1" applyFont="1" applyFill="1" applyAlignment="1">
      <alignment horizontal="center" vertical="center"/>
    </xf>
    <xf numFmtId="0" fontId="38" fillId="40" borderId="0" xfId="0" applyFont="1" applyFill="1" applyAlignment="1">
      <alignment horizontal="center" vertical="center"/>
    </xf>
    <xf numFmtId="181" fontId="246" fillId="0" borderId="0" xfId="0" applyNumberFormat="1" applyFont="1" applyFill="1" applyBorder="1" applyAlignment="1" applyProtection="1">
      <alignment horizontal="centerContinuous" vertical="center"/>
    </xf>
    <xf numFmtId="193" fontId="246" fillId="0" borderId="0" xfId="0" applyNumberFormat="1" applyFont="1" applyFill="1" applyBorder="1" applyAlignment="1" applyProtection="1">
      <alignment horizontal="centerContinuous" vertical="center"/>
    </xf>
    <xf numFmtId="0" fontId="62" fillId="0" borderId="0" xfId="0" applyFont="1" applyFill="1" applyBorder="1" applyAlignment="1" applyProtection="1">
      <alignment horizontal="centerContinuous" vertical="center"/>
    </xf>
    <xf numFmtId="0" fontId="62" fillId="0" borderId="0" xfId="0" applyFont="1" applyFill="1" applyAlignment="1">
      <alignment horizontal="centerContinuous" vertical="center"/>
    </xf>
    <xf numFmtId="20" fontId="38" fillId="0" borderId="0" xfId="0" quotePrefix="1" applyNumberFormat="1" applyFont="1" applyFill="1" applyBorder="1" applyAlignment="1" applyProtection="1">
      <alignment horizontal="centerContinuous" vertical="center"/>
    </xf>
    <xf numFmtId="166" fontId="38" fillId="7" borderId="0" xfId="0" applyNumberFormat="1" applyFont="1" applyFill="1" applyBorder="1" applyAlignment="1">
      <alignment horizontal="centerContinuous" vertical="center"/>
    </xf>
    <xf numFmtId="166" fontId="38" fillId="7" borderId="0" xfId="0" applyNumberFormat="1" applyFont="1" applyFill="1" applyBorder="1" applyAlignment="1" applyProtection="1">
      <alignment horizontal="centerContinuous" vertical="center"/>
      <protection locked="0"/>
    </xf>
    <xf numFmtId="173" fontId="50" fillId="0" borderId="12" xfId="7" applyNumberFormat="1" applyFont="1" applyFill="1" applyBorder="1" applyAlignment="1" applyProtection="1">
      <alignment horizontal="center" vertical="center" wrapText="1"/>
    </xf>
    <xf numFmtId="10" fontId="55" fillId="5" borderId="6" xfId="7" applyNumberFormat="1" applyFont="1" applyFill="1" applyBorder="1" applyAlignment="1" applyProtection="1">
      <alignment horizontal="center" vertical="center"/>
    </xf>
    <xf numFmtId="10" fontId="38" fillId="38" borderId="6" xfId="0" applyNumberFormat="1" applyFont="1" applyFill="1" applyBorder="1" applyAlignment="1" applyProtection="1">
      <alignment horizontal="left" vertical="center"/>
      <protection locked="0"/>
    </xf>
    <xf numFmtId="10" fontId="38" fillId="38" borderId="6" xfId="0" applyNumberFormat="1" applyFont="1" applyFill="1" applyBorder="1" applyAlignment="1" applyProtection="1">
      <alignment horizontal="center" vertical="center"/>
      <protection locked="0"/>
    </xf>
    <xf numFmtId="10" fontId="38" fillId="38" borderId="101" xfId="0" applyNumberFormat="1" applyFont="1" applyFill="1" applyBorder="1" applyAlignment="1" applyProtection="1">
      <alignment horizontal="center" vertical="center"/>
      <protection locked="0"/>
    </xf>
    <xf numFmtId="181" fontId="98" fillId="38" borderId="5" xfId="0" applyNumberFormat="1" applyFont="1" applyFill="1" applyBorder="1" applyAlignment="1" applyProtection="1">
      <alignment horizontal="right" vertical="center"/>
      <protection locked="0"/>
    </xf>
    <xf numFmtId="14" fontId="18" fillId="38" borderId="6" xfId="8" applyNumberFormat="1" applyFont="1" applyFill="1" applyBorder="1" applyAlignment="1" applyProtection="1">
      <alignment vertical="center"/>
      <protection locked="0"/>
    </xf>
    <xf numFmtId="177" fontId="38" fillId="38" borderId="101" xfId="1" applyNumberFormat="1" applyFont="1" applyFill="1" applyBorder="1" applyAlignment="1" applyProtection="1">
      <alignment horizontal="center" vertical="center"/>
      <protection locked="0"/>
    </xf>
    <xf numFmtId="14" fontId="38" fillId="38" borderId="122" xfId="8" applyNumberFormat="1" applyFont="1" applyFill="1" applyBorder="1" applyAlignment="1" applyProtection="1">
      <alignment horizontal="center" vertical="center"/>
      <protection locked="0"/>
    </xf>
    <xf numFmtId="16" fontId="104" fillId="38" borderId="122" xfId="0" applyNumberFormat="1" applyFont="1" applyFill="1" applyBorder="1" applyAlignment="1" applyProtection="1">
      <alignment horizontal="center" vertical="center" wrapText="1"/>
      <protection locked="0"/>
    </xf>
    <xf numFmtId="16" fontId="105" fillId="38" borderId="122" xfId="0" applyNumberFormat="1" applyFont="1" applyFill="1" applyBorder="1" applyAlignment="1" applyProtection="1">
      <alignment horizontal="center" vertical="center" wrapText="1"/>
      <protection locked="0"/>
    </xf>
    <xf numFmtId="0" fontId="55" fillId="38" borderId="122" xfId="0" applyFont="1" applyFill="1" applyBorder="1" applyAlignment="1" applyProtection="1">
      <alignment horizontal="center" vertical="center" wrapText="1"/>
      <protection locked="0"/>
    </xf>
    <xf numFmtId="0" fontId="24" fillId="0" borderId="86" xfId="0" applyFont="1" applyFill="1" applyBorder="1" applyAlignment="1" applyProtection="1">
      <alignment horizontal="center" vertical="center" wrapText="1"/>
      <protection locked="0"/>
    </xf>
    <xf numFmtId="170" fontId="25" fillId="13" borderId="0" xfId="0" quotePrefix="1"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24" fillId="0" borderId="9"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0" fontId="247" fillId="0" borderId="0" xfId="0" applyFont="1" applyFill="1" applyBorder="1" applyAlignment="1" applyProtection="1">
      <alignment vertical="center" wrapText="1"/>
      <protection locked="0"/>
    </xf>
    <xf numFmtId="0" fontId="247" fillId="0" borderId="11" xfId="0" applyFont="1" applyFill="1" applyBorder="1" applyAlignment="1" applyProtection="1">
      <alignment vertical="center" wrapText="1"/>
      <protection locked="0"/>
    </xf>
    <xf numFmtId="169" fontId="247" fillId="0" borderId="0" xfId="0" applyNumberFormat="1" applyFont="1" applyFill="1" applyBorder="1" applyAlignment="1">
      <alignment horizontal="center" vertical="center"/>
    </xf>
    <xf numFmtId="0" fontId="146" fillId="13" borderId="5" xfId="0" applyFont="1" applyFill="1" applyBorder="1" applyAlignment="1">
      <alignment horizontal="left" vertical="center"/>
    </xf>
    <xf numFmtId="0" fontId="146" fillId="13" borderId="9" xfId="0" applyFont="1" applyFill="1" applyBorder="1" applyAlignment="1">
      <alignment horizontal="left" vertical="center"/>
    </xf>
    <xf numFmtId="0" fontId="146" fillId="13" borderId="6" xfId="0" applyFont="1" applyFill="1" applyBorder="1" applyAlignment="1">
      <alignment horizontal="left" vertical="center"/>
    </xf>
    <xf numFmtId="0" fontId="50" fillId="0" borderId="69" xfId="0" quotePrefix="1"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xf>
    <xf numFmtId="0" fontId="38" fillId="4" borderId="16" xfId="0" applyFont="1" applyFill="1" applyBorder="1" applyAlignment="1" applyProtection="1">
      <alignment horizontal="centerContinuous" vertical="center"/>
    </xf>
    <xf numFmtId="0" fontId="65" fillId="13" borderId="5" xfId="0" applyFont="1" applyFill="1" applyBorder="1" applyAlignment="1">
      <alignment horizontal="left" vertical="center"/>
    </xf>
    <xf numFmtId="0" fontId="247" fillId="0" borderId="0" xfId="0" quotePrefix="1" applyFont="1" applyFill="1" applyBorder="1" applyAlignment="1" applyProtection="1">
      <alignment vertical="center"/>
    </xf>
    <xf numFmtId="0" fontId="10" fillId="0" borderId="5" xfId="0" applyNumberFormat="1" applyFont="1" applyFill="1" applyBorder="1" applyAlignment="1" applyProtection="1">
      <alignment horizontal="center" vertical="center"/>
      <protection locked="0"/>
    </xf>
    <xf numFmtId="0" fontId="10" fillId="0" borderId="46" xfId="8" applyFont="1" applyFill="1" applyBorder="1" applyAlignment="1">
      <alignment horizontal="center" vertical="center"/>
    </xf>
    <xf numFmtId="0" fontId="73" fillId="4" borderId="9" xfId="0" applyFont="1" applyFill="1" applyBorder="1" applyAlignment="1">
      <alignment horizontal="centerContinuous" vertical="center"/>
    </xf>
    <xf numFmtId="0" fontId="71" fillId="4" borderId="9" xfId="0" applyFont="1" applyFill="1" applyBorder="1" applyAlignment="1">
      <alignment horizontal="centerContinuous" vertical="center"/>
    </xf>
    <xf numFmtId="0" fontId="71" fillId="4" borderId="5" xfId="0" applyFont="1" applyFill="1" applyBorder="1" applyAlignment="1">
      <alignment horizontal="centerContinuous" vertical="center" wrapText="1"/>
    </xf>
    <xf numFmtId="0" fontId="71" fillId="4" borderId="9" xfId="0" applyFont="1" applyFill="1" applyBorder="1" applyAlignment="1">
      <alignment horizontal="centerContinuous" vertical="center" wrapText="1"/>
    </xf>
    <xf numFmtId="0" fontId="71" fillId="4" borderId="6" xfId="0" applyFont="1" applyFill="1" applyBorder="1" applyAlignment="1">
      <alignment horizontal="centerContinuous" vertical="center" wrapText="1"/>
    </xf>
    <xf numFmtId="0" fontId="50" fillId="0" borderId="1" xfId="0" applyFont="1" applyFill="1" applyBorder="1" applyAlignment="1">
      <alignment vertical="center" wrapText="1"/>
    </xf>
    <xf numFmtId="0" fontId="99" fillId="0" borderId="1" xfId="84" applyFill="1" applyBorder="1" applyAlignment="1" applyProtection="1">
      <alignment vertical="center" wrapText="1"/>
    </xf>
    <xf numFmtId="175" fontId="249" fillId="5" borderId="1" xfId="0" applyNumberFormat="1" applyFont="1" applyFill="1" applyBorder="1" applyAlignment="1" applyProtection="1">
      <alignment horizontal="center" vertical="center"/>
      <protection locked="0"/>
    </xf>
    <xf numFmtId="0" fontId="116" fillId="0" borderId="1" xfId="0" applyFont="1" applyBorder="1" applyAlignment="1" applyProtection="1">
      <alignment horizontal="center" vertical="center"/>
      <protection locked="0"/>
    </xf>
    <xf numFmtId="0" fontId="116" fillId="0" borderId="1" xfId="0" applyFont="1" applyFill="1" applyBorder="1" applyAlignment="1" applyProtection="1">
      <alignment horizontal="center" vertical="center"/>
      <protection locked="0"/>
    </xf>
    <xf numFmtId="20" fontId="116" fillId="0" borderId="1" xfId="0" applyNumberFormat="1" applyFont="1" applyBorder="1" applyAlignment="1" applyProtection="1">
      <alignment horizontal="center" vertical="center"/>
      <protection locked="0"/>
    </xf>
    <xf numFmtId="0" fontId="116" fillId="0" borderId="11" xfId="0" applyFont="1" applyBorder="1" applyAlignment="1" applyProtection="1">
      <alignment horizontal="center" vertical="center"/>
      <protection locked="0"/>
    </xf>
    <xf numFmtId="20" fontId="116" fillId="0" borderId="0" xfId="0" applyNumberFormat="1" applyFont="1" applyBorder="1" applyAlignment="1" applyProtection="1">
      <alignment horizontal="center" vertical="center"/>
      <protection locked="0"/>
    </xf>
    <xf numFmtId="0" fontId="116" fillId="0" borderId="0" xfId="0" applyFont="1" applyFill="1" applyBorder="1" applyAlignment="1" applyProtection="1">
      <alignment horizontal="left" vertical="center"/>
      <protection locked="0"/>
    </xf>
    <xf numFmtId="0" fontId="116" fillId="0" borderId="0" xfId="0" applyFont="1" applyFill="1" applyBorder="1" applyAlignment="1" applyProtection="1">
      <alignment horizontal="center" vertical="center"/>
      <protection locked="0"/>
    </xf>
    <xf numFmtId="20" fontId="116" fillId="0" borderId="16" xfId="0" applyNumberFormat="1" applyFont="1" applyBorder="1" applyAlignment="1" applyProtection="1">
      <alignment horizontal="center" vertical="center"/>
      <protection locked="0"/>
    </xf>
    <xf numFmtId="0" fontId="116" fillId="0" borderId="87" xfId="0" applyFont="1" applyBorder="1" applyAlignment="1" applyProtection="1">
      <alignment horizontal="center" vertical="center"/>
      <protection locked="0"/>
    </xf>
    <xf numFmtId="20" fontId="116" fillId="0" borderId="69" xfId="0" applyNumberFormat="1" applyFont="1" applyBorder="1" applyAlignment="1" applyProtection="1">
      <alignment horizontal="center" vertical="center"/>
      <protection locked="0"/>
    </xf>
    <xf numFmtId="0" fontId="116" fillId="0" borderId="69" xfId="0" applyFont="1" applyBorder="1" applyAlignment="1" applyProtection="1">
      <alignment horizontal="left" vertical="center"/>
      <protection locked="0"/>
    </xf>
    <xf numFmtId="0" fontId="116" fillId="0" borderId="69" xfId="0" applyFont="1" applyFill="1" applyBorder="1" applyAlignment="1" applyProtection="1">
      <alignment horizontal="center" vertical="center"/>
      <protection locked="0"/>
    </xf>
    <xf numFmtId="20" fontId="116" fillId="0" borderId="70" xfId="0" applyNumberFormat="1" applyFont="1" applyBorder="1" applyAlignment="1" applyProtection="1">
      <alignment horizontal="center" vertical="center"/>
      <protection locked="0"/>
    </xf>
    <xf numFmtId="0" fontId="14" fillId="11" borderId="0" xfId="0" applyFont="1" applyFill="1" applyBorder="1" applyAlignment="1">
      <alignment horizontal="center" vertical="center"/>
    </xf>
    <xf numFmtId="0" fontId="219" fillId="60" borderId="1" xfId="0" applyFont="1" applyFill="1" applyBorder="1" applyAlignment="1">
      <alignment horizontal="center" vertical="center"/>
    </xf>
    <xf numFmtId="0" fontId="38" fillId="14" borderId="8" xfId="0" applyFont="1" applyFill="1" applyBorder="1" applyAlignment="1">
      <alignment horizontal="center" vertical="center"/>
    </xf>
    <xf numFmtId="0" fontId="38" fillId="14" borderId="9" xfId="0" applyFont="1" applyFill="1" applyBorder="1" applyAlignment="1">
      <alignment horizontal="center" vertical="center"/>
    </xf>
    <xf numFmtId="165" fontId="50" fillId="0" borderId="0" xfId="1" applyNumberFormat="1" applyFont="1" applyFill="1" applyBorder="1" applyAlignment="1" applyProtection="1">
      <alignment horizontal="center" vertical="center"/>
    </xf>
    <xf numFmtId="0" fontId="38" fillId="14" borderId="8" xfId="0" applyFont="1" applyFill="1" applyBorder="1" applyAlignment="1">
      <alignment horizontal="left" vertical="center"/>
    </xf>
    <xf numFmtId="0" fontId="38" fillId="14" borderId="221" xfId="0" applyFont="1" applyFill="1" applyBorder="1" applyAlignment="1">
      <alignment horizontal="center" vertical="center" wrapText="1"/>
    </xf>
    <xf numFmtId="0" fontId="38" fillId="14" borderId="222" xfId="0" applyFont="1" applyFill="1" applyBorder="1" applyAlignment="1">
      <alignment horizontal="center" vertical="center"/>
    </xf>
    <xf numFmtId="0" fontId="50" fillId="0" borderId="222" xfId="0" applyNumberFormat="1" applyFont="1" applyFill="1" applyBorder="1" applyAlignment="1" applyProtection="1">
      <alignment horizontal="center" vertical="center" wrapText="1"/>
    </xf>
    <xf numFmtId="0" fontId="38" fillId="0" borderId="223" xfId="0" applyNumberFormat="1" applyFont="1" applyFill="1" applyBorder="1" applyAlignment="1" applyProtection="1">
      <alignment horizontal="center" vertical="center" wrapText="1"/>
    </xf>
    <xf numFmtId="0" fontId="50" fillId="0" borderId="222" xfId="0" applyFont="1" applyFill="1" applyBorder="1" applyAlignment="1">
      <alignment horizontal="center" vertical="center"/>
    </xf>
    <xf numFmtId="0" fontId="38" fillId="14" borderId="220" xfId="0" applyFont="1" applyFill="1" applyBorder="1" applyAlignment="1">
      <alignment horizontal="center" vertical="center" wrapText="1"/>
    </xf>
    <xf numFmtId="170" fontId="38" fillId="0" borderId="162" xfId="0" applyNumberFormat="1" applyFont="1" applyFill="1" applyBorder="1" applyAlignment="1" applyProtection="1">
      <alignment vertical="center"/>
      <protection locked="0"/>
    </xf>
    <xf numFmtId="0" fontId="24" fillId="0" borderId="153" xfId="0" applyFont="1" applyFill="1" applyBorder="1" applyAlignment="1" applyProtection="1">
      <alignment vertical="center" wrapText="1"/>
    </xf>
    <xf numFmtId="169" fontId="38" fillId="11" borderId="163" xfId="0" applyNumberFormat="1" applyFont="1" applyFill="1" applyBorder="1" applyAlignment="1">
      <alignment horizontal="center" vertical="center"/>
    </xf>
    <xf numFmtId="166" fontId="38" fillId="0" borderId="163" xfId="0" applyNumberFormat="1" applyFont="1" applyFill="1" applyBorder="1" applyAlignment="1">
      <alignment horizontal="center" vertical="center"/>
    </xf>
    <xf numFmtId="168" fontId="38" fillId="0" borderId="163" xfId="0" applyNumberFormat="1" applyFont="1" applyFill="1" applyBorder="1" applyAlignment="1" applyProtection="1">
      <alignment horizontal="center" vertical="center"/>
    </xf>
    <xf numFmtId="168" fontId="51" fillId="11" borderId="163" xfId="0" applyNumberFormat="1" applyFont="1" applyFill="1" applyBorder="1" applyAlignment="1" applyProtection="1">
      <alignment horizontal="center" vertical="center"/>
    </xf>
    <xf numFmtId="168" fontId="38" fillId="0" borderId="164" xfId="0" applyNumberFormat="1" applyFont="1" applyFill="1" applyBorder="1" applyAlignment="1">
      <alignment horizontal="center" vertical="center"/>
    </xf>
    <xf numFmtId="170" fontId="38" fillId="11" borderId="150" xfId="0" applyNumberFormat="1" applyFont="1" applyFill="1" applyBorder="1" applyAlignment="1" applyProtection="1">
      <alignment vertical="center"/>
      <protection locked="0"/>
    </xf>
    <xf numFmtId="170" fontId="38" fillId="11" borderId="154" xfId="0" applyNumberFormat="1" applyFont="1" applyFill="1" applyBorder="1" applyAlignment="1" applyProtection="1">
      <alignment vertical="center"/>
      <protection locked="0"/>
    </xf>
    <xf numFmtId="170" fontId="38" fillId="11" borderId="152" xfId="0" applyNumberFormat="1" applyFont="1" applyFill="1" applyBorder="1" applyAlignment="1" applyProtection="1">
      <alignment horizontal="center" vertical="center"/>
      <protection locked="0"/>
    </xf>
    <xf numFmtId="170" fontId="38" fillId="11" borderId="151" xfId="0" applyNumberFormat="1" applyFont="1" applyFill="1" applyBorder="1" applyAlignment="1" applyProtection="1">
      <alignment horizontal="center" vertical="center"/>
      <protection locked="0"/>
    </xf>
    <xf numFmtId="0" fontId="24" fillId="0" borderId="83" xfId="0" applyFont="1" applyFill="1" applyBorder="1" applyAlignment="1" applyProtection="1">
      <alignment horizontal="center" vertical="center" wrapText="1"/>
    </xf>
    <xf numFmtId="169" fontId="38" fillId="11" borderId="140" xfId="0" applyNumberFormat="1" applyFont="1" applyFill="1" applyBorder="1" applyAlignment="1">
      <alignment horizontal="center" vertical="center" wrapText="1"/>
    </xf>
    <xf numFmtId="167" fontId="38" fillId="0" borderId="84" xfId="0" applyNumberFormat="1" applyFont="1" applyFill="1" applyBorder="1" applyAlignment="1">
      <alignment horizontal="center" vertical="center"/>
    </xf>
    <xf numFmtId="177" fontId="51" fillId="0" borderId="84" xfId="0" applyNumberFormat="1" applyFont="1" applyFill="1" applyBorder="1" applyAlignment="1" applyProtection="1">
      <alignment horizontal="center" vertical="center" shrinkToFit="1"/>
    </xf>
    <xf numFmtId="0" fontId="38" fillId="13" borderId="1" xfId="0" applyFont="1" applyFill="1" applyBorder="1" applyAlignment="1">
      <alignment horizontal="center" vertical="center"/>
    </xf>
    <xf numFmtId="177" fontId="38" fillId="0" borderId="84" xfId="0" applyNumberFormat="1" applyFont="1" applyFill="1" applyBorder="1" applyAlignment="1" applyProtection="1">
      <alignment horizontal="center" vertical="center"/>
    </xf>
    <xf numFmtId="0" fontId="38" fillId="13" borderId="5" xfId="0" applyFont="1" applyFill="1" applyBorder="1" applyAlignment="1" applyProtection="1">
      <alignment horizontal="center" vertical="center" wrapText="1"/>
    </xf>
    <xf numFmtId="0" fontId="50" fillId="13" borderId="1" xfId="0" applyFont="1" applyFill="1" applyBorder="1" applyAlignment="1">
      <alignment horizontal="center" vertical="center"/>
    </xf>
    <xf numFmtId="0" fontId="38" fillId="13" borderId="122" xfId="8" applyNumberFormat="1" applyFont="1" applyFill="1" applyBorder="1" applyAlignment="1" applyProtection="1">
      <alignment horizontal="center" vertical="center" wrapText="1"/>
    </xf>
    <xf numFmtId="0" fontId="50" fillId="13" borderId="0" xfId="0" applyFont="1" applyFill="1" applyAlignment="1">
      <alignment horizontal="center" vertical="center"/>
    </xf>
    <xf numFmtId="0" fontId="38" fillId="13" borderId="0" xfId="0" applyFont="1" applyFill="1" applyAlignment="1">
      <alignment horizontal="center" vertical="center"/>
    </xf>
    <xf numFmtId="0" fontId="24" fillId="13" borderId="83" xfId="0" applyFont="1" applyFill="1" applyBorder="1" applyAlignment="1" applyProtection="1">
      <alignment horizontal="center" vertical="center" wrapText="1"/>
    </xf>
    <xf numFmtId="169" fontId="38" fillId="13" borderId="140" xfId="0" applyNumberFormat="1" applyFont="1" applyFill="1" applyBorder="1" applyAlignment="1">
      <alignment horizontal="center" vertical="center" wrapText="1"/>
    </xf>
    <xf numFmtId="167" fontId="38" fillId="13" borderId="84" xfId="0" applyNumberFormat="1" applyFont="1" applyFill="1" applyBorder="1" applyAlignment="1">
      <alignment horizontal="center" vertical="center"/>
    </xf>
    <xf numFmtId="177" fontId="38" fillId="13" borderId="84" xfId="0" applyNumberFormat="1" applyFont="1" applyFill="1" applyBorder="1" applyAlignment="1" applyProtection="1">
      <alignment horizontal="center" vertical="center"/>
    </xf>
    <xf numFmtId="177" fontId="51" fillId="13" borderId="84" xfId="0" applyNumberFormat="1" applyFont="1" applyFill="1" applyBorder="1" applyAlignment="1" applyProtection="1">
      <alignment horizontal="center" vertical="center" shrinkToFit="1"/>
    </xf>
    <xf numFmtId="166" fontId="38" fillId="13" borderId="85" xfId="0" applyNumberFormat="1" applyFont="1" applyFill="1" applyBorder="1" applyAlignment="1" applyProtection="1">
      <alignment horizontal="center" vertical="center"/>
    </xf>
    <xf numFmtId="176" fontId="24" fillId="0" borderId="112" xfId="0" applyNumberFormat="1" applyFont="1" applyFill="1" applyBorder="1" applyAlignment="1" applyProtection="1">
      <alignment horizontal="center" vertical="center" wrapText="1"/>
    </xf>
    <xf numFmtId="173" fontId="24" fillId="0" borderId="112" xfId="0" applyNumberFormat="1" applyFont="1" applyFill="1" applyBorder="1" applyAlignment="1" applyProtection="1">
      <alignment horizontal="center" vertical="center" wrapText="1"/>
    </xf>
    <xf numFmtId="0" fontId="75" fillId="0" borderId="3" xfId="4" applyFont="1" applyBorder="1" applyAlignment="1">
      <alignment horizontal="center" vertical="center" wrapText="1"/>
    </xf>
    <xf numFmtId="0" fontId="75" fillId="0" borderId="86" xfId="4" applyFont="1" applyBorder="1" applyAlignment="1">
      <alignment horizontal="center" vertical="center"/>
    </xf>
    <xf numFmtId="0" fontId="209" fillId="0" borderId="1" xfId="4" applyFont="1" applyBorder="1" applyAlignment="1">
      <alignment horizontal="center" vertical="center" wrapText="1"/>
    </xf>
    <xf numFmtId="0" fontId="209" fillId="0" borderId="1" xfId="4" applyFont="1" applyBorder="1" applyAlignment="1">
      <alignment horizontal="center" vertical="center"/>
    </xf>
    <xf numFmtId="0" fontId="219" fillId="13" borderId="5" xfId="4" applyFont="1" applyFill="1" applyBorder="1" applyAlignment="1">
      <alignment horizontal="center" vertical="center"/>
    </xf>
    <xf numFmtId="0" fontId="219" fillId="13" borderId="6" xfId="4" applyFont="1" applyFill="1" applyBorder="1" applyAlignment="1">
      <alignment horizontal="center" vertical="center"/>
    </xf>
    <xf numFmtId="0" fontId="209" fillId="0" borderId="3" xfId="4" applyFont="1" applyBorder="1" applyAlignment="1">
      <alignment horizontal="center" vertical="center" wrapText="1"/>
    </xf>
    <xf numFmtId="0" fontId="209" fillId="0" borderId="10" xfId="4" applyFont="1" applyBorder="1" applyAlignment="1">
      <alignment horizontal="center" vertical="center" wrapText="1"/>
    </xf>
    <xf numFmtId="0" fontId="209" fillId="0" borderId="86" xfId="4" applyFont="1" applyBorder="1" applyAlignment="1">
      <alignment horizontal="center" vertical="center" wrapText="1"/>
    </xf>
    <xf numFmtId="0" fontId="145" fillId="0" borderId="0" xfId="4" applyFont="1" applyAlignment="1">
      <alignment horizontal="center" vertical="center"/>
    </xf>
    <xf numFmtId="0" fontId="50" fillId="12" borderId="42" xfId="84" quotePrefix="1" applyFont="1" applyFill="1" applyBorder="1" applyAlignment="1" applyProtection="1">
      <alignment horizontal="center" vertical="center"/>
    </xf>
    <xf numFmtId="0" fontId="50" fillId="12" borderId="43" xfId="84" quotePrefix="1" applyFont="1" applyFill="1" applyBorder="1" applyAlignment="1" applyProtection="1">
      <alignment horizontal="center" vertical="center"/>
    </xf>
    <xf numFmtId="0" fontId="50" fillId="12" borderId="44" xfId="84" quotePrefix="1" applyFont="1" applyFill="1" applyBorder="1" applyAlignment="1" applyProtection="1">
      <alignment horizontal="center" vertical="center"/>
    </xf>
    <xf numFmtId="0" fontId="50" fillId="12" borderId="45" xfId="84" quotePrefix="1" applyFont="1" applyFill="1" applyBorder="1" applyAlignment="1" applyProtection="1">
      <alignment horizontal="center" vertical="center"/>
    </xf>
    <xf numFmtId="0" fontId="50" fillId="12" borderId="40" xfId="84" quotePrefix="1" applyFont="1" applyFill="1" applyBorder="1" applyAlignment="1" applyProtection="1">
      <alignment horizontal="center" vertical="center"/>
    </xf>
    <xf numFmtId="0" fontId="50" fillId="12" borderId="41" xfId="84" quotePrefix="1" applyFont="1" applyFill="1" applyBorder="1" applyAlignment="1" applyProtection="1">
      <alignment horizontal="center" vertical="center"/>
    </xf>
    <xf numFmtId="0" fontId="38" fillId="35" borderId="1" xfId="0" applyFont="1" applyFill="1" applyBorder="1" applyAlignment="1">
      <alignment horizontal="center" vertical="center"/>
    </xf>
    <xf numFmtId="0" fontId="51" fillId="35" borderId="5" xfId="0" applyFont="1" applyFill="1" applyBorder="1" applyAlignment="1">
      <alignment horizontal="center" vertical="top" wrapText="1"/>
    </xf>
    <xf numFmtId="0" fontId="51" fillId="35" borderId="9" xfId="0" applyFont="1" applyFill="1" applyBorder="1" applyAlignment="1">
      <alignment horizontal="center" vertical="top"/>
    </xf>
    <xf numFmtId="0" fontId="51" fillId="35" borderId="6" xfId="0" applyFont="1" applyFill="1" applyBorder="1" applyAlignment="1">
      <alignment horizontal="center" vertical="top"/>
    </xf>
    <xf numFmtId="0" fontId="243" fillId="35" borderId="0" xfId="0" applyFont="1" applyFill="1" applyBorder="1" applyAlignment="1">
      <alignment horizontal="center" vertical="center"/>
    </xf>
    <xf numFmtId="0" fontId="243" fillId="35" borderId="69" xfId="0" applyFont="1" applyFill="1" applyBorder="1" applyAlignment="1">
      <alignment horizontal="center" vertical="center"/>
    </xf>
    <xf numFmtId="0" fontId="51" fillId="35" borderId="1" xfId="0" applyFont="1" applyFill="1" applyBorder="1" applyAlignment="1">
      <alignment horizontal="center" vertical="center"/>
    </xf>
    <xf numFmtId="0" fontId="52" fillId="37" borderId="32" xfId="84" quotePrefix="1" applyFont="1" applyFill="1" applyBorder="1" applyAlignment="1" applyProtection="1">
      <alignment horizontal="center" vertical="center"/>
    </xf>
    <xf numFmtId="0" fontId="52" fillId="37" borderId="33" xfId="84" quotePrefix="1" applyFont="1" applyFill="1" applyBorder="1" applyAlignment="1" applyProtection="1">
      <alignment horizontal="center" vertical="center"/>
    </xf>
    <xf numFmtId="0" fontId="52" fillId="37" borderId="38" xfId="84" quotePrefix="1" applyFont="1" applyFill="1" applyBorder="1" applyAlignment="1" applyProtection="1">
      <alignment horizontal="center" vertical="center"/>
    </xf>
    <xf numFmtId="0" fontId="52" fillId="37" borderId="35" xfId="84" quotePrefix="1" applyFont="1" applyFill="1" applyBorder="1" applyAlignment="1" applyProtection="1">
      <alignment horizontal="center" vertical="center"/>
    </xf>
    <xf numFmtId="0" fontId="52" fillId="37" borderId="36" xfId="84" quotePrefix="1" applyFont="1" applyFill="1" applyBorder="1" applyAlignment="1" applyProtection="1">
      <alignment horizontal="center" vertical="center"/>
    </xf>
    <xf numFmtId="0" fontId="52" fillId="37" borderId="39" xfId="84" quotePrefix="1" applyFont="1" applyFill="1" applyBorder="1" applyAlignment="1" applyProtection="1">
      <alignment horizontal="center" vertical="center"/>
    </xf>
    <xf numFmtId="0" fontId="38" fillId="37" borderId="32" xfId="84" quotePrefix="1" applyFont="1" applyFill="1" applyBorder="1" applyAlignment="1" applyProtection="1">
      <alignment horizontal="center" vertical="center"/>
    </xf>
    <xf numFmtId="0" fontId="38" fillId="37" borderId="33" xfId="84" quotePrefix="1" applyFont="1" applyFill="1" applyBorder="1" applyAlignment="1" applyProtection="1">
      <alignment horizontal="center" vertical="center"/>
    </xf>
    <xf numFmtId="0" fontId="38" fillId="37" borderId="38" xfId="84" quotePrefix="1" applyFont="1" applyFill="1" applyBorder="1" applyAlignment="1" applyProtection="1">
      <alignment horizontal="center" vertical="center"/>
    </xf>
    <xf numFmtId="0" fontId="38" fillId="37" borderId="35" xfId="84" quotePrefix="1" applyFont="1" applyFill="1" applyBorder="1" applyAlignment="1" applyProtection="1">
      <alignment horizontal="center" vertical="center"/>
    </xf>
    <xf numFmtId="0" fontId="38" fillId="37" borderId="36" xfId="84" quotePrefix="1" applyFont="1" applyFill="1" applyBorder="1" applyAlignment="1" applyProtection="1">
      <alignment horizontal="center" vertical="center"/>
    </xf>
    <xf numFmtId="0" fontId="38" fillId="37" borderId="39" xfId="84" quotePrefix="1" applyFont="1" applyFill="1" applyBorder="1" applyAlignment="1" applyProtection="1">
      <alignment horizontal="center" vertical="center"/>
    </xf>
    <xf numFmtId="0" fontId="143" fillId="35" borderId="113" xfId="0" applyFont="1" applyFill="1" applyBorder="1" applyAlignment="1">
      <alignment horizontal="center" vertical="center"/>
    </xf>
    <xf numFmtId="0" fontId="143" fillId="35" borderId="114" xfId="0" applyFont="1" applyFill="1" applyBorder="1" applyAlignment="1">
      <alignment horizontal="center" vertical="center"/>
    </xf>
    <xf numFmtId="0" fontId="50" fillId="35" borderId="64" xfId="0" applyFont="1" applyFill="1" applyBorder="1" applyAlignment="1">
      <alignment horizontal="left" vertical="center" wrapText="1"/>
    </xf>
    <xf numFmtId="0" fontId="50" fillId="35" borderId="0" xfId="0" applyFont="1" applyFill="1" applyBorder="1" applyAlignment="1">
      <alignment horizontal="left" vertical="center" wrapText="1"/>
    </xf>
    <xf numFmtId="189" fontId="143" fillId="35" borderId="42" xfId="0" applyNumberFormat="1" applyFont="1" applyFill="1" applyBorder="1" applyAlignment="1" applyProtection="1">
      <alignment horizontal="center" vertical="center" wrapText="1"/>
      <protection locked="0"/>
    </xf>
    <xf numFmtId="189" fontId="143" fillId="35" borderId="43" xfId="0" applyNumberFormat="1" applyFont="1" applyFill="1" applyBorder="1" applyAlignment="1" applyProtection="1">
      <alignment horizontal="center" vertical="center" wrapText="1"/>
      <protection locked="0"/>
    </xf>
    <xf numFmtId="189" fontId="143" fillId="35" borderId="44" xfId="0" applyNumberFormat="1" applyFont="1" applyFill="1" applyBorder="1" applyAlignment="1" applyProtection="1">
      <alignment horizontal="center" vertical="center" wrapText="1"/>
      <protection locked="0"/>
    </xf>
    <xf numFmtId="189" fontId="143" fillId="35" borderId="58" xfId="0" applyNumberFormat="1" applyFont="1" applyFill="1" applyBorder="1" applyAlignment="1" applyProtection="1">
      <alignment horizontal="center" vertical="center" wrapText="1"/>
      <protection locked="0"/>
    </xf>
    <xf numFmtId="189" fontId="143" fillId="35" borderId="69" xfId="0" applyNumberFormat="1" applyFont="1" applyFill="1" applyBorder="1" applyAlignment="1" applyProtection="1">
      <alignment horizontal="center" vertical="center" wrapText="1"/>
      <protection locked="0"/>
    </xf>
    <xf numFmtId="189" fontId="143" fillId="35" borderId="59" xfId="0" applyNumberFormat="1" applyFont="1" applyFill="1" applyBorder="1" applyAlignment="1" applyProtection="1">
      <alignment horizontal="center" vertical="center" wrapText="1"/>
      <protection locked="0"/>
    </xf>
    <xf numFmtId="0" fontId="24" fillId="55" borderId="32" xfId="84" quotePrefix="1" applyFont="1" applyFill="1" applyBorder="1" applyAlignment="1" applyProtection="1">
      <alignment horizontal="center" vertical="center"/>
    </xf>
    <xf numFmtId="0" fontId="24" fillId="55" borderId="33" xfId="84" quotePrefix="1" applyFont="1" applyFill="1" applyBorder="1" applyAlignment="1" applyProtection="1">
      <alignment horizontal="center" vertical="center"/>
    </xf>
    <xf numFmtId="0" fontId="24" fillId="55" borderId="38" xfId="84" quotePrefix="1" applyFont="1" applyFill="1" applyBorder="1" applyAlignment="1" applyProtection="1">
      <alignment horizontal="center" vertical="center"/>
    </xf>
    <xf numFmtId="0" fontId="24" fillId="55" borderId="35" xfId="84" quotePrefix="1" applyFont="1" applyFill="1" applyBorder="1" applyAlignment="1" applyProtection="1">
      <alignment horizontal="center" vertical="center"/>
    </xf>
    <xf numFmtId="0" fontId="24" fillId="55" borderId="36" xfId="84" quotePrefix="1" applyFont="1" applyFill="1" applyBorder="1" applyAlignment="1" applyProtection="1">
      <alignment horizontal="center" vertical="center"/>
    </xf>
    <xf numFmtId="0" fontId="24" fillId="55" borderId="39" xfId="84" quotePrefix="1" applyFont="1" applyFill="1" applyBorder="1" applyAlignment="1" applyProtection="1">
      <alignment horizontal="center" vertical="center"/>
    </xf>
    <xf numFmtId="14" fontId="177" fillId="45" borderId="42" xfId="84" quotePrefix="1" applyNumberFormat="1" applyFont="1" applyFill="1" applyBorder="1" applyAlignment="1" applyProtection="1">
      <alignment horizontal="center" vertical="center"/>
      <protection locked="0"/>
    </xf>
    <xf numFmtId="14" fontId="177" fillId="45" borderId="60" xfId="84" applyNumberFormat="1" applyFont="1" applyFill="1" applyBorder="1" applyAlignment="1" applyProtection="1">
      <alignment horizontal="center" vertical="center"/>
      <protection locked="0"/>
    </xf>
    <xf numFmtId="14" fontId="177" fillId="45" borderId="58" xfId="84" applyNumberFormat="1" applyFont="1" applyFill="1" applyBorder="1" applyAlignment="1" applyProtection="1">
      <alignment horizontal="center" vertical="center"/>
      <protection locked="0"/>
    </xf>
    <xf numFmtId="14" fontId="177" fillId="45" borderId="15" xfId="84" applyNumberFormat="1" applyFont="1" applyFill="1" applyBorder="1" applyAlignment="1" applyProtection="1">
      <alignment horizontal="center" vertical="center"/>
      <protection locked="0"/>
    </xf>
    <xf numFmtId="189" fontId="143" fillId="45" borderId="62" xfId="0" quotePrefix="1" applyNumberFormat="1" applyFont="1" applyFill="1" applyBorder="1" applyAlignment="1" applyProtection="1">
      <alignment horizontal="center" vertical="center"/>
      <protection locked="0"/>
    </xf>
    <xf numFmtId="189" fontId="143" fillId="45" borderId="63" xfId="0" applyNumberFormat="1" applyFont="1" applyFill="1" applyBorder="1" applyAlignment="1" applyProtection="1">
      <alignment horizontal="center" vertical="center"/>
      <protection locked="0"/>
    </xf>
    <xf numFmtId="14" fontId="165" fillId="35" borderId="42" xfId="84" quotePrefix="1" applyNumberFormat="1" applyFont="1" applyFill="1" applyBorder="1" applyAlignment="1" applyProtection="1">
      <alignment horizontal="center" vertical="center"/>
      <protection locked="0"/>
    </xf>
    <xf numFmtId="14" fontId="165" fillId="35" borderId="44" xfId="84" applyNumberFormat="1" applyFont="1" applyFill="1" applyBorder="1" applyAlignment="1" applyProtection="1">
      <alignment horizontal="center" vertical="center"/>
      <protection locked="0"/>
    </xf>
    <xf numFmtId="14" fontId="165" fillId="35" borderId="58" xfId="84" applyNumberFormat="1" applyFont="1" applyFill="1" applyBorder="1" applyAlignment="1" applyProtection="1">
      <alignment horizontal="center" vertical="center"/>
      <protection locked="0"/>
    </xf>
    <xf numFmtId="14" fontId="165" fillId="35" borderId="59" xfId="84" applyNumberFormat="1" applyFont="1" applyFill="1" applyBorder="1" applyAlignment="1" applyProtection="1">
      <alignment horizontal="center" vertical="center"/>
      <protection locked="0"/>
    </xf>
    <xf numFmtId="14" fontId="98" fillId="35" borderId="42" xfId="0" quotePrefix="1" applyNumberFormat="1" applyFont="1" applyFill="1" applyBorder="1" applyAlignment="1" applyProtection="1">
      <alignment horizontal="center" vertical="center"/>
      <protection locked="0"/>
    </xf>
    <xf numFmtId="14" fontId="98" fillId="35" borderId="44" xfId="0" applyNumberFormat="1" applyFont="1" applyFill="1" applyBorder="1" applyAlignment="1" applyProtection="1">
      <alignment horizontal="center" vertical="center"/>
      <protection locked="0"/>
    </xf>
    <xf numFmtId="14" fontId="98" fillId="35" borderId="58" xfId="0" applyNumberFormat="1" applyFont="1" applyFill="1" applyBorder="1" applyAlignment="1" applyProtection="1">
      <alignment horizontal="center" vertical="center"/>
      <protection locked="0"/>
    </xf>
    <xf numFmtId="14" fontId="98" fillId="35" borderId="59" xfId="0" applyNumberFormat="1" applyFont="1" applyFill="1" applyBorder="1" applyAlignment="1" applyProtection="1">
      <alignment horizontal="center" vertical="center"/>
      <protection locked="0"/>
    </xf>
    <xf numFmtId="0" fontId="50" fillId="35" borderId="32" xfId="84" applyFont="1" applyFill="1" applyBorder="1" applyAlignment="1" applyProtection="1">
      <alignment horizontal="center" vertical="center"/>
    </xf>
    <xf numFmtId="0" fontId="50" fillId="35" borderId="33" xfId="84" applyFont="1" applyFill="1" applyBorder="1" applyAlignment="1" applyProtection="1">
      <alignment horizontal="center" vertical="center"/>
    </xf>
    <xf numFmtId="0" fontId="50" fillId="35" borderId="38" xfId="84" applyFont="1" applyFill="1" applyBorder="1" applyAlignment="1" applyProtection="1">
      <alignment horizontal="center" vertical="center"/>
    </xf>
    <xf numFmtId="0" fontId="50" fillId="35" borderId="35" xfId="84" applyFont="1" applyFill="1" applyBorder="1" applyAlignment="1" applyProtection="1">
      <alignment horizontal="center" vertical="center"/>
    </xf>
    <xf numFmtId="0" fontId="50" fillId="35" borderId="36" xfId="84" applyFont="1" applyFill="1" applyBorder="1" applyAlignment="1" applyProtection="1">
      <alignment horizontal="center" vertical="center"/>
    </xf>
    <xf numFmtId="0" fontId="50" fillId="35" borderId="39" xfId="84" applyFont="1" applyFill="1" applyBorder="1" applyAlignment="1" applyProtection="1">
      <alignment horizontal="center" vertical="center"/>
    </xf>
    <xf numFmtId="189" fontId="143" fillId="35" borderId="62" xfId="0" applyNumberFormat="1" applyFont="1" applyFill="1" applyBorder="1" applyAlignment="1" applyProtection="1">
      <alignment horizontal="center" vertical="center"/>
      <protection locked="0"/>
    </xf>
    <xf numFmtId="189" fontId="143" fillId="35" borderId="63" xfId="0" applyNumberFormat="1" applyFont="1" applyFill="1" applyBorder="1" applyAlignment="1" applyProtection="1">
      <alignment horizontal="center" vertical="center"/>
      <protection locked="0"/>
    </xf>
    <xf numFmtId="0" fontId="50" fillId="8" borderId="32" xfId="84" applyFont="1" applyFill="1" applyBorder="1" applyAlignment="1" applyProtection="1">
      <alignment horizontal="center" vertical="center"/>
    </xf>
    <xf numFmtId="0" fontId="50" fillId="8" borderId="33" xfId="84" applyFont="1" applyFill="1" applyBorder="1" applyAlignment="1" applyProtection="1">
      <alignment horizontal="center" vertical="center"/>
    </xf>
    <xf numFmtId="0" fontId="50" fillId="8" borderId="38" xfId="84" applyFont="1" applyFill="1" applyBorder="1" applyAlignment="1" applyProtection="1">
      <alignment horizontal="center" vertical="center"/>
    </xf>
    <xf numFmtId="0" fontId="50" fillId="8" borderId="35" xfId="84" applyFont="1" applyFill="1" applyBorder="1" applyAlignment="1" applyProtection="1">
      <alignment horizontal="center" vertical="center"/>
    </xf>
    <xf numFmtId="0" fontId="50" fillId="8" borderId="36" xfId="84" applyFont="1" applyFill="1" applyBorder="1" applyAlignment="1" applyProtection="1">
      <alignment horizontal="center" vertical="center"/>
    </xf>
    <xf numFmtId="0" fontId="50" fillId="8" borderId="39" xfId="84" applyFont="1" applyFill="1" applyBorder="1" applyAlignment="1" applyProtection="1">
      <alignment horizontal="center" vertical="center"/>
    </xf>
    <xf numFmtId="0" fontId="50" fillId="10" borderId="32" xfId="84" applyFont="1" applyFill="1" applyBorder="1" applyAlignment="1" applyProtection="1">
      <alignment horizontal="center" vertical="center"/>
    </xf>
    <xf numFmtId="0" fontId="50" fillId="10" borderId="33" xfId="84" applyFont="1" applyFill="1" applyBorder="1" applyAlignment="1" applyProtection="1">
      <alignment horizontal="center" vertical="center"/>
    </xf>
    <xf numFmtId="0" fontId="50" fillId="10" borderId="38" xfId="84" applyFont="1" applyFill="1" applyBorder="1" applyAlignment="1" applyProtection="1">
      <alignment horizontal="center" vertical="center"/>
    </xf>
    <xf numFmtId="0" fontId="50" fillId="10" borderId="35" xfId="84" applyFont="1" applyFill="1" applyBorder="1" applyAlignment="1" applyProtection="1">
      <alignment horizontal="center" vertical="center"/>
    </xf>
    <xf numFmtId="0" fontId="50" fillId="10" borderId="36" xfId="84" applyFont="1" applyFill="1" applyBorder="1" applyAlignment="1" applyProtection="1">
      <alignment horizontal="center" vertical="center"/>
    </xf>
    <xf numFmtId="0" fontId="50" fillId="10" borderId="39" xfId="84" applyFont="1" applyFill="1" applyBorder="1" applyAlignment="1" applyProtection="1">
      <alignment horizontal="center" vertical="center"/>
    </xf>
    <xf numFmtId="0" fontId="50" fillId="5" borderId="32" xfId="84" quotePrefix="1" applyFont="1" applyFill="1" applyBorder="1" applyAlignment="1" applyProtection="1">
      <alignment horizontal="center" vertical="center"/>
    </xf>
    <xf numFmtId="0" fontId="50" fillId="5" borderId="33" xfId="84" applyFont="1" applyFill="1" applyBorder="1" applyAlignment="1" applyProtection="1">
      <alignment horizontal="center" vertical="center"/>
    </xf>
    <xf numFmtId="0" fontId="50" fillId="5" borderId="38" xfId="84" applyFont="1" applyFill="1" applyBorder="1" applyAlignment="1" applyProtection="1">
      <alignment horizontal="center" vertical="center"/>
    </xf>
    <xf numFmtId="0" fontId="50" fillId="5" borderId="35" xfId="84" applyFont="1" applyFill="1" applyBorder="1" applyAlignment="1" applyProtection="1">
      <alignment horizontal="center" vertical="center"/>
    </xf>
    <xf numFmtId="0" fontId="50" fillId="5" borderId="36" xfId="84" applyFont="1" applyFill="1" applyBorder="1" applyAlignment="1" applyProtection="1">
      <alignment horizontal="center" vertical="center"/>
    </xf>
    <xf numFmtId="0" fontId="50" fillId="5" borderId="39" xfId="84" applyFont="1" applyFill="1" applyBorder="1" applyAlignment="1" applyProtection="1">
      <alignment horizontal="center" vertical="center"/>
    </xf>
    <xf numFmtId="0" fontId="50" fillId="37" borderId="32" xfId="84" applyFont="1" applyFill="1" applyBorder="1" applyAlignment="1" applyProtection="1">
      <alignment horizontal="center" vertical="center"/>
    </xf>
    <xf numFmtId="0" fontId="50" fillId="37" borderId="33" xfId="84" applyFont="1" applyFill="1" applyBorder="1" applyAlignment="1" applyProtection="1">
      <alignment horizontal="center" vertical="center"/>
    </xf>
    <xf numFmtId="0" fontId="50" fillId="37" borderId="38" xfId="84" applyFont="1" applyFill="1" applyBorder="1" applyAlignment="1" applyProtection="1">
      <alignment horizontal="center" vertical="center"/>
    </xf>
    <xf numFmtId="0" fontId="50" fillId="37" borderId="35" xfId="84" applyFont="1" applyFill="1" applyBorder="1" applyAlignment="1" applyProtection="1">
      <alignment horizontal="center" vertical="center"/>
    </xf>
    <xf numFmtId="0" fontId="50" fillId="37" borderId="36" xfId="84" applyFont="1" applyFill="1" applyBorder="1" applyAlignment="1" applyProtection="1">
      <alignment horizontal="center" vertical="center"/>
    </xf>
    <xf numFmtId="0" fontId="50" fillId="37" borderId="39" xfId="84" applyFont="1" applyFill="1" applyBorder="1" applyAlignment="1" applyProtection="1">
      <alignment horizontal="center" vertical="center"/>
    </xf>
    <xf numFmtId="14" fontId="177" fillId="35" borderId="42" xfId="84" quotePrefix="1" applyNumberFormat="1" applyFont="1" applyFill="1" applyBorder="1" applyAlignment="1" applyProtection="1">
      <alignment horizontal="center" vertical="center"/>
      <protection locked="0"/>
    </xf>
    <xf numFmtId="14" fontId="177" fillId="35" borderId="60" xfId="84" applyNumberFormat="1" applyFont="1" applyFill="1" applyBorder="1" applyAlignment="1" applyProtection="1">
      <alignment horizontal="center" vertical="center"/>
      <protection locked="0"/>
    </xf>
    <xf numFmtId="14" fontId="177" fillId="35" borderId="58" xfId="84" applyNumberFormat="1" applyFont="1" applyFill="1" applyBorder="1" applyAlignment="1" applyProtection="1">
      <alignment horizontal="center" vertical="center"/>
      <protection locked="0"/>
    </xf>
    <xf numFmtId="14" fontId="177" fillId="35" borderId="15" xfId="84" applyNumberFormat="1" applyFont="1" applyFill="1" applyBorder="1" applyAlignment="1" applyProtection="1">
      <alignment horizontal="center" vertical="center"/>
      <protection locked="0"/>
    </xf>
    <xf numFmtId="0" fontId="24" fillId="37" borderId="32" xfId="84" quotePrefix="1" applyFont="1" applyFill="1" applyBorder="1" applyAlignment="1" applyProtection="1">
      <alignment horizontal="center" vertical="center"/>
    </xf>
    <xf numFmtId="0" fontId="24" fillId="37" borderId="33" xfId="84" quotePrefix="1" applyFont="1" applyFill="1" applyBorder="1" applyAlignment="1" applyProtection="1">
      <alignment horizontal="center" vertical="center"/>
    </xf>
    <xf numFmtId="0" fontId="24" fillId="37" borderId="38" xfId="84" quotePrefix="1" applyFont="1" applyFill="1" applyBorder="1" applyAlignment="1" applyProtection="1">
      <alignment horizontal="center" vertical="center"/>
    </xf>
    <xf numFmtId="0" fontId="24" fillId="37" borderId="35" xfId="84" quotePrefix="1" applyFont="1" applyFill="1" applyBorder="1" applyAlignment="1" applyProtection="1">
      <alignment horizontal="center" vertical="center"/>
    </xf>
    <xf numFmtId="0" fontId="24" fillId="37" borderId="36" xfId="84" quotePrefix="1" applyFont="1" applyFill="1" applyBorder="1" applyAlignment="1" applyProtection="1">
      <alignment horizontal="center" vertical="center"/>
    </xf>
    <xf numFmtId="0" fontId="24" fillId="37" borderId="39" xfId="84" quotePrefix="1" applyFont="1" applyFill="1" applyBorder="1" applyAlignment="1" applyProtection="1">
      <alignment horizontal="center" vertical="center"/>
    </xf>
    <xf numFmtId="0" fontId="50" fillId="59" borderId="42" xfId="84" quotePrefix="1" applyFont="1" applyFill="1" applyBorder="1" applyAlignment="1" applyProtection="1">
      <alignment horizontal="center" vertical="center"/>
    </xf>
    <xf numFmtId="0" fontId="50" fillId="59" borderId="43" xfId="84" quotePrefix="1" applyFont="1" applyFill="1" applyBorder="1" applyAlignment="1" applyProtection="1">
      <alignment horizontal="center" vertical="center"/>
    </xf>
    <xf numFmtId="0" fontId="50" fillId="59" borderId="44" xfId="84" quotePrefix="1" applyFont="1" applyFill="1" applyBorder="1" applyAlignment="1" applyProtection="1">
      <alignment horizontal="center" vertical="center"/>
    </xf>
    <xf numFmtId="0" fontId="50" fillId="59" borderId="45" xfId="84" quotePrefix="1" applyFont="1" applyFill="1" applyBorder="1" applyAlignment="1" applyProtection="1">
      <alignment horizontal="center" vertical="center"/>
    </xf>
    <xf numFmtId="0" fontId="50" fillId="59" borderId="40" xfId="84" quotePrefix="1" applyFont="1" applyFill="1" applyBorder="1" applyAlignment="1" applyProtection="1">
      <alignment horizontal="center" vertical="center"/>
    </xf>
    <xf numFmtId="0" fontId="50" fillId="59" borderId="41" xfId="84" quotePrefix="1" applyFont="1" applyFill="1" applyBorder="1" applyAlignment="1" applyProtection="1">
      <alignment horizontal="center" vertical="center"/>
    </xf>
    <xf numFmtId="189" fontId="98" fillId="35" borderId="62" xfId="84" quotePrefix="1" applyNumberFormat="1" applyFont="1" applyFill="1" applyBorder="1" applyAlignment="1" applyProtection="1">
      <alignment horizontal="center" vertical="center"/>
      <protection locked="0"/>
    </xf>
    <xf numFmtId="189" fontId="98" fillId="35" borderId="63" xfId="84" quotePrefix="1" applyNumberFormat="1" applyFont="1" applyFill="1" applyBorder="1" applyAlignment="1" applyProtection="1">
      <alignment horizontal="center" vertical="center"/>
      <protection locked="0"/>
    </xf>
    <xf numFmtId="0" fontId="50" fillId="12" borderId="32" xfId="84" quotePrefix="1" applyFont="1" applyFill="1" applyBorder="1" applyAlignment="1" applyProtection="1">
      <alignment horizontal="center" vertical="center"/>
    </xf>
    <xf numFmtId="0" fontId="50" fillId="12" borderId="33" xfId="84" applyFont="1" applyFill="1" applyBorder="1" applyAlignment="1" applyProtection="1">
      <alignment horizontal="center" vertical="center"/>
    </xf>
    <xf numFmtId="0" fontId="50" fillId="12" borderId="38" xfId="84" applyFont="1" applyFill="1" applyBorder="1" applyAlignment="1" applyProtection="1">
      <alignment horizontal="center" vertical="center"/>
    </xf>
    <xf numFmtId="0" fontId="50" fillId="12" borderId="35" xfId="84" applyFont="1" applyFill="1" applyBorder="1" applyAlignment="1" applyProtection="1">
      <alignment horizontal="center" vertical="center"/>
    </xf>
    <xf numFmtId="0" fontId="50" fillId="12" borderId="36" xfId="84" applyFont="1" applyFill="1" applyBorder="1" applyAlignment="1" applyProtection="1">
      <alignment horizontal="center" vertical="center"/>
    </xf>
    <xf numFmtId="0" fontId="50" fillId="12" borderId="39" xfId="84" applyFont="1" applyFill="1" applyBorder="1" applyAlignment="1" applyProtection="1">
      <alignment horizontal="center" vertical="center"/>
    </xf>
    <xf numFmtId="189" fontId="143" fillId="35" borderId="62" xfId="0" quotePrefix="1" applyNumberFormat="1" applyFont="1" applyFill="1" applyBorder="1" applyAlignment="1" applyProtection="1">
      <alignment horizontal="center" vertical="center"/>
      <protection locked="0"/>
    </xf>
    <xf numFmtId="189" fontId="143" fillId="45" borderId="62" xfId="0" applyNumberFormat="1" applyFont="1" applyFill="1" applyBorder="1" applyAlignment="1" applyProtection="1">
      <alignment horizontal="center" vertical="center"/>
      <protection locked="0"/>
    </xf>
    <xf numFmtId="0" fontId="59" fillId="35" borderId="32" xfId="84" applyFont="1" applyFill="1" applyBorder="1" applyAlignment="1" applyProtection="1">
      <alignment horizontal="center" vertical="center" wrapText="1"/>
    </xf>
    <xf numFmtId="0" fontId="59" fillId="35" borderId="33" xfId="84" applyFont="1" applyFill="1" applyBorder="1" applyAlignment="1" applyProtection="1">
      <alignment horizontal="center" vertical="center"/>
    </xf>
    <xf numFmtId="0" fontId="59" fillId="35" borderId="38" xfId="84" applyFont="1" applyFill="1" applyBorder="1" applyAlignment="1" applyProtection="1">
      <alignment horizontal="center" vertical="center"/>
    </xf>
    <xf numFmtId="0" fontId="59" fillId="35" borderId="35" xfId="84" applyFont="1" applyFill="1" applyBorder="1" applyAlignment="1" applyProtection="1">
      <alignment horizontal="center" vertical="center"/>
    </xf>
    <xf numFmtId="0" fontId="59" fillId="35" borderId="36" xfId="84" applyFont="1" applyFill="1" applyBorder="1" applyAlignment="1" applyProtection="1">
      <alignment horizontal="center" vertical="center"/>
    </xf>
    <xf numFmtId="0" fontId="59" fillId="35" borderId="39" xfId="84" applyFont="1" applyFill="1" applyBorder="1" applyAlignment="1" applyProtection="1">
      <alignment horizontal="center" vertical="center"/>
    </xf>
    <xf numFmtId="189" fontId="143" fillId="35" borderId="62" xfId="0" applyNumberFormat="1" applyFont="1" applyFill="1" applyBorder="1" applyAlignment="1" applyProtection="1">
      <alignment horizontal="center" vertical="center" wrapText="1"/>
      <protection locked="0"/>
    </xf>
    <xf numFmtId="0" fontId="98" fillId="35" borderId="32" xfId="0" applyFont="1" applyFill="1" applyBorder="1" applyAlignment="1">
      <alignment horizontal="center" vertical="center"/>
    </xf>
    <xf numFmtId="0" fontId="98" fillId="35" borderId="33" xfId="0" applyFont="1" applyFill="1" applyBorder="1" applyAlignment="1">
      <alignment horizontal="center" vertical="center"/>
    </xf>
    <xf numFmtId="0" fontId="98" fillId="35" borderId="38" xfId="0" applyFont="1" applyFill="1" applyBorder="1" applyAlignment="1">
      <alignment horizontal="center" vertical="center"/>
    </xf>
    <xf numFmtId="0" fontId="98" fillId="35" borderId="35" xfId="0" applyFont="1" applyFill="1" applyBorder="1" applyAlignment="1">
      <alignment horizontal="center" vertical="center"/>
    </xf>
    <xf numFmtId="0" fontId="98" fillId="35" borderId="36" xfId="0" applyFont="1" applyFill="1" applyBorder="1" applyAlignment="1">
      <alignment horizontal="center" vertical="center"/>
    </xf>
    <xf numFmtId="0" fontId="98" fillId="35" borderId="39" xfId="0" applyFont="1" applyFill="1" applyBorder="1" applyAlignment="1">
      <alignment horizontal="center" vertical="center"/>
    </xf>
    <xf numFmtId="0" fontId="50" fillId="5" borderId="42" xfId="84" quotePrefix="1" applyFont="1" applyFill="1" applyBorder="1" applyAlignment="1" applyProtection="1">
      <alignment horizontal="center" vertical="center"/>
    </xf>
    <xf numFmtId="0" fontId="50" fillId="5" borderId="43" xfId="84" quotePrefix="1" applyFont="1" applyFill="1" applyBorder="1" applyAlignment="1" applyProtection="1">
      <alignment horizontal="center" vertical="center"/>
    </xf>
    <xf numFmtId="0" fontId="50" fillId="5" borderId="44" xfId="84" quotePrefix="1" applyFont="1" applyFill="1" applyBorder="1" applyAlignment="1" applyProtection="1">
      <alignment horizontal="center" vertical="center"/>
    </xf>
    <xf numFmtId="0" fontId="50" fillId="5" borderId="45" xfId="84" quotePrefix="1" applyFont="1" applyFill="1" applyBorder="1" applyAlignment="1" applyProtection="1">
      <alignment horizontal="center" vertical="center"/>
    </xf>
    <xf numFmtId="0" fontId="50" fillId="5" borderId="40" xfId="84" quotePrefix="1" applyFont="1" applyFill="1" applyBorder="1" applyAlignment="1" applyProtection="1">
      <alignment horizontal="center" vertical="center"/>
    </xf>
    <xf numFmtId="0" fontId="50" fillId="5" borderId="41" xfId="84" quotePrefix="1" applyFont="1" applyFill="1" applyBorder="1" applyAlignment="1" applyProtection="1">
      <alignment horizontal="center" vertical="center"/>
    </xf>
    <xf numFmtId="0" fontId="50" fillId="8" borderId="32"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38" xfId="0" applyFont="1" applyFill="1" applyBorder="1" applyAlignment="1">
      <alignment horizontal="center" vertical="center"/>
    </xf>
    <xf numFmtId="0" fontId="50" fillId="8" borderId="35"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9" xfId="0" applyFont="1" applyFill="1" applyBorder="1" applyAlignment="1">
      <alignment horizontal="center" vertical="center"/>
    </xf>
    <xf numFmtId="0" fontId="50" fillId="44" borderId="32" xfId="84" quotePrefix="1" applyFont="1" applyFill="1" applyBorder="1" applyAlignment="1" applyProtection="1">
      <alignment horizontal="center" vertical="center"/>
    </xf>
    <xf numFmtId="0" fontId="50" fillId="44" borderId="33" xfId="84" quotePrefix="1" applyFont="1" applyFill="1" applyBorder="1" applyAlignment="1" applyProtection="1">
      <alignment horizontal="center" vertical="center"/>
    </xf>
    <xf numFmtId="0" fontId="50" fillId="44" borderId="38" xfId="84" quotePrefix="1" applyFont="1" applyFill="1" applyBorder="1" applyAlignment="1" applyProtection="1">
      <alignment horizontal="center" vertical="center"/>
    </xf>
    <xf numFmtId="0" fontId="50" fillId="44" borderId="35" xfId="84" quotePrefix="1" applyFont="1" applyFill="1" applyBorder="1" applyAlignment="1" applyProtection="1">
      <alignment horizontal="center" vertical="center"/>
    </xf>
    <xf numFmtId="0" fontId="50" fillId="44" borderId="36" xfId="84" quotePrefix="1" applyFont="1" applyFill="1" applyBorder="1" applyAlignment="1" applyProtection="1">
      <alignment horizontal="center" vertical="center"/>
    </xf>
    <xf numFmtId="0" fontId="50" fillId="44" borderId="39" xfId="84" quotePrefix="1" applyFont="1" applyFill="1" applyBorder="1" applyAlignment="1" applyProtection="1">
      <alignment horizontal="center" vertical="center"/>
    </xf>
    <xf numFmtId="0" fontId="50" fillId="8" borderId="32" xfId="84" quotePrefix="1" applyFont="1" applyFill="1" applyBorder="1" applyAlignment="1" applyProtection="1">
      <alignment horizontal="center" vertical="center"/>
    </xf>
    <xf numFmtId="0" fontId="50" fillId="44" borderId="32" xfId="84" applyFont="1" applyFill="1" applyBorder="1" applyAlignment="1" applyProtection="1">
      <alignment horizontal="center" vertical="center"/>
    </xf>
    <xf numFmtId="0" fontId="50" fillId="44" borderId="33" xfId="84" applyFont="1" applyFill="1" applyBorder="1" applyAlignment="1" applyProtection="1">
      <alignment horizontal="center" vertical="center"/>
    </xf>
    <xf numFmtId="0" fontId="50" fillId="44" borderId="38" xfId="84" applyFont="1" applyFill="1" applyBorder="1" applyAlignment="1" applyProtection="1">
      <alignment horizontal="center" vertical="center"/>
    </xf>
    <xf numFmtId="0" fontId="50" fillId="44" borderId="35" xfId="84" applyFont="1" applyFill="1" applyBorder="1" applyAlignment="1" applyProtection="1">
      <alignment horizontal="center" vertical="center"/>
    </xf>
    <xf numFmtId="0" fontId="50" fillId="44" borderId="36" xfId="84" applyFont="1" applyFill="1" applyBorder="1" applyAlignment="1" applyProtection="1">
      <alignment horizontal="center" vertical="center"/>
    </xf>
    <xf numFmtId="0" fontId="50" fillId="44" borderId="39" xfId="84" applyFont="1" applyFill="1" applyBorder="1" applyAlignment="1" applyProtection="1">
      <alignment horizontal="center" vertical="center"/>
    </xf>
    <xf numFmtId="0" fontId="98" fillId="35" borderId="34" xfId="0" applyFont="1" applyFill="1" applyBorder="1" applyAlignment="1">
      <alignment horizontal="center" vertical="center"/>
    </xf>
    <xf numFmtId="0" fontId="98" fillId="35" borderId="37" xfId="0" applyFont="1" applyFill="1" applyBorder="1" applyAlignment="1">
      <alignment horizontal="center" vertical="center"/>
    </xf>
    <xf numFmtId="0" fontId="98" fillId="35" borderId="65" xfId="84" applyFont="1" applyFill="1" applyBorder="1" applyAlignment="1" applyProtection="1">
      <alignment horizontal="center" vertical="center"/>
    </xf>
    <xf numFmtId="0" fontId="98" fillId="35" borderId="66" xfId="84" applyFont="1" applyFill="1" applyBorder="1" applyAlignment="1" applyProtection="1">
      <alignment horizontal="center" vertical="center"/>
    </xf>
    <xf numFmtId="0" fontId="98" fillId="35" borderId="67" xfId="84" applyFont="1" applyFill="1" applyBorder="1" applyAlignment="1" applyProtection="1">
      <alignment horizontal="center" vertical="center"/>
    </xf>
    <xf numFmtId="0" fontId="98" fillId="35" borderId="68" xfId="84" applyFont="1" applyFill="1" applyBorder="1" applyAlignment="1" applyProtection="1">
      <alignment horizontal="center" vertical="center"/>
    </xf>
    <xf numFmtId="0" fontId="98" fillId="35" borderId="69" xfId="84" applyFont="1" applyFill="1" applyBorder="1" applyAlignment="1" applyProtection="1">
      <alignment horizontal="center" vertical="center"/>
    </xf>
    <xf numFmtId="0" fontId="98" fillId="35" borderId="70" xfId="84" applyFont="1" applyFill="1" applyBorder="1" applyAlignment="1" applyProtection="1">
      <alignment horizontal="center" vertical="center"/>
    </xf>
    <xf numFmtId="189" fontId="59" fillId="59" borderId="62" xfId="0" quotePrefix="1" applyNumberFormat="1" applyFont="1" applyFill="1" applyBorder="1" applyAlignment="1" applyProtection="1">
      <alignment horizontal="center" vertical="center"/>
      <protection locked="0"/>
    </xf>
    <xf numFmtId="189" fontId="59" fillId="59" borderId="63" xfId="0" quotePrefix="1" applyNumberFormat="1" applyFont="1" applyFill="1" applyBorder="1" applyAlignment="1" applyProtection="1">
      <alignment horizontal="center" vertical="center"/>
      <protection locked="0"/>
    </xf>
    <xf numFmtId="0" fontId="93" fillId="35" borderId="32" xfId="84" quotePrefix="1" applyFont="1" applyFill="1" applyBorder="1" applyAlignment="1" applyProtection="1">
      <alignment horizontal="center" vertical="center"/>
    </xf>
    <xf numFmtId="0" fontId="93" fillId="35" borderId="33" xfId="84" applyFont="1" applyFill="1" applyBorder="1" applyAlignment="1" applyProtection="1">
      <alignment horizontal="center" vertical="center"/>
    </xf>
    <xf numFmtId="0" fontId="93" fillId="35" borderId="38" xfId="84" applyFont="1" applyFill="1" applyBorder="1" applyAlignment="1" applyProtection="1">
      <alignment horizontal="center" vertical="center"/>
    </xf>
    <xf numFmtId="0" fontId="93" fillId="35" borderId="35" xfId="84" applyFont="1" applyFill="1" applyBorder="1" applyAlignment="1" applyProtection="1">
      <alignment horizontal="center" vertical="center"/>
    </xf>
    <xf numFmtId="0" fontId="93" fillId="35" borderId="36" xfId="84" applyFont="1" applyFill="1" applyBorder="1" applyAlignment="1" applyProtection="1">
      <alignment horizontal="center" vertical="center"/>
    </xf>
    <xf numFmtId="0" fontId="93" fillId="35" borderId="39" xfId="84" applyFont="1" applyFill="1" applyBorder="1" applyAlignment="1" applyProtection="1">
      <alignment horizontal="center" vertical="center"/>
    </xf>
    <xf numFmtId="14" fontId="58" fillId="35" borderId="42" xfId="0" quotePrefix="1" applyNumberFormat="1" applyFont="1" applyFill="1" applyBorder="1" applyAlignment="1" applyProtection="1">
      <alignment horizontal="center" vertical="center"/>
      <protection locked="0"/>
    </xf>
    <xf numFmtId="14" fontId="58" fillId="35" borderId="60" xfId="0" applyNumberFormat="1" applyFont="1" applyFill="1" applyBorder="1" applyAlignment="1" applyProtection="1">
      <alignment horizontal="center" vertical="center"/>
      <protection locked="0"/>
    </xf>
    <xf numFmtId="14" fontId="58" fillId="35" borderId="58" xfId="0" applyNumberFormat="1" applyFont="1" applyFill="1" applyBorder="1" applyAlignment="1" applyProtection="1">
      <alignment horizontal="center" vertical="center"/>
      <protection locked="0"/>
    </xf>
    <xf numFmtId="14" fontId="58" fillId="35" borderId="15" xfId="0" applyNumberFormat="1" applyFont="1" applyFill="1" applyBorder="1" applyAlignment="1" applyProtection="1">
      <alignment horizontal="center" vertical="center"/>
      <protection locked="0"/>
    </xf>
    <xf numFmtId="0" fontId="24" fillId="6" borderId="0" xfId="0" applyFont="1" applyFill="1" applyAlignment="1">
      <alignment horizontal="center" vertical="center" wrapText="1"/>
    </xf>
    <xf numFmtId="177" fontId="38" fillId="0" borderId="100" xfId="0" applyNumberFormat="1" applyFont="1" applyFill="1" applyBorder="1" applyAlignment="1" applyProtection="1">
      <alignment horizontal="center" vertical="center" wrapText="1"/>
      <protection locked="0"/>
    </xf>
    <xf numFmtId="177" fontId="38" fillId="0" borderId="46" xfId="0" applyNumberFormat="1" applyFont="1" applyFill="1" applyBorder="1" applyAlignment="1" applyProtection="1">
      <alignment horizontal="center" vertical="center" wrapText="1"/>
      <protection locked="0"/>
    </xf>
    <xf numFmtId="41" fontId="38" fillId="0" borderId="100" xfId="0" applyNumberFormat="1" applyFont="1" applyFill="1" applyBorder="1" applyAlignment="1" applyProtection="1">
      <alignment horizontal="center" vertical="center" wrapText="1"/>
      <protection locked="0"/>
    </xf>
    <xf numFmtId="41" fontId="38" fillId="0" borderId="46" xfId="0" applyNumberFormat="1" applyFont="1" applyFill="1" applyBorder="1" applyAlignment="1" applyProtection="1">
      <alignment horizontal="center" vertical="center" wrapText="1"/>
      <protection locked="0"/>
    </xf>
    <xf numFmtId="177" fontId="50" fillId="0" borderId="100" xfId="1" applyNumberFormat="1" applyFont="1" applyFill="1" applyBorder="1" applyAlignment="1" applyProtection="1">
      <alignment horizontal="center" vertical="center"/>
    </xf>
    <xf numFmtId="177" fontId="50" fillId="0" borderId="46" xfId="1" applyNumberFormat="1" applyFont="1" applyFill="1" applyBorder="1" applyAlignment="1" applyProtection="1">
      <alignment horizontal="center" vertical="center"/>
    </xf>
    <xf numFmtId="41" fontId="38" fillId="0" borderId="101" xfId="0" applyNumberFormat="1" applyFont="1" applyFill="1" applyBorder="1" applyAlignment="1" applyProtection="1">
      <alignment horizontal="center" vertical="center" wrapText="1"/>
      <protection locked="0"/>
    </xf>
    <xf numFmtId="177" fontId="38" fillId="0" borderId="5" xfId="0" applyNumberFormat="1"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xf>
    <xf numFmtId="177" fontId="38" fillId="0" borderId="108" xfId="0" applyNumberFormat="1" applyFont="1" applyFill="1" applyBorder="1" applyAlignment="1" applyProtection="1">
      <alignment horizontal="center" vertical="center" wrapText="1"/>
    </xf>
    <xf numFmtId="177" fontId="50" fillId="0" borderId="108" xfId="1" applyNumberFormat="1" applyFont="1" applyFill="1" applyBorder="1" applyAlignment="1" applyProtection="1">
      <alignment horizontal="center" vertical="center"/>
    </xf>
    <xf numFmtId="177" fontId="50" fillId="0" borderId="101" xfId="1" applyNumberFormat="1" applyFont="1" applyFill="1" applyBorder="1" applyAlignment="1" applyProtection="1">
      <alignment horizontal="center" vertical="center"/>
    </xf>
    <xf numFmtId="177" fontId="50" fillId="0" borderId="106" xfId="1" applyNumberFormat="1" applyFont="1" applyFill="1" applyBorder="1" applyAlignment="1" applyProtection="1">
      <alignment horizontal="center" vertical="center"/>
    </xf>
    <xf numFmtId="177" fontId="38" fillId="0" borderId="101" xfId="0" applyNumberFormat="1" applyFont="1" applyFill="1" applyBorder="1" applyAlignment="1" applyProtection="1">
      <alignment horizontal="center" vertical="center" wrapText="1"/>
      <protection locked="0"/>
    </xf>
    <xf numFmtId="177" fontId="38" fillId="0" borderId="106" xfId="0" applyNumberFormat="1"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protection locked="0"/>
    </xf>
    <xf numFmtId="43" fontId="38" fillId="52" borderId="101" xfId="0" applyNumberFormat="1" applyFont="1" applyFill="1" applyBorder="1" applyAlignment="1" applyProtection="1">
      <alignment horizontal="center" vertical="center" wrapText="1"/>
      <protection locked="0"/>
    </xf>
    <xf numFmtId="43" fontId="38" fillId="52" borderId="100" xfId="0" applyNumberFormat="1" applyFont="1" applyFill="1" applyBorder="1" applyAlignment="1" applyProtection="1">
      <alignment horizontal="center" vertical="center" wrapText="1"/>
      <protection locked="0"/>
    </xf>
    <xf numFmtId="43" fontId="38" fillId="52" borderId="46" xfId="0" applyNumberFormat="1" applyFont="1" applyFill="1" applyBorder="1" applyAlignment="1" applyProtection="1">
      <alignment horizontal="center" vertical="center" wrapText="1"/>
      <protection locked="0"/>
    </xf>
    <xf numFmtId="0" fontId="38" fillId="0" borderId="10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6" xfId="0" applyFont="1" applyFill="1" applyBorder="1" applyAlignment="1" applyProtection="1">
      <alignment horizontal="center" vertical="center" wrapText="1"/>
      <protection locked="0"/>
    </xf>
    <xf numFmtId="0" fontId="38" fillId="0" borderId="125" xfId="0" applyFont="1" applyFill="1" applyBorder="1" applyAlignment="1" applyProtection="1">
      <alignment horizontal="center" vertical="center" wrapText="1"/>
    </xf>
    <xf numFmtId="0" fontId="38" fillId="0" borderId="126" xfId="0" applyFont="1" applyFill="1" applyBorder="1" applyAlignment="1" applyProtection="1">
      <alignment horizontal="center" vertical="center" wrapText="1"/>
    </xf>
    <xf numFmtId="177" fontId="38" fillId="0" borderId="101" xfId="0" applyNumberFormat="1" applyFont="1" applyFill="1" applyBorder="1" applyAlignment="1" applyProtection="1">
      <alignment horizontal="center" vertical="center" wrapText="1"/>
    </xf>
    <xf numFmtId="177" fontId="38" fillId="0" borderId="100" xfId="0" applyNumberFormat="1" applyFont="1" applyFill="1" applyBorder="1" applyAlignment="1" applyProtection="1">
      <alignment horizontal="center" vertical="center" wrapText="1"/>
    </xf>
    <xf numFmtId="177" fontId="38" fillId="0" borderId="106" xfId="0" applyNumberFormat="1" applyFont="1" applyFill="1" applyBorder="1" applyAlignment="1" applyProtection="1">
      <alignment horizontal="center" vertical="center" wrapText="1"/>
    </xf>
    <xf numFmtId="0" fontId="98" fillId="0" borderId="3" xfId="0" applyFont="1" applyFill="1" applyBorder="1" applyAlignment="1" applyProtection="1">
      <alignment horizontal="center" vertical="center" wrapText="1"/>
    </xf>
    <xf numFmtId="0" fontId="98" fillId="0" borderId="10" xfId="0" applyFont="1" applyFill="1" applyBorder="1" applyAlignment="1" applyProtection="1">
      <alignment horizontal="center" vertical="center" wrapText="1"/>
    </xf>
    <xf numFmtId="0" fontId="38" fillId="0" borderId="46" xfId="0" applyFont="1" applyFill="1" applyBorder="1" applyAlignment="1" applyProtection="1">
      <alignment horizontal="center" vertical="center" wrapText="1"/>
      <protection locked="0"/>
    </xf>
    <xf numFmtId="0" fontId="52" fillId="0" borderId="3" xfId="8" applyFont="1" applyFill="1" applyBorder="1" applyAlignment="1" applyProtection="1">
      <alignment horizontal="center" vertical="center"/>
    </xf>
    <xf numFmtId="0" fontId="52" fillId="0" borderId="2" xfId="8" applyFont="1" applyFill="1" applyBorder="1" applyAlignment="1" applyProtection="1">
      <alignment horizontal="center" vertical="center"/>
    </xf>
    <xf numFmtId="0" fontId="52" fillId="0" borderId="1"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xf>
    <xf numFmtId="20" fontId="24" fillId="0" borderId="9" xfId="0" quotePrefix="1"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6" xfId="0" applyFont="1" applyFill="1" applyBorder="1" applyAlignment="1" applyProtection="1">
      <alignment horizontal="center" vertical="center" wrapText="1"/>
    </xf>
    <xf numFmtId="20" fontId="52" fillId="0" borderId="5" xfId="0" quotePrefix="1" applyNumberFormat="1"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xf>
    <xf numFmtId="0" fontId="52" fillId="0" borderId="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xf>
    <xf numFmtId="0" fontId="24" fillId="0" borderId="8" xfId="0" applyFont="1" applyFill="1" applyBorder="1" applyAlignment="1" applyProtection="1">
      <alignment horizontal="center" vertical="center"/>
    </xf>
    <xf numFmtId="0" fontId="24" fillId="0" borderId="12" xfId="0" applyFont="1" applyFill="1" applyBorder="1" applyAlignment="1" applyProtection="1">
      <alignment horizontal="center" vertical="center"/>
    </xf>
    <xf numFmtId="0" fontId="52" fillId="0" borderId="13" xfId="0" applyFont="1" applyFill="1" applyBorder="1" applyAlignment="1" applyProtection="1">
      <alignment horizontal="center" vertical="center"/>
    </xf>
    <xf numFmtId="0" fontId="52" fillId="0" borderId="8" xfId="0" applyFont="1" applyFill="1" applyBorder="1" applyAlignment="1" applyProtection="1">
      <alignment horizontal="center" vertical="center"/>
    </xf>
    <xf numFmtId="0" fontId="52" fillId="0" borderId="12" xfId="0" applyFont="1" applyFill="1" applyBorder="1" applyAlignment="1" applyProtection="1">
      <alignment horizontal="center" vertical="center"/>
    </xf>
    <xf numFmtId="20" fontId="68" fillId="0" borderId="77" xfId="0" applyNumberFormat="1" applyFont="1" applyFill="1" applyBorder="1" applyAlignment="1" applyProtection="1">
      <alignment horizontal="center" vertical="center" wrapText="1"/>
    </xf>
    <xf numFmtId="0" fontId="68" fillId="0" borderId="78" xfId="0" applyFont="1" applyFill="1" applyBorder="1" applyAlignment="1" applyProtection="1">
      <alignment horizontal="center" vertical="center" wrapText="1"/>
    </xf>
    <xf numFmtId="0" fontId="68" fillId="0" borderId="79" xfId="0" applyFont="1" applyFill="1" applyBorder="1" applyAlignment="1" applyProtection="1">
      <alignment horizontal="center" vertical="center" wrapText="1"/>
    </xf>
    <xf numFmtId="0" fontId="68" fillId="0" borderId="81" xfId="0" applyFont="1" applyFill="1" applyBorder="1" applyAlignment="1" applyProtection="1">
      <alignment horizontal="center" vertical="center"/>
    </xf>
    <xf numFmtId="0" fontId="68" fillId="0" borderId="82" xfId="0" applyFont="1" applyFill="1" applyBorder="1" applyAlignment="1" applyProtection="1">
      <alignment horizontal="center" vertical="center"/>
    </xf>
    <xf numFmtId="0" fontId="52" fillId="0" borderId="10" xfId="8" applyFont="1" applyFill="1" applyBorder="1" applyAlignment="1" applyProtection="1">
      <alignment horizontal="center" vertical="center"/>
    </xf>
    <xf numFmtId="0" fontId="55" fillId="0" borderId="1" xfId="8" applyFont="1" applyFill="1" applyBorder="1" applyAlignment="1" applyProtection="1">
      <alignment horizontal="center" vertical="center" wrapText="1"/>
    </xf>
    <xf numFmtId="0" fontId="14" fillId="0" borderId="6"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14" fillId="0" borderId="5" xfId="8" applyFont="1" applyFill="1" applyBorder="1" applyAlignment="1" applyProtection="1">
      <alignment horizontal="center" vertical="center" wrapText="1"/>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12"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5" xfId="0" applyFont="1" applyFill="1" applyBorder="1" applyAlignment="1" applyProtection="1">
      <alignment horizontal="center" vertical="center" wrapText="1"/>
    </xf>
    <xf numFmtId="181" fontId="40" fillId="0" borderId="69" xfId="8" applyNumberFormat="1" applyFont="1" applyFill="1" applyBorder="1" applyAlignment="1" applyProtection="1">
      <alignment horizontal="left" vertical="center" wrapText="1"/>
    </xf>
    <xf numFmtId="0" fontId="40" fillId="0" borderId="69" xfId="8" applyFont="1" applyFill="1" applyBorder="1" applyAlignment="1" applyProtection="1">
      <alignment horizontal="left" vertical="center" wrapText="1"/>
    </xf>
    <xf numFmtId="0" fontId="55" fillId="0" borderId="1" xfId="0" applyFont="1" applyFill="1" applyBorder="1" applyAlignment="1" applyProtection="1">
      <alignment horizontal="center" vertical="center" wrapText="1"/>
    </xf>
    <xf numFmtId="0" fontId="55" fillId="0" borderId="1" xfId="0" applyFont="1" applyFill="1" applyBorder="1" applyAlignment="1" applyProtection="1">
      <alignment horizontal="center" vertical="center"/>
    </xf>
    <xf numFmtId="0" fontId="55" fillId="0" borderId="5" xfId="0" applyFont="1" applyFill="1" applyBorder="1" applyAlignment="1" applyProtection="1">
      <alignment horizontal="center" vertical="center"/>
    </xf>
    <xf numFmtId="0" fontId="55" fillId="0" borderId="6" xfId="0" applyFont="1" applyFill="1" applyBorder="1" applyAlignment="1" applyProtection="1">
      <alignment horizontal="center" vertical="center"/>
    </xf>
    <xf numFmtId="0" fontId="55" fillId="0" borderId="5" xfId="0" applyFont="1" applyFill="1" applyBorder="1" applyAlignment="1" applyProtection="1">
      <alignment horizontal="center" vertical="center" wrapText="1"/>
    </xf>
    <xf numFmtId="0" fontId="55" fillId="0" borderId="6" xfId="0" applyFont="1" applyFill="1" applyBorder="1" applyAlignment="1" applyProtection="1">
      <alignment horizontal="center" vertical="center" wrapText="1"/>
    </xf>
    <xf numFmtId="0" fontId="55" fillId="0" borderId="13" xfId="0" applyFont="1" applyFill="1" applyBorder="1" applyAlignment="1" applyProtection="1">
      <alignment horizontal="center" vertical="center" wrapText="1"/>
    </xf>
    <xf numFmtId="0" fontId="55" fillId="0" borderId="8"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wrapText="1"/>
    </xf>
    <xf numFmtId="0" fontId="55" fillId="0" borderId="4" xfId="0" applyFont="1" applyFill="1" applyBorder="1" applyAlignment="1" applyProtection="1">
      <alignment horizontal="center" vertical="center" wrapText="1"/>
    </xf>
    <xf numFmtId="0" fontId="55" fillId="0" borderId="7" xfId="0" applyFont="1" applyFill="1" applyBorder="1" applyAlignment="1" applyProtection="1">
      <alignment horizontal="center" vertical="center" wrapText="1"/>
    </xf>
    <xf numFmtId="0" fontId="55" fillId="0" borderId="15" xfId="0" applyFont="1" applyFill="1" applyBorder="1" applyAlignment="1" applyProtection="1">
      <alignment horizontal="center" vertical="center" wrapText="1"/>
    </xf>
    <xf numFmtId="14" fontId="141" fillId="50" borderId="7" xfId="8" applyNumberFormat="1" applyFont="1" applyFill="1" applyBorder="1" applyAlignment="1" applyProtection="1">
      <alignment horizontal="center" vertical="center" wrapText="1"/>
      <protection locked="0"/>
    </xf>
    <xf numFmtId="0" fontId="55" fillId="0" borderId="12" xfId="0" applyFont="1" applyFill="1" applyBorder="1" applyAlignment="1" applyProtection="1">
      <alignment horizontal="center" vertical="center"/>
    </xf>
    <xf numFmtId="0" fontId="55" fillId="0" borderId="11" xfId="0" applyFont="1" applyFill="1" applyBorder="1" applyAlignment="1" applyProtection="1">
      <alignment horizontal="center" vertical="center"/>
    </xf>
    <xf numFmtId="0" fontId="55" fillId="0" borderId="16" xfId="0" applyFont="1" applyFill="1" applyBorder="1" applyAlignment="1" applyProtection="1">
      <alignment horizontal="center" vertical="center"/>
    </xf>
    <xf numFmtId="0" fontId="55" fillId="0" borderId="4" xfId="0" applyFont="1" applyFill="1" applyBorder="1" applyAlignment="1" applyProtection="1">
      <alignment horizontal="center" vertical="center"/>
    </xf>
    <xf numFmtId="0" fontId="55" fillId="0" borderId="15" xfId="0" applyFont="1" applyFill="1" applyBorder="1" applyAlignment="1" applyProtection="1">
      <alignment horizontal="center" vertical="center"/>
    </xf>
    <xf numFmtId="0" fontId="52" fillId="0" borderId="125" xfId="0" applyNumberFormat="1" applyFont="1" applyFill="1" applyBorder="1" applyAlignment="1" applyProtection="1">
      <alignment horizontal="center" vertical="center" wrapText="1"/>
    </xf>
    <xf numFmtId="0" fontId="52" fillId="0" borderId="126" xfId="0" applyNumberFormat="1" applyFont="1" applyFill="1" applyBorder="1" applyAlignment="1" applyProtection="1">
      <alignment horizontal="center" vertical="center" wrapText="1"/>
    </xf>
    <xf numFmtId="0" fontId="55" fillId="0" borderId="6" xfId="8" applyFont="1" applyFill="1" applyBorder="1" applyAlignment="1" applyProtection="1">
      <alignment horizontal="center" vertical="center" wrapText="1"/>
    </xf>
    <xf numFmtId="177" fontId="50" fillId="0" borderId="1" xfId="1" applyNumberFormat="1" applyFont="1" applyFill="1" applyBorder="1" applyAlignment="1" applyProtection="1">
      <alignment horizontal="center" vertical="center"/>
    </xf>
    <xf numFmtId="177" fontId="50" fillId="0" borderId="6" xfId="1" applyNumberFormat="1" applyFont="1" applyFill="1" applyBorder="1" applyAlignment="1" applyProtection="1">
      <alignment horizontal="center" vertical="center"/>
    </xf>
    <xf numFmtId="0" fontId="55" fillId="0" borderId="5" xfId="8" applyFont="1" applyFill="1" applyBorder="1" applyAlignment="1" applyProtection="1">
      <alignment horizontal="center" vertical="center" wrapText="1"/>
    </xf>
    <xf numFmtId="0" fontId="55" fillId="0" borderId="9" xfId="8" applyFont="1" applyFill="1" applyBorder="1" applyAlignment="1" applyProtection="1">
      <alignment horizontal="center" vertical="center" wrapText="1"/>
    </xf>
    <xf numFmtId="0" fontId="14" fillId="0" borderId="9" xfId="8" applyFont="1" applyFill="1" applyBorder="1" applyAlignment="1" applyProtection="1">
      <alignment horizontal="center" vertical="center" wrapText="1"/>
    </xf>
    <xf numFmtId="20" fontId="24" fillId="0" borderId="5" xfId="0" quotePrefix="1" applyNumberFormat="1"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5" fillId="0" borderId="9" xfId="0" applyFont="1" applyFill="1" applyBorder="1" applyAlignment="1" applyProtection="1">
      <alignment horizontal="center" vertical="center" wrapText="1"/>
    </xf>
    <xf numFmtId="0" fontId="68" fillId="0" borderId="1"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68" fillId="0" borderId="1" xfId="8" applyFont="1" applyFill="1" applyBorder="1" applyAlignment="1" applyProtection="1">
      <alignment horizontal="center" vertical="center"/>
      <protection locked="0"/>
    </xf>
    <xf numFmtId="0" fontId="50" fillId="0" borderId="6"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24" fillId="0" borderId="5" xfId="8"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0" fillId="0" borderId="6"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xf>
    <xf numFmtId="0" fontId="50" fillId="0" borderId="5" xfId="0" applyFont="1" applyFill="1" applyBorder="1" applyAlignment="1">
      <alignment horizontal="center" vertical="center" wrapText="1"/>
    </xf>
    <xf numFmtId="0" fontId="0" fillId="0" borderId="9" xfId="0" applyBorder="1">
      <alignment vertical="center"/>
    </xf>
    <xf numFmtId="0" fontId="0" fillId="0" borderId="6" xfId="0" applyBorder="1">
      <alignment vertical="center"/>
    </xf>
    <xf numFmtId="0" fontId="50" fillId="0" borderId="3" xfId="0" applyFont="1" applyFill="1" applyBorder="1" applyAlignment="1" applyProtection="1">
      <alignment horizontal="center" vertical="center"/>
    </xf>
    <xf numFmtId="0" fontId="50" fillId="0" borderId="86" xfId="0" applyFont="1" applyFill="1" applyBorder="1" applyAlignment="1" applyProtection="1">
      <alignment horizontal="center" vertical="center"/>
    </xf>
    <xf numFmtId="0" fontId="52" fillId="0" borderId="5" xfId="0" applyFont="1" applyFill="1" applyBorder="1" applyAlignment="1" applyProtection="1">
      <alignment horizontal="center" vertical="center" wrapText="1"/>
      <protection locked="0"/>
    </xf>
    <xf numFmtId="0" fontId="52" fillId="0" borderId="6" xfId="0" applyFont="1" applyFill="1" applyBorder="1" applyAlignment="1" applyProtection="1">
      <alignment horizontal="center" vertical="center" wrapText="1"/>
      <protection locked="0"/>
    </xf>
    <xf numFmtId="0" fontId="52" fillId="0" borderId="9" xfId="0" applyFont="1" applyFill="1" applyBorder="1" applyAlignment="1" applyProtection="1">
      <alignment horizontal="center" vertical="center" wrapText="1"/>
      <protection locked="0"/>
    </xf>
    <xf numFmtId="177" fontId="50" fillId="0" borderId="5" xfId="1" applyNumberFormat="1" applyFont="1" applyFill="1" applyBorder="1" applyAlignment="1" applyProtection="1">
      <alignment horizontal="center" vertical="center"/>
    </xf>
    <xf numFmtId="0" fontId="50" fillId="0" borderId="213" xfId="0" applyFont="1" applyFill="1" applyBorder="1" applyAlignment="1" applyProtection="1">
      <alignment horizontal="center" vertical="center" wrapText="1"/>
      <protection locked="0"/>
    </xf>
    <xf numFmtId="0" fontId="50" fillId="0" borderId="213" xfId="0" applyFont="1" applyFill="1" applyBorder="1" applyAlignment="1" applyProtection="1">
      <alignment horizontal="center" vertical="center" wrapText="1"/>
    </xf>
    <xf numFmtId="0" fontId="50" fillId="0" borderId="2" xfId="0" applyFont="1" applyFill="1" applyBorder="1" applyAlignment="1" applyProtection="1">
      <alignment horizontal="center" vertical="center"/>
    </xf>
    <xf numFmtId="0" fontId="50" fillId="0" borderId="10" xfId="0"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24" fillId="0" borderId="2" xfId="8"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protection locked="0"/>
    </xf>
    <xf numFmtId="20" fontId="52" fillId="0" borderId="1" xfId="0" quotePrefix="1" applyNumberFormat="1" applyFont="1" applyFill="1" applyBorder="1" applyAlignment="1" applyProtection="1">
      <alignment horizontal="center" vertical="center" wrapText="1"/>
    </xf>
    <xf numFmtId="0" fontId="0" fillId="0" borderId="69" xfId="0" applyBorder="1">
      <alignment vertical="center"/>
    </xf>
    <xf numFmtId="0" fontId="50" fillId="0" borderId="1" xfId="0" applyFont="1" applyFill="1" applyBorder="1" applyAlignment="1" applyProtection="1">
      <alignment horizontal="center" vertical="center" wrapText="1"/>
    </xf>
    <xf numFmtId="0" fontId="55" fillId="0" borderId="61" xfId="0" applyFont="1" applyFill="1" applyBorder="1" applyAlignment="1" applyProtection="1">
      <alignment horizontal="center" vertical="center"/>
    </xf>
    <xf numFmtId="20" fontId="52" fillId="0" borderId="9" xfId="0" quotePrefix="1" applyNumberFormat="1" applyFont="1" applyFill="1" applyBorder="1" applyAlignment="1" applyProtection="1">
      <alignment horizontal="center" vertical="center" wrapText="1"/>
    </xf>
    <xf numFmtId="0" fontId="24" fillId="0" borderId="13"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xf>
    <xf numFmtId="0" fontId="53" fillId="0" borderId="9" xfId="0" applyFont="1" applyFill="1" applyBorder="1" applyAlignment="1" applyProtection="1">
      <alignment horizontal="center" vertical="center" wrapText="1"/>
    </xf>
    <xf numFmtId="0" fontId="53" fillId="0" borderId="6" xfId="0"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10" fillId="14" borderId="5" xfId="0" applyFont="1" applyFill="1" applyBorder="1" applyAlignment="1" applyProtection="1">
      <alignment horizontal="center" vertical="center" wrapText="1"/>
    </xf>
    <xf numFmtId="0" fontId="10" fillId="14" borderId="9" xfId="0" applyFont="1" applyFill="1" applyBorder="1" applyAlignment="1" applyProtection="1">
      <alignment horizontal="center" vertical="center" wrapText="1"/>
    </xf>
    <xf numFmtId="0" fontId="10" fillId="14" borderId="6" xfId="0" applyFont="1" applyFill="1" applyBorder="1" applyAlignment="1" applyProtection="1">
      <alignment horizontal="center" vertical="center" wrapText="1"/>
    </xf>
    <xf numFmtId="41" fontId="38" fillId="0" borderId="108" xfId="0" applyNumberFormat="1" applyFont="1" applyFill="1" applyBorder="1" applyAlignment="1" applyProtection="1">
      <alignment horizontal="center" vertical="center" wrapText="1"/>
      <protection locked="0"/>
    </xf>
    <xf numFmtId="41" fontId="38" fillId="0" borderId="106" xfId="0" applyNumberFormat="1" applyFont="1" applyFill="1" applyBorder="1" applyAlignment="1" applyProtection="1">
      <alignment horizontal="center" vertical="center" wrapText="1"/>
      <protection locked="0"/>
    </xf>
    <xf numFmtId="41" fontId="38" fillId="0" borderId="1" xfId="0" applyNumberFormat="1" applyFont="1" applyFill="1" applyBorder="1" applyAlignment="1" applyProtection="1">
      <alignment horizontal="center" vertical="center" wrapText="1"/>
      <protection locked="0"/>
    </xf>
    <xf numFmtId="0" fontId="53" fillId="0" borderId="5" xfId="0" applyFont="1" applyBorder="1" applyAlignment="1" applyProtection="1">
      <alignment horizontal="center" vertical="center" wrapText="1"/>
    </xf>
    <xf numFmtId="0" fontId="53" fillId="0" borderId="9" xfId="0" applyFont="1" applyBorder="1" applyAlignment="1" applyProtection="1">
      <alignment horizontal="center" vertical="center" wrapText="1"/>
    </xf>
    <xf numFmtId="0" fontId="53" fillId="0" borderId="6" xfId="0" applyFont="1" applyBorder="1" applyAlignment="1" applyProtection="1">
      <alignment horizontal="center" vertical="center" wrapText="1"/>
    </xf>
    <xf numFmtId="0" fontId="17" fillId="14" borderId="170" xfId="8" applyFont="1" applyFill="1" applyBorder="1" applyAlignment="1" applyProtection="1">
      <alignment horizontal="center" vertical="center" wrapText="1"/>
    </xf>
    <xf numFmtId="0" fontId="17" fillId="14" borderId="172" xfId="8" applyFont="1" applyFill="1" applyBorder="1" applyAlignment="1" applyProtection="1">
      <alignment horizontal="center" vertical="center" wrapText="1"/>
    </xf>
    <xf numFmtId="0" fontId="17" fillId="14" borderId="209" xfId="8" applyFont="1" applyFill="1" applyBorder="1" applyAlignment="1" applyProtection="1">
      <alignment horizontal="center" vertical="center" wrapText="1"/>
    </xf>
    <xf numFmtId="0" fontId="17" fillId="14" borderId="16" xfId="8" applyFont="1" applyFill="1" applyBorder="1" applyAlignment="1" applyProtection="1">
      <alignment horizontal="center" vertical="center" wrapText="1"/>
    </xf>
    <xf numFmtId="0" fontId="17" fillId="14" borderId="176" xfId="8" applyFont="1" applyFill="1" applyBorder="1" applyAlignment="1" applyProtection="1">
      <alignment horizontal="center" vertical="center" wrapText="1"/>
    </xf>
    <xf numFmtId="0" fontId="17" fillId="14" borderId="208" xfId="8" applyFont="1" applyFill="1" applyBorder="1" applyAlignment="1" applyProtection="1">
      <alignment horizontal="center" vertical="center" wrapText="1"/>
    </xf>
    <xf numFmtId="0" fontId="17" fillId="14" borderId="5" xfId="8" applyFont="1" applyFill="1" applyBorder="1" applyAlignment="1" applyProtection="1">
      <alignment horizontal="center" vertical="center" wrapText="1"/>
    </xf>
    <xf numFmtId="0" fontId="17" fillId="14" borderId="6" xfId="8" applyFont="1" applyFill="1" applyBorder="1" applyAlignment="1" applyProtection="1">
      <alignment horizontal="center" vertical="center" wrapText="1"/>
    </xf>
    <xf numFmtId="0" fontId="10" fillId="14" borderId="219" xfId="0" applyFont="1" applyFill="1" applyBorder="1" applyAlignment="1" applyProtection="1">
      <alignment horizontal="left" vertical="center" wrapText="1"/>
    </xf>
    <xf numFmtId="0" fontId="10" fillId="14" borderId="9" xfId="0" applyFont="1" applyFill="1" applyBorder="1" applyAlignment="1" applyProtection="1">
      <alignment horizontal="left" vertical="center" wrapText="1"/>
    </xf>
    <xf numFmtId="0" fontId="10" fillId="14" borderId="6" xfId="0" applyFont="1" applyFill="1" applyBorder="1" applyAlignment="1" applyProtection="1">
      <alignment horizontal="left" vertical="center" wrapText="1"/>
    </xf>
    <xf numFmtId="0" fontId="53" fillId="0" borderId="1" xfId="0" applyFont="1" applyBorder="1" applyAlignment="1" applyProtection="1">
      <alignment horizontal="center" vertical="center"/>
    </xf>
    <xf numFmtId="0" fontId="10" fillId="14" borderId="211" xfId="0" applyFont="1" applyFill="1" applyBorder="1" applyAlignment="1" applyProtection="1">
      <alignment horizontal="center" vertical="center" wrapText="1"/>
    </xf>
    <xf numFmtId="0" fontId="10" fillId="14" borderId="192" xfId="0" applyFont="1" applyFill="1" applyBorder="1" applyAlignment="1" applyProtection="1">
      <alignment horizontal="center" vertical="center" wrapText="1"/>
    </xf>
    <xf numFmtId="0" fontId="10" fillId="14" borderId="212" xfId="0" applyFont="1" applyFill="1" applyBorder="1" applyAlignment="1" applyProtection="1">
      <alignment horizontal="center" vertical="center" wrapText="1"/>
    </xf>
    <xf numFmtId="20" fontId="68" fillId="0" borderId="78" xfId="0" applyNumberFormat="1" applyFont="1" applyFill="1" applyBorder="1" applyAlignment="1" applyProtection="1">
      <alignment horizontal="center" vertical="center" wrapText="1"/>
    </xf>
    <xf numFmtId="20" fontId="68" fillId="0" borderId="79" xfId="0" applyNumberFormat="1" applyFont="1" applyFill="1" applyBorder="1" applyAlignment="1" applyProtection="1">
      <alignment horizontal="center" vertical="center" wrapText="1"/>
    </xf>
    <xf numFmtId="177" fontId="38" fillId="0" borderId="108"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177" fontId="38" fillId="0" borderId="5" xfId="0" applyNumberFormat="1" applyFont="1" applyFill="1" applyBorder="1" applyAlignment="1" applyProtection="1">
      <alignment horizontal="center" vertical="center" wrapText="1"/>
      <protection locked="0"/>
    </xf>
    <xf numFmtId="177" fontId="38" fillId="0" borderId="6" xfId="0" applyNumberFormat="1" applyFont="1" applyFill="1" applyBorder="1" applyAlignment="1" applyProtection="1">
      <alignment horizontal="center" vertical="center" wrapText="1"/>
      <protection locked="0"/>
    </xf>
    <xf numFmtId="0" fontId="53" fillId="0" borderId="1" xfId="0" applyFont="1" applyFill="1" applyBorder="1" applyAlignment="1" applyProtection="1">
      <alignment horizontal="center" vertical="center" wrapText="1"/>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protection locked="0"/>
    </xf>
    <xf numFmtId="41" fontId="38" fillId="0" borderId="6" xfId="0" applyNumberFormat="1" applyFont="1" applyFill="1" applyBorder="1" applyAlignment="1" applyProtection="1">
      <alignment horizontal="center" vertical="center" wrapText="1"/>
      <protection locked="0"/>
    </xf>
    <xf numFmtId="0" fontId="52" fillId="0" borderId="5" xfId="0" applyFont="1" applyFill="1" applyBorder="1" applyAlignment="1">
      <alignment horizontal="center" vertical="center" wrapText="1"/>
    </xf>
    <xf numFmtId="0" fontId="52" fillId="0" borderId="9"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53" fillId="0" borderId="5" xfId="0" applyFont="1" applyFill="1" applyBorder="1" applyAlignment="1">
      <alignment horizontal="left" vertical="center" wrapText="1"/>
    </xf>
    <xf numFmtId="0" fontId="53" fillId="0" borderId="9" xfId="0" applyFont="1" applyFill="1" applyBorder="1" applyAlignment="1">
      <alignment horizontal="left" vertical="center" wrapText="1"/>
    </xf>
    <xf numFmtId="0" fontId="53" fillId="0" borderId="6" xfId="0" applyFont="1" applyFill="1" applyBorder="1" applyAlignment="1">
      <alignment horizontal="left" vertical="center" wrapText="1"/>
    </xf>
    <xf numFmtId="0" fontId="76" fillId="0" borderId="3" xfId="0" applyFont="1" applyFill="1" applyBorder="1" applyAlignment="1" applyProtection="1">
      <alignment horizontal="center" vertical="center"/>
    </xf>
    <xf numFmtId="0" fontId="76" fillId="0" borderId="2" xfId="0" applyFont="1" applyFill="1" applyBorder="1" applyAlignment="1" applyProtection="1">
      <alignment horizontal="center" vertical="center"/>
    </xf>
    <xf numFmtId="0" fontId="53" fillId="0" borderId="3" xfId="8" applyFont="1" applyFill="1" applyBorder="1" applyAlignment="1" applyProtection="1">
      <alignment horizontal="center" vertical="center" wrapText="1"/>
    </xf>
    <xf numFmtId="0" fontId="53" fillId="0" borderId="2" xfId="8" applyFont="1" applyFill="1" applyBorder="1" applyAlignment="1" applyProtection="1">
      <alignment horizontal="center" vertical="center" wrapText="1"/>
    </xf>
    <xf numFmtId="0" fontId="53" fillId="0" borderId="5" xfId="8" applyFont="1" applyFill="1" applyBorder="1" applyAlignment="1" applyProtection="1">
      <alignment horizontal="center" vertical="center" wrapText="1"/>
    </xf>
    <xf numFmtId="0" fontId="53" fillId="0" borderId="9" xfId="8" applyFont="1" applyFill="1" applyBorder="1" applyAlignment="1" applyProtection="1">
      <alignment horizontal="center" vertical="center" wrapText="1"/>
    </xf>
    <xf numFmtId="0" fontId="53" fillId="0" borderId="6" xfId="8"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53" fillId="0" borderId="6" xfId="0" applyFont="1" applyFill="1" applyBorder="1" applyAlignment="1">
      <alignment horizontal="center" vertical="center" wrapText="1"/>
    </xf>
    <xf numFmtId="0" fontId="53" fillId="0" borderId="13" xfId="0" applyFont="1" applyFill="1" applyBorder="1" applyAlignment="1" applyProtection="1">
      <alignment horizontal="center" vertical="center" wrapText="1"/>
    </xf>
    <xf numFmtId="0" fontId="53" fillId="0" borderId="8" xfId="0" applyFont="1" applyFill="1" applyBorder="1" applyAlignment="1" applyProtection="1">
      <alignment horizontal="center" vertical="center" wrapText="1"/>
    </xf>
    <xf numFmtId="0" fontId="53" fillId="0" borderId="4" xfId="0" applyFont="1" applyFill="1" applyBorder="1" applyAlignment="1" applyProtection="1">
      <alignment horizontal="center" vertical="center" wrapText="1"/>
    </xf>
    <xf numFmtId="0" fontId="53" fillId="0" borderId="7" xfId="0" applyFont="1" applyFill="1" applyBorder="1" applyAlignment="1" applyProtection="1">
      <alignment horizontal="center" vertical="center" wrapText="1"/>
    </xf>
    <xf numFmtId="0" fontId="53" fillId="0" borderId="12" xfId="0" applyFont="1" applyFill="1" applyBorder="1" applyAlignment="1" applyProtection="1">
      <alignment horizontal="center" vertical="center" wrapText="1"/>
      <protection locked="0"/>
    </xf>
    <xf numFmtId="0" fontId="53" fillId="0" borderId="15" xfId="0" applyFont="1" applyFill="1" applyBorder="1" applyAlignment="1" applyProtection="1">
      <alignment horizontal="center" vertical="center" wrapText="1"/>
      <protection locked="0"/>
    </xf>
    <xf numFmtId="0" fontId="76" fillId="0" borderId="10" xfId="0" applyFont="1" applyFill="1" applyBorder="1" applyAlignment="1" applyProtection="1">
      <alignment horizontal="center" vertical="center"/>
    </xf>
    <xf numFmtId="0" fontId="150" fillId="0" borderId="13" xfId="0" applyFont="1" applyFill="1" applyBorder="1" applyAlignment="1" applyProtection="1">
      <alignment horizontal="center" vertical="center" wrapText="1"/>
    </xf>
    <xf numFmtId="0" fontId="150" fillId="0" borderId="12" xfId="0" applyFont="1" applyFill="1" applyBorder="1" applyAlignment="1" applyProtection="1">
      <alignment horizontal="center" vertical="center"/>
    </xf>
    <xf numFmtId="0" fontId="150" fillId="0" borderId="11" xfId="0" applyFont="1" applyFill="1" applyBorder="1" applyAlignment="1" applyProtection="1">
      <alignment horizontal="center" vertical="center"/>
    </xf>
    <xf numFmtId="0" fontId="150" fillId="0" borderId="16" xfId="0" applyFont="1" applyFill="1" applyBorder="1" applyAlignment="1" applyProtection="1">
      <alignment horizontal="center" vertical="center"/>
    </xf>
    <xf numFmtId="0" fontId="236" fillId="0" borderId="100" xfId="0" applyFont="1" applyFill="1" applyBorder="1" applyAlignment="1" applyProtection="1">
      <alignment horizontal="center" vertical="center" wrapText="1"/>
    </xf>
    <xf numFmtId="0" fontId="236" fillId="0" borderId="46" xfId="0" applyFont="1" applyFill="1" applyBorder="1" applyAlignment="1" applyProtection="1">
      <alignment horizontal="center" vertical="center" wrapText="1"/>
    </xf>
    <xf numFmtId="0" fontId="38" fillId="0" borderId="100" xfId="0" applyFont="1" applyFill="1" applyBorder="1" applyAlignment="1" applyProtection="1">
      <alignment horizontal="center" vertical="center" wrapText="1"/>
    </xf>
    <xf numFmtId="41" fontId="38" fillId="0" borderId="9" xfId="0" applyNumberFormat="1" applyFont="1" applyFill="1" applyBorder="1" applyAlignment="1" applyProtection="1">
      <alignment horizontal="center" vertical="center" wrapText="1"/>
      <protection locked="0"/>
    </xf>
    <xf numFmtId="0" fontId="38" fillId="0" borderId="0" xfId="0" applyFont="1" applyFill="1" applyAlignment="1" applyProtection="1">
      <alignment horizontal="center" vertical="center"/>
    </xf>
    <xf numFmtId="0" fontId="214" fillId="11" borderId="12" xfId="0" applyFont="1" applyFill="1" applyBorder="1" applyAlignment="1" applyProtection="1">
      <alignment horizontal="center" vertical="center" wrapText="1"/>
    </xf>
    <xf numFmtId="0" fontId="214" fillId="11" borderId="16" xfId="0" applyFont="1" applyFill="1" applyBorder="1" applyAlignment="1" applyProtection="1">
      <alignment horizontal="center" vertical="center" wrapText="1"/>
    </xf>
    <xf numFmtId="0" fontId="214" fillId="11" borderId="3" xfId="0" applyFont="1" applyFill="1" applyBorder="1" applyAlignment="1" applyProtection="1">
      <alignment horizontal="center" vertical="center" wrapText="1"/>
    </xf>
    <xf numFmtId="0" fontId="214" fillId="11" borderId="10" xfId="0" applyFont="1" applyFill="1" applyBorder="1" applyAlignment="1" applyProtection="1">
      <alignment horizontal="center" vertical="center" wrapText="1"/>
    </xf>
    <xf numFmtId="0" fontId="38" fillId="4" borderId="0" xfId="0" applyFont="1" applyFill="1" applyAlignment="1" applyProtection="1">
      <alignment horizontal="center" vertical="center" wrapText="1"/>
    </xf>
    <xf numFmtId="187" fontId="38" fillId="0" borderId="100" xfId="0" applyNumberFormat="1" applyFont="1" applyFill="1" applyBorder="1" applyAlignment="1" applyProtection="1">
      <alignment horizontal="center" vertical="center" wrapText="1"/>
      <protection locked="0"/>
    </xf>
    <xf numFmtId="187" fontId="38" fillId="0" borderId="101" xfId="0" applyNumberFormat="1" applyFont="1" applyFill="1" applyBorder="1" applyAlignment="1" applyProtection="1">
      <alignment horizontal="center" vertical="center" wrapText="1"/>
      <protection locked="0"/>
    </xf>
    <xf numFmtId="0" fontId="38" fillId="13" borderId="1"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10" xfId="0" applyFont="1" applyFill="1" applyBorder="1" applyAlignment="1">
      <alignment horizontal="center" vertical="center" wrapText="1"/>
    </xf>
    <xf numFmtId="0" fontId="38" fillId="0" borderId="86" xfId="0" applyFont="1" applyFill="1" applyBorder="1" applyAlignment="1">
      <alignment horizontal="center" vertical="center" wrapText="1"/>
    </xf>
    <xf numFmtId="0" fontId="38" fillId="0" borderId="3" xfId="0" applyFont="1" applyFill="1" applyBorder="1" applyAlignment="1">
      <alignment horizontal="center" vertical="center"/>
    </xf>
    <xf numFmtId="0" fontId="38" fillId="0" borderId="86" xfId="0" applyFont="1" applyFill="1" applyBorder="1" applyAlignment="1">
      <alignment horizontal="center" vertical="center"/>
    </xf>
    <xf numFmtId="0" fontId="38" fillId="13" borderId="3" xfId="0" applyFont="1" applyFill="1" applyBorder="1" applyAlignment="1">
      <alignment horizontal="center" vertical="center"/>
    </xf>
    <xf numFmtId="0" fontId="38" fillId="13" borderId="86" xfId="0" applyFont="1" applyFill="1" applyBorder="1" applyAlignment="1">
      <alignment horizontal="center" vertical="center"/>
    </xf>
    <xf numFmtId="187" fontId="38" fillId="0" borderId="46" xfId="0" applyNumberFormat="1" applyFont="1" applyFill="1" applyBorder="1" applyAlignment="1" applyProtection="1">
      <alignment horizontal="center" vertical="center" wrapText="1"/>
      <protection locked="0"/>
    </xf>
    <xf numFmtId="14" fontId="40" fillId="0" borderId="69" xfId="8" applyNumberFormat="1" applyFont="1" applyFill="1" applyBorder="1" applyAlignment="1" applyProtection="1">
      <alignment horizontal="left" vertical="center"/>
    </xf>
    <xf numFmtId="181" fontId="141" fillId="0" borderId="69" xfId="0" applyNumberFormat="1" applyFont="1" applyFill="1" applyBorder="1" applyAlignment="1" applyProtection="1">
      <alignment horizontal="center" vertical="center"/>
      <protection locked="0"/>
    </xf>
    <xf numFmtId="0" fontId="14" fillId="0" borderId="1"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6"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38" fillId="0" borderId="6" xfId="0" applyFont="1" applyFill="1" applyBorder="1" applyAlignment="1" applyProtection="1">
      <alignment horizontal="center" vertical="center" wrapText="1"/>
    </xf>
    <xf numFmtId="0" fontId="62" fillId="0" borderId="1" xfId="0" applyFont="1" applyFill="1" applyBorder="1" applyAlignment="1" applyProtection="1">
      <alignment horizontal="center" vertical="center"/>
    </xf>
    <xf numFmtId="0" fontId="24" fillId="0" borderId="3" xfId="8" applyFont="1" applyFill="1" applyBorder="1" applyAlignment="1" applyProtection="1">
      <alignment horizontal="center" vertical="center"/>
    </xf>
    <xf numFmtId="0" fontId="24" fillId="0" borderId="2" xfId="8"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6" xfId="0" applyFont="1" applyFill="1" applyBorder="1" applyAlignment="1" applyProtection="1">
      <alignment horizontal="center" vertical="center"/>
    </xf>
    <xf numFmtId="0" fontId="24" fillId="0" borderId="10" xfId="8" applyFont="1" applyFill="1" applyBorder="1" applyAlignment="1" applyProtection="1">
      <alignment horizontal="center" vertical="center"/>
    </xf>
    <xf numFmtId="0" fontId="14" fillId="0" borderId="12"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16"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14" fillId="0" borderId="15" xfId="0" applyFont="1" applyFill="1" applyBorder="1" applyAlignment="1" applyProtection="1">
      <alignment horizontal="center" vertical="center"/>
    </xf>
    <xf numFmtId="0" fontId="30" fillId="0" borderId="0" xfId="0" applyFont="1" applyAlignment="1" applyProtection="1">
      <alignment horizontal="center" vertical="center" wrapText="1"/>
    </xf>
    <xf numFmtId="0" fontId="60" fillId="0" borderId="0" xfId="8" applyFont="1" applyFill="1" applyBorder="1" applyAlignment="1" applyProtection="1">
      <alignment horizontal="center" vertical="center" wrapText="1"/>
    </xf>
    <xf numFmtId="0" fontId="60" fillId="0" borderId="16" xfId="8" applyFont="1" applyFill="1" applyBorder="1" applyAlignment="1" applyProtection="1">
      <alignment horizontal="center" vertical="center" wrapText="1"/>
    </xf>
    <xf numFmtId="14" fontId="24" fillId="0" borderId="7" xfId="8" applyNumberFormat="1"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protection locked="0"/>
    </xf>
    <xf numFmtId="0" fontId="24" fillId="0" borderId="6" xfId="8" applyFont="1" applyFill="1" applyBorder="1" applyAlignment="1" applyProtection="1">
      <alignment horizontal="center" vertical="center"/>
      <protection locked="0"/>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5" xfId="0" applyFont="1" applyFill="1" applyBorder="1" applyAlignment="1" applyProtection="1">
      <alignment horizontal="center" vertical="center"/>
    </xf>
    <xf numFmtId="0" fontId="24" fillId="0" borderId="9" xfId="0" applyFont="1" applyFill="1" applyBorder="1" applyAlignment="1" applyProtection="1">
      <alignment horizontal="center" vertical="center"/>
    </xf>
    <xf numFmtId="0" fontId="24" fillId="0" borderId="6" xfId="0" applyFont="1" applyFill="1" applyBorder="1" applyAlignment="1" applyProtection="1">
      <alignment horizontal="center" vertical="center"/>
    </xf>
    <xf numFmtId="177" fontId="38" fillId="0" borderId="9" xfId="0" applyNumberFormat="1" applyFont="1" applyFill="1" applyBorder="1" applyAlignment="1" applyProtection="1">
      <alignment horizontal="center" vertical="center" wrapText="1"/>
      <protection locked="0"/>
    </xf>
    <xf numFmtId="20" fontId="24" fillId="0" borderId="6" xfId="0" quotePrefix="1" applyNumberFormat="1"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06" xfId="0" applyFont="1" applyFill="1" applyBorder="1" applyAlignment="1" applyProtection="1">
      <alignment horizontal="center" vertical="center" wrapText="1"/>
    </xf>
    <xf numFmtId="0" fontId="14" fillId="0" borderId="108"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0" fontId="14" fillId="0" borderId="69" xfId="0" applyFont="1" applyFill="1" applyBorder="1" applyAlignment="1" applyProtection="1">
      <alignment horizontal="center" vertical="center" wrapText="1"/>
    </xf>
    <xf numFmtId="0" fontId="14" fillId="0" borderId="70"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14" fontId="40" fillId="51" borderId="69" xfId="8" applyNumberFormat="1"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protection locked="0"/>
    </xf>
    <xf numFmtId="0" fontId="24" fillId="0" borderId="6" xfId="0" applyFont="1" applyFill="1" applyBorder="1" applyAlignment="1" applyProtection="1">
      <alignment horizontal="center" vertical="center"/>
      <protection locked="0"/>
    </xf>
    <xf numFmtId="0" fontId="24" fillId="0" borderId="5" xfId="0" applyFont="1" applyFill="1" applyBorder="1" applyAlignment="1" applyProtection="1">
      <alignment horizontal="center" vertical="center" wrapText="1"/>
      <protection locked="0"/>
    </xf>
    <xf numFmtId="0" fontId="24" fillId="0" borderId="6" xfId="0" applyFont="1" applyFill="1" applyBorder="1" applyAlignment="1" applyProtection="1">
      <alignment horizontal="center" vertical="center" wrapText="1"/>
      <protection locked="0"/>
    </xf>
    <xf numFmtId="0" fontId="30" fillId="0" borderId="0" xfId="0" applyFont="1" applyFill="1" applyAlignment="1" applyProtection="1">
      <alignment horizontal="center" vertical="center" wrapText="1"/>
    </xf>
    <xf numFmtId="0" fontId="24" fillId="0" borderId="9" xfId="0" applyFont="1" applyFill="1" applyBorder="1" applyAlignment="1" applyProtection="1">
      <alignment horizontal="center" vertical="center" wrapText="1"/>
      <protection locked="0"/>
    </xf>
    <xf numFmtId="0" fontId="151" fillId="0" borderId="5" xfId="0" applyFont="1" applyBorder="1" applyAlignment="1" applyProtection="1">
      <alignment horizontal="center" vertical="center" wrapText="1"/>
    </xf>
    <xf numFmtId="0" fontId="151" fillId="0" borderId="9" xfId="0" applyFont="1" applyBorder="1" applyAlignment="1" applyProtection="1">
      <alignment horizontal="center" vertical="center" wrapText="1"/>
    </xf>
    <xf numFmtId="0" fontId="151" fillId="0" borderId="6" xfId="0" applyFont="1" applyBorder="1" applyAlignment="1" applyProtection="1">
      <alignment horizontal="center" vertical="center" wrapText="1"/>
    </xf>
    <xf numFmtId="0" fontId="51" fillId="0" borderId="13" xfId="0" applyFont="1" applyFill="1" applyBorder="1" applyAlignment="1" applyProtection="1">
      <alignment horizontal="center" vertical="center" wrapText="1"/>
    </xf>
    <xf numFmtId="0" fontId="51" fillId="0" borderId="8" xfId="0" applyFont="1" applyFill="1" applyBorder="1" applyAlignment="1" applyProtection="1">
      <alignment horizontal="center" vertical="center" wrapText="1"/>
    </xf>
    <xf numFmtId="0" fontId="51" fillId="0" borderId="12" xfId="0" applyFont="1" applyFill="1" applyBorder="1" applyAlignment="1" applyProtection="1">
      <alignment horizontal="center" vertical="center" wrapText="1"/>
    </xf>
    <xf numFmtId="0" fontId="51" fillId="0" borderId="87" xfId="0" applyFont="1" applyFill="1" applyBorder="1" applyAlignment="1" applyProtection="1">
      <alignment horizontal="center" vertical="center" wrapText="1"/>
    </xf>
    <xf numFmtId="0" fontId="51" fillId="0" borderId="69" xfId="0" applyFont="1" applyFill="1" applyBorder="1" applyAlignment="1" applyProtection="1">
      <alignment horizontal="center" vertical="center" wrapText="1"/>
    </xf>
    <xf numFmtId="0" fontId="51" fillId="0" borderId="70" xfId="0" applyFont="1" applyFill="1" applyBorder="1" applyAlignment="1" applyProtection="1">
      <alignment horizontal="center" vertical="center" wrapText="1"/>
    </xf>
    <xf numFmtId="0" fontId="10" fillId="0" borderId="13" xfId="0" applyFont="1" applyFill="1" applyBorder="1" applyAlignment="1" applyProtection="1">
      <alignment horizontal="center" vertical="center" wrapText="1"/>
    </xf>
    <xf numFmtId="0" fontId="10" fillId="0" borderId="8"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0" fontId="10" fillId="0" borderId="12" xfId="0" applyFont="1" applyFill="1" applyBorder="1" applyAlignment="1" applyProtection="1">
      <alignment horizontal="center" vertical="center" wrapText="1"/>
      <protection locked="0"/>
    </xf>
    <xf numFmtId="0" fontId="10" fillId="0" borderId="15" xfId="0" applyFont="1" applyFill="1" applyBorder="1" applyAlignment="1" applyProtection="1">
      <alignment horizontal="center" vertical="center" wrapText="1"/>
      <protection locked="0"/>
    </xf>
    <xf numFmtId="0" fontId="10" fillId="0" borderId="5"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24" fillId="0" borderId="5" xfId="0" applyFont="1" applyFill="1" applyBorder="1" applyAlignment="1">
      <alignment horizontal="center" vertical="center" wrapText="1"/>
    </xf>
    <xf numFmtId="0" fontId="24" fillId="0" borderId="9"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11" fillId="0" borderId="3" xfId="0" applyFont="1" applyFill="1" applyBorder="1" applyAlignment="1" applyProtection="1">
      <alignment horizontal="center" vertical="center"/>
    </xf>
    <xf numFmtId="0" fontId="11" fillId="0" borderId="2" xfId="0" applyFont="1" applyFill="1" applyBorder="1" applyAlignment="1" applyProtection="1">
      <alignment horizontal="center" vertical="center"/>
    </xf>
    <xf numFmtId="0" fontId="10" fillId="0" borderId="3" xfId="8" applyFont="1" applyFill="1" applyBorder="1" applyAlignment="1" applyProtection="1">
      <alignment horizontal="center" vertical="center" wrapText="1"/>
    </xf>
    <xf numFmtId="0" fontId="10" fillId="0" borderId="2" xfId="8" applyFont="1" applyFill="1" applyBorder="1" applyAlignment="1" applyProtection="1">
      <alignment horizontal="center" vertical="center" wrapText="1"/>
    </xf>
    <xf numFmtId="0" fontId="10" fillId="0" borderId="5" xfId="8"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0" fillId="0" borderId="6"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65" fillId="0" borderId="0" xfId="0" applyFont="1" applyBorder="1" applyAlignment="1" applyProtection="1">
      <alignment horizontal="center" vertical="center" wrapText="1"/>
    </xf>
    <xf numFmtId="0" fontId="10" fillId="0" borderId="1" xfId="0" applyFont="1" applyBorder="1" applyAlignment="1" applyProtection="1">
      <alignment horizontal="center" vertical="center"/>
    </xf>
    <xf numFmtId="0" fontId="11" fillId="0" borderId="10" xfId="0" applyFont="1" applyFill="1" applyBorder="1" applyAlignment="1" applyProtection="1">
      <alignment horizontal="center" vertical="center"/>
    </xf>
    <xf numFmtId="0" fontId="17" fillId="0" borderId="13" xfId="0" applyFont="1" applyFill="1" applyBorder="1" applyAlignment="1" applyProtection="1">
      <alignment horizontal="center" vertical="center" wrapText="1"/>
    </xf>
    <xf numFmtId="0" fontId="17" fillId="0" borderId="12" xfId="0" applyFont="1" applyFill="1" applyBorder="1" applyAlignment="1" applyProtection="1">
      <alignment horizontal="center" vertical="center"/>
    </xf>
    <xf numFmtId="0" fontId="17" fillId="0" borderId="11" xfId="0" applyFont="1" applyFill="1" applyBorder="1" applyAlignment="1" applyProtection="1">
      <alignment horizontal="center" vertical="center"/>
    </xf>
    <xf numFmtId="0" fontId="17" fillId="0" borderId="16" xfId="0" applyFont="1" applyFill="1" applyBorder="1" applyAlignment="1" applyProtection="1">
      <alignment horizontal="center" vertical="center"/>
    </xf>
    <xf numFmtId="0" fontId="10" fillId="0" borderId="5" xfId="0" applyFont="1" applyFill="1" applyBorder="1" applyAlignment="1" applyProtection="1">
      <alignment horizontal="center" vertical="center" wrapText="1"/>
    </xf>
    <xf numFmtId="0" fontId="10" fillId="0" borderId="9" xfId="0" applyFont="1" applyFill="1" applyBorder="1" applyAlignment="1" applyProtection="1">
      <alignment horizontal="center" vertical="center" wrapText="1"/>
    </xf>
    <xf numFmtId="0" fontId="10" fillId="0" borderId="6" xfId="0" applyFont="1" applyFill="1" applyBorder="1" applyAlignment="1" applyProtection="1">
      <alignment horizontal="center" vertical="center" wrapText="1"/>
    </xf>
    <xf numFmtId="0" fontId="65" fillId="0" borderId="16" xfId="0" applyFont="1" applyBorder="1" applyAlignment="1" applyProtection="1">
      <alignment horizontal="center" vertical="center" wrapText="1"/>
    </xf>
    <xf numFmtId="0" fontId="14" fillId="0" borderId="87" xfId="0" applyFont="1" applyFill="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0" fontId="130" fillId="0" borderId="0" xfId="0" applyFont="1" applyBorder="1" applyAlignment="1" applyProtection="1">
      <alignment horizontal="center" vertical="center" wrapText="1"/>
    </xf>
    <xf numFmtId="0" fontId="130" fillId="0" borderId="16" xfId="0" applyFont="1" applyBorder="1" applyAlignment="1" applyProtection="1">
      <alignment horizontal="center" vertical="center" wrapText="1"/>
    </xf>
    <xf numFmtId="14" fontId="77" fillId="50" borderId="69" xfId="8" applyNumberFormat="1" applyFont="1" applyFill="1" applyBorder="1" applyAlignment="1" applyProtection="1">
      <alignment horizontal="center" vertical="center" wrapText="1"/>
      <protection locked="0"/>
    </xf>
    <xf numFmtId="0" fontId="17" fillId="0" borderId="5" xfId="8" applyFont="1" applyFill="1" applyBorder="1" applyAlignment="1" applyProtection="1">
      <alignment horizontal="center" vertical="center" wrapText="1"/>
    </xf>
    <xf numFmtId="0" fontId="17" fillId="0" borderId="6" xfId="8" applyFont="1" applyFill="1" applyBorder="1" applyAlignment="1" applyProtection="1">
      <alignment horizontal="center" vertical="center" wrapText="1"/>
    </xf>
    <xf numFmtId="0" fontId="17" fillId="0" borderId="13" xfId="8" applyFont="1" applyFill="1" applyBorder="1" applyAlignment="1" applyProtection="1">
      <alignment horizontal="center" vertical="center" wrapText="1"/>
    </xf>
    <xf numFmtId="0" fontId="17" fillId="0" borderId="12" xfId="8" applyFont="1" applyFill="1" applyBorder="1" applyAlignment="1" applyProtection="1">
      <alignment horizontal="center" vertical="center" wrapText="1"/>
    </xf>
    <xf numFmtId="0" fontId="17" fillId="0" borderId="11" xfId="8" applyFont="1" applyFill="1" applyBorder="1" applyAlignment="1" applyProtection="1">
      <alignment horizontal="center" vertical="center" wrapText="1"/>
    </xf>
    <xf numFmtId="0" fontId="17" fillId="0" borderId="16" xfId="8" applyFont="1" applyFill="1" applyBorder="1" applyAlignment="1" applyProtection="1">
      <alignment horizontal="center" vertical="center" wrapText="1"/>
    </xf>
    <xf numFmtId="0" fontId="10" fillId="0" borderId="1" xfId="0" applyFont="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52" fillId="0" borderId="86" xfId="0" applyNumberFormat="1"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0" fillId="0" borderId="0" xfId="0" applyFont="1" applyBorder="1" applyAlignment="1" applyProtection="1">
      <alignment horizontal="center" vertical="center" wrapText="1"/>
    </xf>
    <xf numFmtId="0" fontId="24" fillId="0" borderId="1"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wrapText="1"/>
    </xf>
    <xf numFmtId="0" fontId="24" fillId="0" borderId="1" xfId="8" applyFont="1" applyFill="1" applyBorder="1" applyAlignment="1" applyProtection="1">
      <alignment horizontal="center" vertical="center"/>
    </xf>
    <xf numFmtId="20" fontId="24" fillId="0" borderId="1" xfId="0" quotePrefix="1" applyNumberFormat="1" applyFont="1" applyFill="1" applyBorder="1" applyAlignment="1" applyProtection="1">
      <alignment horizontal="center" vertical="center" wrapText="1"/>
    </xf>
    <xf numFmtId="0" fontId="14" fillId="0" borderId="101" xfId="0" applyFont="1" applyFill="1" applyBorder="1" applyAlignment="1" applyProtection="1">
      <alignment horizontal="center" vertical="center" wrapText="1"/>
    </xf>
    <xf numFmtId="0" fontId="14" fillId="0" borderId="100" xfId="0" applyFont="1" applyFill="1" applyBorder="1" applyAlignment="1" applyProtection="1">
      <alignment horizontal="center" vertical="center" wrapText="1"/>
    </xf>
    <xf numFmtId="20" fontId="24" fillId="0" borderId="5" xfId="0" applyNumberFormat="1" applyFont="1" applyFill="1" applyBorder="1" applyAlignment="1" applyProtection="1">
      <alignment horizontal="center" vertical="center" wrapText="1"/>
    </xf>
    <xf numFmtId="14" fontId="77" fillId="0" borderId="69" xfId="8" applyNumberFormat="1" applyFont="1" applyFill="1" applyBorder="1" applyAlignment="1" applyProtection="1">
      <alignment horizontal="left" vertical="center"/>
    </xf>
    <xf numFmtId="0" fontId="17" fillId="0" borderId="4" xfId="0" applyFont="1" applyFill="1" applyBorder="1" applyAlignment="1" applyProtection="1">
      <alignment horizontal="center" vertical="center"/>
    </xf>
    <xf numFmtId="0" fontId="55" fillId="0" borderId="5" xfId="0" applyFont="1" applyFill="1" applyBorder="1" applyAlignment="1">
      <alignment horizontal="center" vertical="center" wrapText="1"/>
    </xf>
    <xf numFmtId="0" fontId="55" fillId="0" borderId="9" xfId="0" applyFont="1" applyFill="1" applyBorder="1" applyAlignment="1">
      <alignment horizontal="center" vertical="center" wrapText="1"/>
    </xf>
    <xf numFmtId="0" fontId="17" fillId="0" borderId="11" xfId="0" applyFont="1" applyFill="1" applyBorder="1" applyAlignment="1" applyProtection="1">
      <alignment horizontal="center" vertical="center" wrapText="1"/>
    </xf>
    <xf numFmtId="0" fontId="11" fillId="0" borderId="11" xfId="0" applyFont="1" applyFill="1" applyBorder="1" applyAlignment="1" applyProtection="1">
      <alignment horizontal="center" vertical="center"/>
    </xf>
    <xf numFmtId="0" fontId="11" fillId="0" borderId="4"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7" xfId="0"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38" fillId="0" borderId="11"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14" fillId="0" borderId="11" xfId="0" applyFont="1" applyFill="1" applyBorder="1" applyAlignment="1" applyProtection="1">
      <alignment horizontal="center" vertical="center" wrapText="1"/>
    </xf>
    <xf numFmtId="0" fontId="24" fillId="0" borderId="9" xfId="8"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52" fillId="0" borderId="4" xfId="0" applyFont="1" applyFill="1" applyBorder="1" applyAlignment="1">
      <alignment horizontal="center" vertical="center"/>
    </xf>
    <xf numFmtId="0" fontId="24" fillId="0" borderId="13" xfId="8" applyFont="1" applyFill="1" applyBorder="1" applyAlignment="1" applyProtection="1">
      <alignment horizontal="center" vertical="center" wrapText="1"/>
    </xf>
    <xf numFmtId="0" fontId="24" fillId="0" borderId="8" xfId="8" applyFont="1" applyFill="1" applyBorder="1" applyAlignment="1" applyProtection="1">
      <alignment horizontal="center" vertical="center" wrapText="1"/>
    </xf>
    <xf numFmtId="0" fontId="24" fillId="0" borderId="4" xfId="8" applyFont="1" applyFill="1" applyBorder="1" applyAlignment="1" applyProtection="1">
      <alignment horizontal="center" vertical="center" wrapText="1"/>
    </xf>
    <xf numFmtId="0" fontId="24" fillId="6" borderId="1" xfId="8" applyFont="1" applyFill="1" applyBorder="1" applyAlignment="1" applyProtection="1">
      <alignment horizontal="center" vertical="center" wrapText="1"/>
    </xf>
    <xf numFmtId="0" fontId="24" fillId="6" borderId="5" xfId="8" applyFont="1" applyFill="1" applyBorder="1" applyAlignment="1" applyProtection="1">
      <alignment horizontal="center" vertical="center" wrapText="1"/>
    </xf>
    <xf numFmtId="0" fontId="24" fillId="6" borderId="9" xfId="8" applyFont="1" applyFill="1" applyBorder="1" applyAlignment="1" applyProtection="1">
      <alignment horizontal="center" vertical="center" wrapText="1"/>
    </xf>
    <xf numFmtId="0" fontId="24" fillId="0" borderId="9" xfId="8" applyFont="1" applyFill="1" applyBorder="1" applyAlignment="1" applyProtection="1">
      <alignment horizontal="center" vertical="center" wrapText="1"/>
    </xf>
    <xf numFmtId="0" fontId="151" fillId="0" borderId="1" xfId="0" applyFont="1" applyFill="1" applyBorder="1" applyAlignment="1" applyProtection="1">
      <alignment horizontal="center" vertical="center" wrapText="1"/>
    </xf>
    <xf numFmtId="0" fontId="24" fillId="0" borderId="11" xfId="8" applyFont="1" applyFill="1" applyBorder="1" applyAlignment="1" applyProtection="1">
      <alignment horizontal="center" vertical="center"/>
    </xf>
    <xf numFmtId="0" fontId="24" fillId="0" borderId="4" xfId="8"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52" fillId="0" borderId="7" xfId="0" applyFont="1" applyFill="1" applyBorder="1" applyAlignment="1">
      <alignment horizontal="center" vertical="center"/>
    </xf>
    <xf numFmtId="0" fontId="52" fillId="0" borderId="11" xfId="0" applyFont="1" applyFill="1" applyBorder="1" applyAlignment="1">
      <alignment horizontal="center" vertical="center" wrapText="1"/>
    </xf>
    <xf numFmtId="181" fontId="40" fillId="0" borderId="0" xfId="8" applyNumberFormat="1" applyFont="1" applyFill="1" applyBorder="1" applyAlignment="1" applyProtection="1">
      <alignment horizontal="left" vertical="center" wrapText="1"/>
    </xf>
    <xf numFmtId="0" fontId="40" fillId="0" borderId="0" xfId="8" applyFont="1" applyFill="1" applyBorder="1" applyAlignment="1" applyProtection="1">
      <alignment horizontal="left"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20" fontId="10" fillId="0" borderId="1" xfId="0" applyNumberFormat="1" applyFont="1" applyBorder="1" applyAlignment="1" applyProtection="1">
      <alignment horizontal="center" vertical="center"/>
    </xf>
    <xf numFmtId="14" fontId="116" fillId="0" borderId="69" xfId="8" applyNumberFormat="1" applyFont="1" applyFill="1" applyBorder="1" applyAlignment="1" applyProtection="1">
      <alignment horizontal="left" vertical="center"/>
      <protection locked="0"/>
    </xf>
    <xf numFmtId="0" fontId="10" fillId="0" borderId="5" xfId="0" applyFont="1" applyBorder="1" applyAlignment="1" applyProtection="1">
      <alignment horizontal="center" vertical="center"/>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12" xfId="0" applyFont="1" applyFill="1" applyBorder="1" applyAlignment="1" applyProtection="1">
      <alignment horizontal="center" vertical="top" wrapText="1"/>
    </xf>
    <xf numFmtId="0" fontId="14" fillId="0" borderId="70" xfId="0" applyFont="1" applyFill="1" applyBorder="1" applyAlignment="1" applyProtection="1">
      <alignment horizontal="center" vertical="top" wrapText="1"/>
    </xf>
    <xf numFmtId="0" fontId="17" fillId="5" borderId="13" xfId="8" applyFont="1" applyFill="1" applyBorder="1" applyAlignment="1" applyProtection="1">
      <alignment horizontal="center" vertical="center" wrapText="1"/>
    </xf>
    <xf numFmtId="0" fontId="17" fillId="5" borderId="12" xfId="8" applyFont="1" applyFill="1" applyBorder="1" applyAlignment="1" applyProtection="1">
      <alignment horizontal="center" vertical="center" wrapText="1"/>
    </xf>
    <xf numFmtId="0" fontId="17" fillId="5" borderId="11" xfId="8" applyFont="1" applyFill="1" applyBorder="1" applyAlignment="1" applyProtection="1">
      <alignment horizontal="center" vertical="center" wrapText="1"/>
    </xf>
    <xf numFmtId="0" fontId="17" fillId="5" borderId="16" xfId="8" applyFont="1" applyFill="1" applyBorder="1" applyAlignment="1" applyProtection="1">
      <alignment horizontal="center" vertical="center" wrapText="1"/>
    </xf>
    <xf numFmtId="0" fontId="14" fillId="5" borderId="5" xfId="0" applyFont="1" applyFill="1" applyBorder="1" applyAlignment="1" applyProtection="1">
      <alignment horizontal="center" vertical="center" wrapText="1"/>
    </xf>
    <xf numFmtId="0" fontId="14" fillId="5" borderId="9" xfId="0" applyFont="1" applyFill="1" applyBorder="1" applyAlignment="1" applyProtection="1">
      <alignment horizontal="center" vertical="center" wrapText="1"/>
    </xf>
    <xf numFmtId="0" fontId="14" fillId="5" borderId="6" xfId="0" applyFont="1" applyFill="1" applyBorder="1" applyAlignment="1" applyProtection="1">
      <alignment horizontal="center" vertical="center" wrapText="1"/>
    </xf>
    <xf numFmtId="10" fontId="38" fillId="38" borderId="1" xfId="0" applyNumberFormat="1" applyFont="1" applyFill="1" applyBorder="1" applyAlignment="1" applyProtection="1">
      <alignment horizontal="center" vertical="center"/>
      <protection locked="0"/>
    </xf>
    <xf numFmtId="0" fontId="55" fillId="38" borderId="5" xfId="0" applyFont="1" applyFill="1" applyBorder="1" applyAlignment="1" applyProtection="1">
      <alignment horizontal="left" vertical="center" wrapText="1"/>
      <protection locked="0"/>
    </xf>
    <xf numFmtId="0" fontId="55" fillId="38" borderId="6" xfId="0" applyFont="1" applyFill="1" applyBorder="1" applyAlignment="1" applyProtection="1">
      <alignment horizontal="left" vertical="center" wrapText="1"/>
      <protection locked="0"/>
    </xf>
    <xf numFmtId="0" fontId="104" fillId="38" borderId="5" xfId="0" applyFont="1" applyFill="1" applyBorder="1" applyAlignment="1" applyProtection="1">
      <alignment horizontal="left" vertical="center" wrapText="1"/>
      <protection locked="0"/>
    </xf>
    <xf numFmtId="0" fontId="104" fillId="38" borderId="6" xfId="0" applyFont="1" applyFill="1" applyBorder="1" applyAlignment="1" applyProtection="1">
      <alignment horizontal="left" vertical="center" wrapText="1"/>
      <protection locked="0"/>
    </xf>
    <xf numFmtId="0" fontId="105" fillId="38" borderId="5" xfId="0" applyFont="1" applyFill="1" applyBorder="1" applyAlignment="1" applyProtection="1">
      <alignment horizontal="left" vertical="center" wrapText="1"/>
      <protection locked="0"/>
    </xf>
    <xf numFmtId="0" fontId="105" fillId="38" borderId="6" xfId="0" applyFont="1" applyFill="1" applyBorder="1" applyAlignment="1" applyProtection="1">
      <alignment horizontal="left" vertical="center" wrapText="1"/>
      <protection locked="0"/>
    </xf>
    <xf numFmtId="0" fontId="24" fillId="0" borderId="5" xfId="0" applyFont="1" applyFill="1" applyBorder="1" applyAlignment="1">
      <alignment horizontal="center" vertical="center"/>
    </xf>
    <xf numFmtId="0" fontId="24" fillId="0" borderId="6" xfId="0" applyFont="1" applyFill="1" applyBorder="1" applyAlignment="1">
      <alignment horizontal="center" vertical="center"/>
    </xf>
    <xf numFmtId="0" fontId="24" fillId="0" borderId="4" xfId="0" applyFont="1" applyFill="1" applyBorder="1" applyAlignment="1">
      <alignment horizontal="center" vertical="center"/>
    </xf>
    <xf numFmtId="0" fontId="24" fillId="0" borderId="15" xfId="0" applyFont="1" applyFill="1" applyBorder="1" applyAlignment="1">
      <alignment horizontal="center" vertical="center"/>
    </xf>
    <xf numFmtId="0" fontId="24" fillId="0" borderId="13" xfId="0" applyFont="1" applyFill="1" applyBorder="1" applyAlignment="1">
      <alignment horizontal="center" vertical="center"/>
    </xf>
    <xf numFmtId="0" fontId="24" fillId="0" borderId="12" xfId="0" applyFont="1" applyFill="1" applyBorder="1" applyAlignment="1">
      <alignment horizontal="center" vertical="center"/>
    </xf>
    <xf numFmtId="0" fontId="24" fillId="5" borderId="3" xfId="0" applyFont="1" applyFill="1" applyBorder="1" applyAlignment="1" applyProtection="1">
      <alignment horizontal="center" vertical="center" wrapText="1"/>
      <protection locked="0"/>
    </xf>
    <xf numFmtId="0" fontId="24" fillId="5" borderId="10" xfId="0" applyFont="1" applyFill="1"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38" fillId="14" borderId="1" xfId="85" applyFont="1" applyFill="1" applyBorder="1" applyAlignment="1">
      <alignment horizontal="right" vertical="center" wrapText="1"/>
    </xf>
    <xf numFmtId="0" fontId="24" fillId="0" borderId="0" xfId="0" applyFont="1" applyFill="1" applyBorder="1" applyAlignment="1">
      <alignment horizontal="center" vertical="center"/>
    </xf>
    <xf numFmtId="0" fontId="38" fillId="0" borderId="108" xfId="0" applyFont="1" applyFill="1" applyBorder="1" applyAlignment="1" applyProtection="1">
      <alignment horizontal="center" vertical="center" wrapText="1"/>
      <protection locked="0"/>
    </xf>
    <xf numFmtId="0" fontId="38" fillId="0" borderId="106" xfId="0" applyFont="1" applyFill="1" applyBorder="1" applyAlignment="1" applyProtection="1">
      <alignment horizontal="center" vertical="center" wrapText="1"/>
      <protection locked="0"/>
    </xf>
    <xf numFmtId="0" fontId="38" fillId="0" borderId="108"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0" fontId="38" fillId="0" borderId="1" xfId="0" quotePrefix="1"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13" xfId="0" applyFont="1" applyFill="1" applyBorder="1" applyAlignment="1">
      <alignment horizontal="center" vertical="center"/>
    </xf>
    <xf numFmtId="0" fontId="38" fillId="0" borderId="12" xfId="0" applyFont="1" applyFill="1" applyBorder="1" applyAlignment="1">
      <alignment horizontal="center" vertical="center"/>
    </xf>
    <xf numFmtId="0" fontId="38" fillId="0" borderId="4" xfId="0" applyFont="1" applyFill="1" applyBorder="1" applyAlignment="1">
      <alignment horizontal="center" vertical="center"/>
    </xf>
    <xf numFmtId="0" fontId="38" fillId="0" borderId="15" xfId="0" applyFont="1" applyFill="1" applyBorder="1" applyAlignment="1">
      <alignment horizontal="center" vertical="center"/>
    </xf>
    <xf numFmtId="0" fontId="38" fillId="0" borderId="13"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wrapText="1"/>
    </xf>
    <xf numFmtId="0" fontId="38" fillId="0" borderId="16"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3" xfId="0" applyNumberFormat="1" applyFont="1" applyFill="1" applyBorder="1" applyAlignment="1" applyProtection="1">
      <alignment horizontal="center" vertical="center" wrapText="1"/>
    </xf>
    <xf numFmtId="0" fontId="38" fillId="0" borderId="10" xfId="0" applyNumberFormat="1" applyFont="1" applyFill="1" applyBorder="1" applyAlignment="1" applyProtection="1">
      <alignment horizontal="center" vertical="center" wrapText="1"/>
    </xf>
    <xf numFmtId="20" fontId="38" fillId="4" borderId="1" xfId="0" quotePrefix="1" applyNumberFormat="1" applyFont="1" applyFill="1" applyBorder="1" applyAlignment="1" applyProtection="1">
      <alignment horizontal="center" vertical="center"/>
    </xf>
    <xf numFmtId="0" fontId="50" fillId="0" borderId="7" xfId="0" quotePrefix="1" applyFont="1" applyFill="1" applyBorder="1" applyAlignment="1" applyProtection="1">
      <alignment horizontal="center" vertical="center"/>
    </xf>
    <xf numFmtId="20" fontId="50" fillId="0" borderId="101" xfId="0" quotePrefix="1" applyNumberFormat="1" applyFont="1" applyFill="1" applyBorder="1" applyAlignment="1" applyProtection="1">
      <alignment horizontal="center" vertical="center"/>
    </xf>
    <xf numFmtId="20" fontId="50" fillId="0" borderId="100" xfId="0" quotePrefix="1" applyNumberFormat="1" applyFont="1" applyFill="1" applyBorder="1" applyAlignment="1" applyProtection="1">
      <alignment horizontal="center" vertical="center"/>
    </xf>
    <xf numFmtId="20" fontId="50" fillId="0" borderId="46" xfId="0" quotePrefix="1" applyNumberFormat="1" applyFont="1" applyFill="1" applyBorder="1" applyAlignment="1" applyProtection="1">
      <alignment horizontal="center" vertical="center"/>
    </xf>
    <xf numFmtId="0" fontId="38" fillId="0" borderId="13" xfId="0" applyFont="1" applyFill="1" applyBorder="1" applyAlignment="1">
      <alignment horizontal="center" vertical="center" wrapText="1"/>
    </xf>
    <xf numFmtId="0" fontId="38" fillId="0" borderId="12"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15" xfId="0" applyFont="1" applyFill="1" applyBorder="1" applyAlignment="1">
      <alignment horizontal="center" vertical="center" wrapText="1"/>
    </xf>
    <xf numFmtId="0" fontId="38" fillId="0" borderId="1" xfId="0" applyFont="1" applyFill="1" applyBorder="1" applyAlignment="1">
      <alignment horizontal="center" vertical="center"/>
    </xf>
    <xf numFmtId="20" fontId="38" fillId="0" borderId="1" xfId="0" quotePrefix="1" applyNumberFormat="1" applyFont="1" applyFill="1" applyBorder="1" applyAlignment="1" applyProtection="1">
      <alignment horizontal="center" vertical="center"/>
    </xf>
    <xf numFmtId="0" fontId="38" fillId="0" borderId="2" xfId="0" applyFont="1" applyFill="1" applyBorder="1" applyAlignment="1">
      <alignment horizontal="center" vertical="center" wrapText="1"/>
    </xf>
    <xf numFmtId="0" fontId="38" fillId="5" borderId="3"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8" fillId="5" borderId="2" xfId="0" applyFont="1" applyFill="1" applyBorder="1" applyAlignment="1">
      <alignment horizontal="center" vertical="center" wrapText="1"/>
    </xf>
    <xf numFmtId="0" fontId="38" fillId="0" borderId="11" xfId="0" applyFont="1" applyFill="1" applyBorder="1" applyAlignment="1">
      <alignment horizontal="center" vertical="center" wrapText="1"/>
    </xf>
    <xf numFmtId="0" fontId="38" fillId="0" borderId="16" xfId="0" applyFont="1" applyFill="1" applyBorder="1" applyAlignment="1">
      <alignment horizontal="center" vertical="center" wrapText="1"/>
    </xf>
    <xf numFmtId="0" fontId="38" fillId="0" borderId="87" xfId="0" applyFont="1" applyFill="1" applyBorder="1" applyAlignment="1">
      <alignment horizontal="center" vertical="center" wrapText="1"/>
    </xf>
    <xf numFmtId="0" fontId="38" fillId="0" borderId="70" xfId="0" applyFont="1" applyFill="1" applyBorder="1" applyAlignment="1">
      <alignment horizontal="center" vertical="center" wrapText="1"/>
    </xf>
    <xf numFmtId="41" fontId="50" fillId="0" borderId="5"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6" xfId="0" applyNumberFormat="1" applyFont="1" applyFill="1" applyBorder="1" applyAlignment="1" applyProtection="1">
      <alignment horizontal="center" vertical="center" wrapText="1"/>
      <protection locked="0"/>
    </xf>
    <xf numFmtId="0" fontId="14" fillId="0" borderId="5" xfId="0" applyFont="1" applyFill="1" applyBorder="1" applyAlignment="1" applyProtection="1">
      <alignment horizontal="left" vertical="center" wrapText="1"/>
    </xf>
    <xf numFmtId="0" fontId="14" fillId="0" borderId="9" xfId="0" applyFont="1" applyFill="1" applyBorder="1" applyAlignment="1" applyProtection="1">
      <alignment horizontal="left" vertical="center" wrapText="1"/>
    </xf>
    <xf numFmtId="0" fontId="14" fillId="0" borderId="6" xfId="0" applyFont="1" applyFill="1" applyBorder="1" applyAlignment="1" applyProtection="1">
      <alignment horizontal="left" vertical="center" wrapText="1"/>
    </xf>
    <xf numFmtId="0" fontId="32" fillId="0" borderId="5" xfId="0" applyFont="1" applyFill="1" applyBorder="1" applyAlignment="1" applyProtection="1">
      <alignment horizontal="center" vertical="center" wrapText="1"/>
    </xf>
    <xf numFmtId="0" fontId="32" fillId="0" borderId="9" xfId="0" applyFont="1" applyFill="1" applyBorder="1" applyAlignment="1" applyProtection="1">
      <alignment horizontal="center" vertical="center" wrapText="1"/>
    </xf>
    <xf numFmtId="0" fontId="32" fillId="0" borderId="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protection locked="0"/>
    </xf>
    <xf numFmtId="0" fontId="24" fillId="0" borderId="12" xfId="0" applyFont="1" applyFill="1" applyBorder="1" applyAlignment="1" applyProtection="1">
      <alignment horizontal="center" vertical="center"/>
      <protection locked="0"/>
    </xf>
    <xf numFmtId="0" fontId="25" fillId="0" borderId="1" xfId="0" applyFont="1" applyFill="1" applyBorder="1" applyAlignment="1" applyProtection="1">
      <alignment horizontal="center"/>
    </xf>
    <xf numFmtId="0" fontId="32" fillId="0" borderId="13" xfId="0" applyFont="1" applyFill="1" applyBorder="1" applyAlignment="1" applyProtection="1">
      <alignment horizontal="center" vertical="center" wrapText="1"/>
    </xf>
    <xf numFmtId="0" fontId="32" fillId="0" borderId="8" xfId="0" applyFont="1" applyFill="1" applyBorder="1" applyAlignment="1" applyProtection="1">
      <alignment horizontal="center" vertical="center" wrapText="1"/>
    </xf>
    <xf numFmtId="0" fontId="32" fillId="0" borderId="12" xfId="0" applyFont="1" applyFill="1" applyBorder="1" applyAlignment="1" applyProtection="1">
      <alignment horizontal="center" vertical="center" wrapText="1"/>
    </xf>
    <xf numFmtId="0" fontId="32" fillId="0" borderId="11" xfId="0" applyFont="1" applyFill="1" applyBorder="1" applyAlignment="1" applyProtection="1">
      <alignment horizontal="center" vertical="center" wrapText="1"/>
    </xf>
    <xf numFmtId="0" fontId="32" fillId="0" borderId="0" xfId="0" applyFont="1" applyFill="1" applyBorder="1" applyAlignment="1" applyProtection="1">
      <alignment horizontal="center" vertical="center" wrapText="1"/>
    </xf>
    <xf numFmtId="0" fontId="32" fillId="0" borderId="16" xfId="0" applyFont="1" applyFill="1" applyBorder="1" applyAlignment="1" applyProtection="1">
      <alignment horizontal="center" vertical="center" wrapText="1"/>
    </xf>
    <xf numFmtId="0" fontId="32" fillId="0" borderId="4" xfId="0" applyFont="1" applyFill="1" applyBorder="1" applyAlignment="1" applyProtection="1">
      <alignment horizontal="center" vertical="center" wrapText="1"/>
    </xf>
    <xf numFmtId="0" fontId="32" fillId="0" borderId="7" xfId="0" applyFont="1" applyFill="1" applyBorder="1" applyAlignment="1" applyProtection="1">
      <alignment horizontal="center" vertical="center" wrapText="1"/>
    </xf>
    <xf numFmtId="0" fontId="32" fillId="0" borderId="15"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24" fillId="0" borderId="5"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xf>
    <xf numFmtId="0" fontId="24" fillId="0" borderId="12" xfId="8" applyFont="1" applyFill="1" applyBorder="1" applyAlignment="1" applyProtection="1">
      <alignment horizontal="center" vertical="center" wrapText="1"/>
    </xf>
    <xf numFmtId="0" fontId="24" fillId="0" borderId="10" xfId="8" applyFont="1" applyFill="1" applyBorder="1" applyAlignment="1" applyProtection="1">
      <alignment horizontal="center" vertical="center" wrapText="1"/>
    </xf>
    <xf numFmtId="20" fontId="24" fillId="0" borderId="2" xfId="0" applyNumberFormat="1" applyFont="1" applyFill="1" applyBorder="1" applyAlignment="1" applyProtection="1">
      <alignment horizontal="center" vertical="center" wrapText="1"/>
    </xf>
    <xf numFmtId="0" fontId="24" fillId="0" borderId="2" xfId="0" applyFont="1" applyFill="1" applyBorder="1" applyAlignment="1" applyProtection="1">
      <alignment horizontal="center" vertical="center" wrapText="1"/>
    </xf>
    <xf numFmtId="0" fontId="14" fillId="0" borderId="5"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14" fillId="0" borderId="6" xfId="0" applyFont="1" applyFill="1" applyBorder="1" applyAlignment="1">
      <alignment horizontal="center" vertical="center" wrapText="1"/>
    </xf>
    <xf numFmtId="20" fontId="10" fillId="0" borderId="5" xfId="0" applyNumberFormat="1" applyFont="1" applyFill="1" applyBorder="1" applyAlignment="1">
      <alignment horizontal="center" vertical="center" wrapText="1"/>
    </xf>
    <xf numFmtId="20" fontId="14" fillId="0" borderId="5" xfId="0" applyNumberFormat="1" applyFont="1" applyFill="1" applyBorder="1" applyAlignment="1">
      <alignment horizontal="center" vertical="center" wrapText="1"/>
    </xf>
    <xf numFmtId="0" fontId="11" fillId="0" borderId="5" xfId="0" applyFont="1" applyFill="1" applyBorder="1" applyAlignment="1" applyProtection="1">
      <alignment horizontal="center" vertical="center"/>
    </xf>
    <xf numFmtId="0" fontId="11" fillId="0" borderId="9" xfId="0" applyFont="1" applyFill="1" applyBorder="1" applyAlignment="1" applyProtection="1">
      <alignment horizontal="center" vertical="center"/>
    </xf>
    <xf numFmtId="0" fontId="11" fillId="0" borderId="6" xfId="0" applyFont="1" applyFill="1" applyBorder="1" applyAlignment="1" applyProtection="1">
      <alignment horizontal="center" vertical="center"/>
    </xf>
    <xf numFmtId="0" fontId="24" fillId="0" borderId="1" xfId="0" applyFont="1" applyFill="1" applyBorder="1" applyAlignment="1" applyProtection="1">
      <alignment horizontal="center"/>
    </xf>
    <xf numFmtId="0" fontId="14" fillId="0" borderId="16" xfId="0" applyFont="1" applyFill="1" applyBorder="1" applyAlignment="1" applyProtection="1">
      <alignment horizontal="center" vertical="center" wrapText="1"/>
    </xf>
    <xf numFmtId="0" fontId="40" fillId="0" borderId="0" xfId="8" applyFont="1" applyFill="1" applyBorder="1" applyAlignment="1" applyProtection="1">
      <alignment horizontal="center" vertical="center" wrapText="1"/>
    </xf>
    <xf numFmtId="0" fontId="40" fillId="0" borderId="16" xfId="8" applyFont="1" applyFill="1" applyBorder="1" applyAlignment="1" applyProtection="1">
      <alignment horizontal="center" vertical="center" wrapText="1"/>
    </xf>
    <xf numFmtId="0" fontId="111" fillId="0" borderId="0" xfId="0" applyFont="1" applyFill="1" applyAlignment="1" applyProtection="1">
      <alignment horizontal="center" vertical="center" wrapText="1"/>
    </xf>
    <xf numFmtId="20" fontId="25" fillId="0" borderId="2" xfId="0" applyNumberFormat="1" applyFont="1" applyFill="1" applyBorder="1" applyAlignment="1" applyProtection="1">
      <alignment horizontal="center" vertical="center" wrapText="1"/>
    </xf>
    <xf numFmtId="0" fontId="25" fillId="0" borderId="2" xfId="0" applyFont="1" applyFill="1" applyBorder="1" applyAlignment="1" applyProtection="1">
      <alignment horizontal="center" vertical="center" wrapText="1"/>
    </xf>
    <xf numFmtId="0" fontId="59" fillId="0" borderId="5" xfId="0" applyFont="1" applyFill="1" applyBorder="1" applyAlignment="1" applyProtection="1">
      <alignment horizontal="center" vertical="center" wrapText="1"/>
      <protection locked="0"/>
    </xf>
    <xf numFmtId="0" fontId="59" fillId="0" borderId="9" xfId="0" applyFont="1" applyFill="1" applyBorder="1" applyAlignment="1" applyProtection="1">
      <alignment horizontal="center" vertical="center" wrapText="1"/>
      <protection locked="0"/>
    </xf>
    <xf numFmtId="0" fontId="63" fillId="0" borderId="5" xfId="0" applyFont="1" applyFill="1" applyBorder="1" applyAlignment="1" applyProtection="1">
      <alignment horizontal="center" vertical="center" wrapText="1"/>
    </xf>
    <xf numFmtId="0" fontId="63" fillId="0" borderId="9" xfId="0" applyFont="1" applyFill="1" applyBorder="1" applyAlignment="1" applyProtection="1">
      <alignment horizontal="center" vertical="center" wrapText="1"/>
    </xf>
    <xf numFmtId="0" fontId="63" fillId="0" borderId="6" xfId="0" applyFont="1" applyFill="1" applyBorder="1" applyAlignment="1" applyProtection="1">
      <alignment horizontal="center" vertical="center" wrapText="1"/>
    </xf>
    <xf numFmtId="0" fontId="30" fillId="0" borderId="13" xfId="8" applyFont="1" applyFill="1" applyBorder="1" applyAlignment="1" applyProtection="1">
      <alignment horizontal="center" vertical="center" wrapText="1"/>
    </xf>
    <xf numFmtId="0" fontId="30" fillId="0" borderId="12" xfId="8" applyFont="1" applyFill="1" applyBorder="1" applyAlignment="1" applyProtection="1">
      <alignment horizontal="center" vertical="center" wrapText="1"/>
    </xf>
    <xf numFmtId="0" fontId="63" fillId="0" borderId="3" xfId="0" applyFont="1" applyFill="1" applyBorder="1" applyAlignment="1">
      <alignment horizontal="center" vertical="center" wrapText="1"/>
    </xf>
    <xf numFmtId="0" fontId="63" fillId="0" borderId="2" xfId="0" applyFont="1" applyFill="1" applyBorder="1" applyAlignment="1">
      <alignment horizontal="center" vertical="center" wrapText="1"/>
    </xf>
    <xf numFmtId="0" fontId="30" fillId="0" borderId="1" xfId="0" applyFont="1" applyFill="1" applyBorder="1" applyAlignment="1" applyProtection="1">
      <alignment horizontal="center" vertical="center"/>
    </xf>
    <xf numFmtId="0" fontId="63" fillId="0" borderId="1" xfId="0" applyFont="1" applyFill="1" applyBorder="1" applyAlignment="1" applyProtection="1">
      <alignment horizontal="center" vertical="center" wrapText="1"/>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63" fillId="0" borderId="1" xfId="0" applyFont="1" applyFill="1" applyBorder="1" applyAlignment="1">
      <alignment horizontal="center" vertical="center"/>
    </xf>
    <xf numFmtId="0" fontId="121" fillId="0" borderId="10" xfId="0" applyFont="1" applyFill="1" applyBorder="1" applyAlignment="1" applyProtection="1">
      <alignment horizontal="center" vertical="center"/>
    </xf>
    <xf numFmtId="0" fontId="121" fillId="0" borderId="2" xfId="0"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xf>
    <xf numFmtId="0" fontId="63" fillId="0" borderId="1" xfId="0" applyFont="1" applyFill="1" applyBorder="1" applyAlignment="1" applyProtection="1">
      <alignment horizontal="center" vertical="center"/>
    </xf>
    <xf numFmtId="0" fontId="63" fillId="0" borderId="2"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xf>
    <xf numFmtId="0" fontId="63" fillId="0" borderId="5" xfId="0" applyFont="1" applyFill="1" applyBorder="1" applyAlignment="1" applyProtection="1">
      <alignment horizontal="center" vertical="center"/>
    </xf>
    <xf numFmtId="0" fontId="63" fillId="0" borderId="9" xfId="0" applyFont="1" applyFill="1" applyBorder="1" applyAlignment="1" applyProtection="1">
      <alignment horizontal="center" vertical="center"/>
    </xf>
    <xf numFmtId="0" fontId="63" fillId="0" borderId="6" xfId="0" applyFont="1" applyFill="1" applyBorder="1" applyAlignment="1" applyProtection="1">
      <alignment horizontal="center" vertical="center"/>
    </xf>
    <xf numFmtId="0" fontId="30" fillId="0" borderId="2" xfId="8" applyFont="1" applyFill="1" applyBorder="1" applyAlignment="1" applyProtection="1">
      <alignment horizontal="center" vertical="center" wrapText="1"/>
    </xf>
    <xf numFmtId="0" fontId="30" fillId="0" borderId="1" xfId="8" applyFont="1" applyFill="1" applyBorder="1" applyAlignment="1" applyProtection="1">
      <alignment horizontal="center" vertical="center" wrapText="1"/>
    </xf>
    <xf numFmtId="20" fontId="63" fillId="0" borderId="1" xfId="0" applyNumberFormat="1" applyFont="1" applyFill="1" applyBorder="1" applyAlignment="1" applyProtection="1">
      <alignment horizontal="center" vertical="center"/>
    </xf>
    <xf numFmtId="20" fontId="63" fillId="0" borderId="5" xfId="0" applyNumberFormat="1" applyFont="1" applyFill="1" applyBorder="1" applyAlignment="1" applyProtection="1">
      <alignment horizontal="center" vertical="center"/>
    </xf>
    <xf numFmtId="20" fontId="63" fillId="0" borderId="9" xfId="0" applyNumberFormat="1" applyFont="1" applyFill="1" applyBorder="1" applyAlignment="1" applyProtection="1">
      <alignment horizontal="center" vertical="center"/>
    </xf>
    <xf numFmtId="20" fontId="63" fillId="0" borderId="6" xfId="0" applyNumberFormat="1" applyFont="1" applyFill="1" applyBorder="1" applyAlignment="1" applyProtection="1">
      <alignment horizontal="center" vertical="center"/>
    </xf>
    <xf numFmtId="0" fontId="63" fillId="0" borderId="4" xfId="0" applyFont="1" applyFill="1" applyBorder="1" applyAlignment="1" applyProtection="1">
      <alignment horizontal="center" vertical="center"/>
    </xf>
    <xf numFmtId="0" fontId="63" fillId="0" borderId="7" xfId="0" applyFont="1" applyFill="1" applyBorder="1" applyAlignment="1" applyProtection="1">
      <alignment horizontal="center" vertical="center"/>
    </xf>
    <xf numFmtId="0" fontId="63" fillId="0" borderId="15" xfId="0" applyFont="1" applyFill="1" applyBorder="1" applyAlignment="1" applyProtection="1">
      <alignment horizontal="center" vertical="center"/>
    </xf>
    <xf numFmtId="0" fontId="30" fillId="4" borderId="1" xfId="8" applyFont="1" applyFill="1" applyBorder="1" applyAlignment="1" applyProtection="1">
      <alignment horizontal="center" vertical="center" wrapText="1" shrinkToFit="1"/>
    </xf>
    <xf numFmtId="0" fontId="30" fillId="0" borderId="7" xfId="8" applyFont="1" applyFill="1" applyBorder="1" applyAlignment="1" applyProtection="1">
      <alignment horizontal="center" vertical="center"/>
    </xf>
    <xf numFmtId="0" fontId="63" fillId="0" borderId="0" xfId="0" applyFont="1" applyFill="1" applyBorder="1" applyAlignment="1" applyProtection="1">
      <alignment horizontal="center" vertical="center" wrapText="1"/>
    </xf>
    <xf numFmtId="0" fontId="18" fillId="0" borderId="0" xfId="0" applyFont="1" applyFill="1" applyBorder="1" applyAlignment="1" applyProtection="1">
      <alignment horizontal="center" vertical="center" wrapText="1"/>
    </xf>
    <xf numFmtId="0" fontId="30" fillId="0" borderId="0" xfId="8" applyFont="1" applyFill="1" applyBorder="1" applyAlignment="1" applyProtection="1">
      <alignment horizontal="center" vertical="center" wrapText="1"/>
    </xf>
    <xf numFmtId="0" fontId="121" fillId="0" borderId="3" xfId="0" applyFont="1" applyFill="1" applyBorder="1" applyAlignment="1" applyProtection="1">
      <alignment horizontal="center" vertical="center"/>
    </xf>
    <xf numFmtId="0" fontId="117" fillId="0" borderId="0" xfId="0" applyFont="1" applyFill="1" applyAlignment="1" applyProtection="1">
      <alignment horizontal="center" vertical="center" wrapText="1"/>
    </xf>
    <xf numFmtId="0" fontId="63" fillId="0" borderId="5" xfId="8" applyFont="1" applyFill="1" applyBorder="1" applyAlignment="1" applyProtection="1">
      <alignment horizontal="center" vertical="center" wrapText="1"/>
    </xf>
    <xf numFmtId="0" fontId="63" fillId="0" borderId="6" xfId="8" applyFont="1" applyFill="1" applyBorder="1" applyAlignment="1" applyProtection="1">
      <alignment horizontal="center" vertical="center" wrapText="1"/>
    </xf>
    <xf numFmtId="0" fontId="30" fillId="0" borderId="5" xfId="8" applyFont="1" applyFill="1" applyBorder="1" applyAlignment="1" applyProtection="1">
      <alignment horizontal="center" vertical="center" wrapText="1"/>
    </xf>
    <xf numFmtId="0" fontId="30" fillId="0" borderId="6" xfId="8"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xf>
    <xf numFmtId="0" fontId="63" fillId="0" borderId="6" xfId="8" applyFont="1" applyFill="1" applyBorder="1" applyAlignment="1" applyProtection="1">
      <alignment horizontal="center" vertical="center"/>
    </xf>
    <xf numFmtId="0" fontId="30" fillId="0" borderId="5" xfId="8" applyFont="1" applyFill="1" applyBorder="1" applyAlignment="1" applyProtection="1">
      <alignment horizontal="center" vertical="center"/>
    </xf>
    <xf numFmtId="0" fontId="30" fillId="0" borderId="6" xfId="8" applyFont="1" applyFill="1" applyBorder="1" applyAlignment="1" applyProtection="1">
      <alignment horizontal="center" vertical="center"/>
    </xf>
    <xf numFmtId="0" fontId="59" fillId="0" borderId="1" xfId="0" applyFont="1" applyFill="1" applyBorder="1" applyAlignment="1" applyProtection="1">
      <alignment horizontal="center" vertical="center" wrapText="1"/>
      <protection locked="0"/>
    </xf>
    <xf numFmtId="0" fontId="14" fillId="0" borderId="3"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1" xfId="0" applyFont="1" applyFill="1" applyBorder="1" applyAlignment="1">
      <alignment horizontal="center" vertical="center"/>
    </xf>
    <xf numFmtId="0" fontId="130"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wrapText="1"/>
    </xf>
    <xf numFmtId="0" fontId="17" fillId="0" borderId="15" xfId="0" applyFont="1" applyFill="1" applyBorder="1" applyAlignment="1" applyProtection="1">
      <alignment horizontal="center" vertical="center"/>
    </xf>
    <xf numFmtId="174" fontId="121" fillId="0" borderId="7" xfId="0" applyNumberFormat="1" applyFont="1" applyFill="1" applyBorder="1" applyAlignment="1" applyProtection="1">
      <alignment horizontal="center" vertical="center" wrapText="1"/>
    </xf>
    <xf numFmtId="0" fontId="128" fillId="0" borderId="3" xfId="0" applyFont="1" applyFill="1" applyBorder="1" applyAlignment="1" applyProtection="1">
      <alignment horizontal="center" vertical="center"/>
    </xf>
    <xf numFmtId="0" fontId="128" fillId="0" borderId="10" xfId="0" applyFont="1" applyFill="1" applyBorder="1" applyAlignment="1" applyProtection="1">
      <alignment horizontal="center" vertical="center"/>
    </xf>
    <xf numFmtId="0" fontId="128" fillId="0" borderId="2" xfId="0" applyFont="1" applyFill="1" applyBorder="1" applyAlignment="1" applyProtection="1">
      <alignment horizontal="center" vertical="center"/>
    </xf>
    <xf numFmtId="0" fontId="17" fillId="0" borderId="1" xfId="0" applyFont="1" applyFill="1" applyBorder="1" applyAlignment="1" applyProtection="1">
      <alignment horizontal="center" vertical="center"/>
    </xf>
    <xf numFmtId="0"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xf>
    <xf numFmtId="0" fontId="10" fillId="0" borderId="5"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167" fontId="10" fillId="0" borderId="5" xfId="0" applyNumberFormat="1" applyFont="1" applyFill="1" applyBorder="1" applyAlignment="1">
      <alignment horizontal="center" vertical="center"/>
    </xf>
    <xf numFmtId="167" fontId="10" fillId="0" borderId="6" xfId="0" applyNumberFormat="1" applyFont="1" applyFill="1" applyBorder="1" applyAlignment="1">
      <alignment horizontal="center" vertical="center"/>
    </xf>
    <xf numFmtId="9" fontId="10" fillId="0" borderId="5" xfId="0" applyNumberFormat="1" applyFont="1" applyFill="1" applyBorder="1" applyAlignment="1">
      <alignment horizontal="center" vertical="center"/>
    </xf>
    <xf numFmtId="9" fontId="10" fillId="0" borderId="6" xfId="0" applyNumberFormat="1" applyFont="1" applyFill="1" applyBorder="1" applyAlignment="1">
      <alignment horizontal="center" vertical="center"/>
    </xf>
    <xf numFmtId="167" fontId="10" fillId="0" borderId="13" xfId="0" applyNumberFormat="1" applyFont="1" applyFill="1" applyBorder="1" applyAlignment="1">
      <alignment horizontal="center" vertical="center"/>
    </xf>
    <xf numFmtId="167" fontId="10" fillId="0" borderId="12" xfId="0" applyNumberFormat="1" applyFont="1" applyFill="1" applyBorder="1" applyAlignment="1">
      <alignment horizontal="center" vertical="center"/>
    </xf>
    <xf numFmtId="167" fontId="10" fillId="0" borderId="4" xfId="0" applyNumberFormat="1" applyFont="1" applyFill="1" applyBorder="1" applyAlignment="1">
      <alignment horizontal="center" vertical="center"/>
    </xf>
    <xf numFmtId="167" fontId="10" fillId="0" borderId="15" xfId="0" applyNumberFormat="1" applyFont="1" applyFill="1" applyBorder="1" applyAlignment="1">
      <alignment horizontal="center" vertical="center"/>
    </xf>
    <xf numFmtId="0" fontId="10"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3"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center" vertical="center"/>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24" fillId="0" borderId="5" xfId="8" applyFont="1" applyFill="1" applyBorder="1" applyAlignment="1">
      <alignment horizontal="center" vertical="center" wrapText="1"/>
    </xf>
    <xf numFmtId="0" fontId="135" fillId="0" borderId="6" xfId="0" applyFont="1" applyFill="1" applyBorder="1">
      <alignment vertical="center"/>
    </xf>
    <xf numFmtId="0" fontId="10" fillId="0" borderId="5" xfId="8" applyFont="1" applyFill="1" applyBorder="1" applyAlignment="1">
      <alignment horizontal="center" vertical="center"/>
    </xf>
    <xf numFmtId="0" fontId="10" fillId="0" borderId="5" xfId="0" applyFont="1" applyFill="1" applyBorder="1" applyAlignment="1">
      <alignment horizontal="center" vertical="center"/>
    </xf>
    <xf numFmtId="0" fontId="10" fillId="0" borderId="9" xfId="0" applyFont="1" applyFill="1" applyBorder="1" applyAlignment="1">
      <alignment horizontal="center" vertical="center"/>
    </xf>
    <xf numFmtId="0" fontId="10" fillId="0" borderId="6" xfId="0" applyFont="1" applyFill="1" applyBorder="1" applyAlignment="1">
      <alignment horizontal="center" vertical="center"/>
    </xf>
    <xf numFmtId="0" fontId="24" fillId="0" borderId="13" xfId="8" applyFont="1" applyFill="1" applyBorder="1" applyAlignment="1">
      <alignment horizontal="center" vertical="center" wrapText="1"/>
    </xf>
    <xf numFmtId="0" fontId="24" fillId="0" borderId="12" xfId="8" applyFont="1" applyFill="1" applyBorder="1" applyAlignment="1">
      <alignment horizontal="center" vertical="center" wrapText="1"/>
    </xf>
    <xf numFmtId="0" fontId="24" fillId="0" borderId="11" xfId="8" applyFont="1" applyFill="1" applyBorder="1" applyAlignment="1">
      <alignment horizontal="center" vertical="center" wrapText="1"/>
    </xf>
    <xf numFmtId="0" fontId="24" fillId="0" borderId="16" xfId="8" applyFont="1" applyFill="1" applyBorder="1" applyAlignment="1">
      <alignment horizontal="center" vertical="center" wrapText="1"/>
    </xf>
    <xf numFmtId="0" fontId="24" fillId="0" borderId="4" xfId="8" applyFont="1" applyFill="1" applyBorder="1" applyAlignment="1">
      <alignment horizontal="center" vertical="center" wrapText="1"/>
    </xf>
    <xf numFmtId="0" fontId="24" fillId="0" borderId="15" xfId="8" applyFont="1" applyFill="1" applyBorder="1" applyAlignment="1">
      <alignment horizontal="center" vertical="center" wrapText="1"/>
    </xf>
    <xf numFmtId="0" fontId="10" fillId="0" borderId="5" xfId="0" applyFont="1" applyFill="1" applyBorder="1" applyAlignment="1" applyProtection="1">
      <alignment horizontal="center" vertical="center"/>
      <protection locked="0"/>
    </xf>
    <xf numFmtId="0" fontId="10" fillId="0" borderId="6" xfId="0" applyFont="1" applyFill="1" applyBorder="1" applyAlignment="1" applyProtection="1">
      <alignment horizontal="center" vertical="center"/>
      <protection locked="0"/>
    </xf>
    <xf numFmtId="0" fontId="63" fillId="0" borderId="0" xfId="0" applyFont="1" applyFill="1" applyAlignment="1">
      <alignment horizontal="center" vertical="center" wrapText="1"/>
    </xf>
    <xf numFmtId="0" fontId="65" fillId="0" borderId="0" xfId="0" applyFont="1" applyFill="1" applyBorder="1" applyAlignment="1">
      <alignment horizontal="center" vertical="center" wrapText="1"/>
    </xf>
    <xf numFmtId="0" fontId="65" fillId="0" borderId="16" xfId="0" applyFont="1" applyFill="1" applyBorder="1" applyAlignment="1">
      <alignment horizontal="center" vertical="center" wrapText="1"/>
    </xf>
    <xf numFmtId="41" fontId="38" fillId="0" borderId="5" xfId="0" applyNumberFormat="1" applyFont="1" applyFill="1" applyBorder="1" applyAlignment="1" applyProtection="1">
      <alignment horizontal="center" vertical="center" wrapText="1"/>
    </xf>
    <xf numFmtId="41" fontId="38" fillId="0" borderId="9" xfId="0" applyNumberFormat="1"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xf>
    <xf numFmtId="0" fontId="50" fillId="0" borderId="9" xfId="0" applyFont="1" applyFill="1" applyBorder="1" applyAlignment="1">
      <alignment horizontal="center" vertical="center" wrapText="1"/>
    </xf>
    <xf numFmtId="0" fontId="50" fillId="0" borderId="6" xfId="0" applyFont="1" applyFill="1" applyBorder="1" applyAlignment="1">
      <alignment horizontal="center" vertical="center" wrapText="1"/>
    </xf>
    <xf numFmtId="0" fontId="55" fillId="0" borderId="5" xfId="0" applyFont="1" applyFill="1" applyBorder="1" applyAlignment="1" applyProtection="1">
      <alignment horizontal="left" vertical="center" wrapText="1"/>
    </xf>
    <xf numFmtId="0" fontId="55" fillId="0" borderId="9" xfId="0" applyFont="1" applyFill="1" applyBorder="1" applyAlignment="1" applyProtection="1">
      <alignment horizontal="left" vertical="center" wrapText="1"/>
    </xf>
    <xf numFmtId="0" fontId="55" fillId="0" borderId="6" xfId="0" applyFont="1" applyFill="1" applyBorder="1" applyAlignment="1" applyProtection="1">
      <alignment horizontal="left" vertical="center" wrapText="1"/>
    </xf>
    <xf numFmtId="0" fontId="143" fillId="0" borderId="5" xfId="0" applyFont="1" applyFill="1" applyBorder="1" applyAlignment="1" applyProtection="1">
      <alignment horizontal="center" vertical="center" wrapText="1"/>
    </xf>
    <xf numFmtId="0" fontId="143" fillId="0" borderId="9" xfId="0" applyFont="1" applyFill="1" applyBorder="1" applyAlignment="1" applyProtection="1">
      <alignment horizontal="center" vertical="center" wrapText="1"/>
    </xf>
    <xf numFmtId="0" fontId="143" fillId="0" borderId="6" xfId="0" applyFont="1" applyFill="1" applyBorder="1" applyAlignment="1" applyProtection="1">
      <alignment horizontal="center" vertical="center" wrapText="1"/>
    </xf>
    <xf numFmtId="0" fontId="55" fillId="0" borderId="91" xfId="0" applyFont="1" applyFill="1" applyBorder="1" applyAlignment="1" applyProtection="1">
      <alignment horizontal="left" vertical="center" wrapText="1"/>
    </xf>
    <xf numFmtId="0" fontId="55" fillId="0" borderId="92" xfId="0" applyFont="1" applyFill="1" applyBorder="1" applyAlignment="1" applyProtection="1">
      <alignment horizontal="left" vertical="center" wrapText="1"/>
    </xf>
    <xf numFmtId="0" fontId="55" fillId="0" borderId="93" xfId="0" applyFont="1" applyFill="1" applyBorder="1" applyAlignment="1" applyProtection="1">
      <alignment horizontal="left" vertical="center" wrapText="1"/>
    </xf>
    <xf numFmtId="0" fontId="52" fillId="0" borderId="3" xfId="8" applyFont="1" applyFill="1" applyBorder="1" applyAlignment="1" applyProtection="1">
      <alignment horizontal="center" vertical="center" wrapText="1"/>
    </xf>
    <xf numFmtId="0" fontId="52" fillId="0" borderId="10" xfId="8" applyFont="1" applyFill="1" applyBorder="1" applyAlignment="1" applyProtection="1">
      <alignment horizontal="center" vertical="center" wrapText="1"/>
    </xf>
    <xf numFmtId="0" fontId="52" fillId="0" borderId="2" xfId="8" applyFont="1" applyFill="1" applyBorder="1" applyAlignment="1" applyProtection="1">
      <alignment horizontal="center" vertical="center" wrapText="1"/>
    </xf>
    <xf numFmtId="20" fontId="75" fillId="0" borderId="1" xfId="0" applyNumberFormat="1"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wrapText="1"/>
    </xf>
    <xf numFmtId="0" fontId="75" fillId="0" borderId="5" xfId="0" applyFont="1" applyFill="1" applyBorder="1" applyAlignment="1" applyProtection="1">
      <alignment horizontal="center" vertical="center" wrapText="1"/>
    </xf>
    <xf numFmtId="0" fontId="75" fillId="0" borderId="9" xfId="0" applyFont="1" applyFill="1" applyBorder="1" applyAlignment="1" applyProtection="1">
      <alignment horizontal="center" vertical="center" wrapText="1"/>
    </xf>
    <xf numFmtId="0" fontId="75" fillId="0" borderId="6" xfId="0" applyFont="1" applyFill="1" applyBorder="1" applyAlignment="1" applyProtection="1">
      <alignment horizontal="center" vertical="center" wrapText="1"/>
    </xf>
    <xf numFmtId="0" fontId="55" fillId="0" borderId="13" xfId="0" applyFont="1" applyFill="1" applyBorder="1" applyAlignment="1" applyProtection="1">
      <alignment horizontal="left" vertical="center" wrapText="1"/>
    </xf>
    <xf numFmtId="0" fontId="55" fillId="0" borderId="8" xfId="0" applyFont="1" applyFill="1" applyBorder="1" applyAlignment="1" applyProtection="1">
      <alignment horizontal="left" vertical="center" wrapText="1"/>
    </xf>
    <xf numFmtId="0" fontId="55" fillId="0" borderId="12" xfId="0" applyFont="1" applyFill="1" applyBorder="1" applyAlignment="1" applyProtection="1">
      <alignment horizontal="left" vertical="center" wrapText="1"/>
    </xf>
    <xf numFmtId="0" fontId="139" fillId="0" borderId="0" xfId="0" applyFont="1" applyFill="1" applyAlignment="1" applyProtection="1">
      <alignment horizontal="center" vertical="center" wrapText="1"/>
    </xf>
    <xf numFmtId="0" fontId="141" fillId="0" borderId="0" xfId="8" applyFont="1" applyFill="1" applyBorder="1" applyAlignment="1" applyProtection="1">
      <alignment horizontal="center" vertical="center" wrapText="1"/>
    </xf>
    <xf numFmtId="0" fontId="141" fillId="0" borderId="16" xfId="8"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xf>
    <xf numFmtId="0" fontId="143" fillId="0" borderId="13" xfId="0" applyFont="1" applyFill="1" applyBorder="1" applyAlignment="1" applyProtection="1">
      <alignment horizontal="center" vertical="center" wrapText="1"/>
    </xf>
    <xf numFmtId="0" fontId="143" fillId="0" borderId="8" xfId="0" applyFont="1" applyFill="1" applyBorder="1" applyAlignment="1" applyProtection="1">
      <alignment horizontal="center" vertical="center" wrapText="1"/>
    </xf>
    <xf numFmtId="0" fontId="143" fillId="0" borderId="12" xfId="0" applyFont="1" applyFill="1" applyBorder="1" applyAlignment="1" applyProtection="1">
      <alignment horizontal="center" vertical="center" wrapText="1"/>
    </xf>
    <xf numFmtId="0" fontId="143" fillId="0" borderId="11" xfId="0" applyFont="1" applyFill="1" applyBorder="1" applyAlignment="1" applyProtection="1">
      <alignment horizontal="center" vertical="center" wrapText="1"/>
    </xf>
    <xf numFmtId="0" fontId="143" fillId="0" borderId="0" xfId="0" applyFont="1" applyFill="1" applyBorder="1" applyAlignment="1" applyProtection="1">
      <alignment horizontal="center" vertical="center" wrapText="1"/>
    </xf>
    <xf numFmtId="0" fontId="143" fillId="0" borderId="16" xfId="0" applyFont="1" applyFill="1" applyBorder="1" applyAlignment="1" applyProtection="1">
      <alignment horizontal="center" vertical="center" wrapText="1"/>
    </xf>
    <xf numFmtId="0" fontId="143" fillId="0" borderId="4" xfId="0" applyFont="1" applyFill="1" applyBorder="1" applyAlignment="1" applyProtection="1">
      <alignment horizontal="center" vertical="center" wrapText="1"/>
    </xf>
    <xf numFmtId="0" fontId="143" fillId="0" borderId="7" xfId="0" applyFont="1" applyFill="1" applyBorder="1" applyAlignment="1" applyProtection="1">
      <alignment horizontal="center" vertical="center" wrapText="1"/>
    </xf>
    <xf numFmtId="0" fontId="143" fillId="0" borderId="15" xfId="0" applyFont="1" applyFill="1" applyBorder="1" applyAlignment="1" applyProtection="1">
      <alignment horizontal="center" vertical="center" wrapText="1"/>
    </xf>
    <xf numFmtId="0" fontId="75" fillId="0" borderId="1" xfId="0" applyNumberFormat="1" applyFont="1" applyFill="1" applyBorder="1" applyAlignment="1" applyProtection="1">
      <alignment horizontal="center" vertical="center" wrapText="1"/>
    </xf>
    <xf numFmtId="0" fontId="75" fillId="0" borderId="1" xfId="0" applyNumberFormat="1" applyFont="1" applyFill="1" applyBorder="1" applyAlignment="1" applyProtection="1">
      <alignment horizontal="center" vertical="center"/>
    </xf>
    <xf numFmtId="0" fontId="133" fillId="0" borderId="5" xfId="8" applyFont="1" applyFill="1" applyBorder="1" applyAlignment="1" applyProtection="1">
      <alignment horizontal="center" vertical="center"/>
    </xf>
    <xf numFmtId="0" fontId="133" fillId="0" borderId="6" xfId="8" applyFont="1" applyFill="1" applyBorder="1" applyAlignment="1" applyProtection="1">
      <alignment horizontal="center" vertical="center"/>
    </xf>
    <xf numFmtId="20" fontId="75" fillId="0" borderId="5" xfId="0" applyNumberFormat="1" applyFont="1" applyFill="1" applyBorder="1" applyAlignment="1" applyProtection="1">
      <alignment horizontal="center" vertical="center" wrapText="1"/>
    </xf>
    <xf numFmtId="20" fontId="75" fillId="0" borderId="9" xfId="0" applyNumberFormat="1" applyFont="1" applyFill="1" applyBorder="1" applyAlignment="1" applyProtection="1">
      <alignment horizontal="center" vertical="center" wrapText="1"/>
    </xf>
    <xf numFmtId="20" fontId="75" fillId="0" borderId="6" xfId="0" applyNumberFormat="1" applyFont="1" applyFill="1" applyBorder="1" applyAlignment="1" applyProtection="1">
      <alignment horizontal="center" vertical="center" wrapText="1"/>
    </xf>
    <xf numFmtId="168" fontId="17" fillId="0" borderId="0" xfId="0" applyNumberFormat="1" applyFont="1" applyFill="1" applyBorder="1" applyAlignment="1" applyProtection="1">
      <alignment horizontal="center" vertical="center"/>
    </xf>
    <xf numFmtId="0" fontId="14" fillId="0" borderId="13"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15"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7" fillId="0" borderId="12" xfId="0"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wrapText="1"/>
    </xf>
    <xf numFmtId="0" fontId="17" fillId="0" borderId="15" xfId="0" applyFont="1" applyFill="1" applyBorder="1" applyAlignment="1" applyProtection="1">
      <alignment horizontal="center" vertical="center" wrapText="1"/>
    </xf>
    <xf numFmtId="0" fontId="18" fillId="0" borderId="16" xfId="0" applyFont="1" applyFill="1" applyBorder="1" applyAlignment="1" applyProtection="1">
      <alignment horizontal="center" vertical="center" wrapText="1"/>
    </xf>
    <xf numFmtId="179" fontId="116" fillId="0" borderId="69" xfId="0" applyNumberFormat="1" applyFont="1" applyFill="1" applyBorder="1" applyAlignment="1" applyProtection="1">
      <alignment horizontal="center" vertical="center"/>
      <protection locked="0"/>
    </xf>
    <xf numFmtId="0" fontId="191" fillId="0" borderId="5" xfId="0" applyFont="1" applyFill="1" applyBorder="1" applyAlignment="1" applyProtection="1">
      <alignment horizontal="center" vertical="center" wrapText="1"/>
      <protection locked="0"/>
    </xf>
    <xf numFmtId="0" fontId="191" fillId="0" borderId="9" xfId="0" applyFont="1" applyFill="1" applyBorder="1" applyAlignment="1" applyProtection="1">
      <alignment horizontal="center" vertical="center" wrapText="1"/>
      <protection locked="0"/>
    </xf>
    <xf numFmtId="0" fontId="17" fillId="0" borderId="5" xfId="0" applyFont="1" applyFill="1" applyBorder="1" applyAlignment="1">
      <alignment horizontal="center" vertical="center" wrapText="1"/>
    </xf>
    <xf numFmtId="0" fontId="17" fillId="0" borderId="6" xfId="0" applyFont="1" applyFill="1" applyBorder="1" applyAlignment="1">
      <alignment horizontal="center" vertical="center" wrapText="1"/>
    </xf>
    <xf numFmtId="41" fontId="50" fillId="0" borderId="1" xfId="0" applyNumberFormat="1" applyFont="1" applyFill="1" applyBorder="1" applyAlignment="1" applyProtection="1">
      <alignment horizontal="center" vertical="center" wrapText="1"/>
      <protection locked="0"/>
    </xf>
    <xf numFmtId="0" fontId="50" fillId="0" borderId="5" xfId="0" applyFont="1" applyFill="1" applyBorder="1" applyAlignment="1">
      <alignment horizontal="center" vertical="center"/>
    </xf>
    <xf numFmtId="0" fontId="50" fillId="0" borderId="6" xfId="0" applyFont="1" applyFill="1" applyBorder="1" applyAlignment="1">
      <alignment horizontal="center" vertical="center"/>
    </xf>
    <xf numFmtId="0" fontId="50" fillId="0" borderId="13" xfId="0" applyFont="1" applyFill="1" applyBorder="1" applyAlignment="1" applyProtection="1">
      <alignment horizontal="center" vertical="center" wrapText="1"/>
    </xf>
    <xf numFmtId="0" fontId="50" fillId="0" borderId="12" xfId="0" applyFont="1" applyFill="1" applyBorder="1" applyAlignment="1" applyProtection="1">
      <alignment horizontal="center" vertical="center" wrapText="1"/>
    </xf>
    <xf numFmtId="0" fontId="50" fillId="0" borderId="11" xfId="0" applyFont="1" applyFill="1" applyBorder="1" applyAlignment="1" applyProtection="1">
      <alignment horizontal="center" vertical="center" wrapText="1"/>
    </xf>
    <xf numFmtId="0" fontId="50" fillId="0" borderId="16" xfId="0" applyFont="1" applyFill="1" applyBorder="1" applyAlignment="1" applyProtection="1">
      <alignment horizontal="center" vertical="center" wrapText="1"/>
    </xf>
    <xf numFmtId="0" fontId="50" fillId="0" borderId="10" xfId="0" applyFont="1" applyFill="1" applyBorder="1" applyAlignment="1" applyProtection="1">
      <alignment horizontal="center" vertical="center" wrapText="1"/>
    </xf>
    <xf numFmtId="0" fontId="50" fillId="0" borderId="3" xfId="0" applyNumberFormat="1" applyFont="1" applyFill="1" applyBorder="1" applyAlignment="1" applyProtection="1">
      <alignment horizontal="center" vertical="center" wrapText="1"/>
    </xf>
    <xf numFmtId="0" fontId="50" fillId="0" borderId="10" xfId="0" applyNumberFormat="1" applyFont="1" applyFill="1" applyBorder="1" applyAlignment="1" applyProtection="1">
      <alignment horizontal="center" vertical="center" wrapText="1"/>
    </xf>
    <xf numFmtId="20" fontId="50" fillId="0" borderId="1" xfId="0" quotePrefix="1" applyNumberFormat="1" applyFont="1" applyFill="1" applyBorder="1" applyAlignment="1" applyProtection="1">
      <alignment horizontal="center" vertical="center"/>
    </xf>
    <xf numFmtId="0" fontId="50" fillId="0" borderId="1" xfId="0" quotePrefix="1"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50" fillId="0" borderId="112" xfId="0" applyFont="1" applyFill="1" applyBorder="1" applyAlignment="1" applyProtection="1">
      <alignment horizontal="center" vertical="center"/>
    </xf>
    <xf numFmtId="0" fontId="50" fillId="0" borderId="155" xfId="0" applyFont="1" applyFill="1" applyBorder="1" applyAlignment="1" applyProtection="1">
      <alignment horizontal="center" vertical="center"/>
    </xf>
    <xf numFmtId="0" fontId="50" fillId="0" borderId="99" xfId="0" applyFont="1" applyFill="1" applyBorder="1" applyAlignment="1" applyProtection="1">
      <alignment horizontal="center" vertical="center"/>
    </xf>
    <xf numFmtId="0" fontId="50" fillId="5" borderId="3" xfId="0" applyFont="1" applyFill="1" applyBorder="1" applyAlignment="1">
      <alignment horizontal="center" vertical="center" wrapText="1"/>
    </xf>
    <xf numFmtId="0" fontId="50" fillId="5" borderId="10" xfId="0" applyFont="1" applyFill="1" applyBorder="1" applyAlignment="1">
      <alignment horizontal="center" vertical="center" wrapText="1"/>
    </xf>
    <xf numFmtId="0" fontId="50" fillId="5" borderId="2" xfId="0" applyFont="1" applyFill="1" applyBorder="1" applyAlignment="1">
      <alignment horizontal="center" vertical="center" wrapText="1"/>
    </xf>
    <xf numFmtId="0" fontId="50" fillId="0" borderId="8" xfId="0" applyFont="1" applyFill="1" applyBorder="1" applyAlignment="1" applyProtection="1">
      <alignment horizontal="center" vertical="center"/>
    </xf>
    <xf numFmtId="0" fontId="50" fillId="0" borderId="12" xfId="0" applyFont="1" applyFill="1" applyBorder="1" applyAlignment="1" applyProtection="1">
      <alignment horizontal="center" vertical="center"/>
    </xf>
    <xf numFmtId="41" fontId="50" fillId="0" borderId="101" xfId="0" applyNumberFormat="1" applyFont="1" applyFill="1" applyBorder="1" applyAlignment="1" applyProtection="1">
      <alignment horizontal="center" vertical="center" wrapText="1"/>
      <protection locked="0"/>
    </xf>
    <xf numFmtId="41" fontId="50" fillId="0" borderId="100" xfId="0" applyNumberFormat="1" applyFont="1" applyFill="1" applyBorder="1" applyAlignment="1" applyProtection="1">
      <alignment horizontal="center" vertical="center" wrapText="1"/>
      <protection locked="0"/>
    </xf>
    <xf numFmtId="41" fontId="50" fillId="0" borderId="106" xfId="0" applyNumberFormat="1" applyFont="1" applyFill="1" applyBorder="1" applyAlignment="1" applyProtection="1">
      <alignment horizontal="center" vertical="center" wrapText="1"/>
      <protection locked="0"/>
    </xf>
    <xf numFmtId="41" fontId="50" fillId="0" borderId="46" xfId="0" applyNumberFormat="1" applyFont="1" applyFill="1" applyBorder="1" applyAlignment="1" applyProtection="1">
      <alignment horizontal="center" vertical="center" wrapText="1"/>
      <protection locked="0"/>
    </xf>
    <xf numFmtId="0" fontId="50" fillId="0" borderId="101" xfId="0" applyFont="1" applyFill="1" applyBorder="1" applyAlignment="1" applyProtection="1">
      <alignment horizontal="center" vertical="center" wrapText="1"/>
    </xf>
    <xf numFmtId="0" fontId="50" fillId="0" borderId="100" xfId="0" applyFont="1" applyFill="1" applyBorder="1" applyAlignment="1" applyProtection="1">
      <alignment horizontal="center" vertical="center" wrapText="1"/>
    </xf>
    <xf numFmtId="41" fontId="50" fillId="0" borderId="1" xfId="0" applyNumberFormat="1" applyFont="1" applyFill="1" applyBorder="1" applyAlignment="1" applyProtection="1">
      <alignment horizontal="center" vertical="center" wrapText="1"/>
    </xf>
    <xf numFmtId="0" fontId="76" fillId="0" borderId="5" xfId="0" applyFont="1" applyFill="1" applyBorder="1" applyAlignment="1">
      <alignment horizontal="center" vertical="center" wrapText="1"/>
    </xf>
    <xf numFmtId="0" fontId="76" fillId="0" borderId="9" xfId="0" applyFont="1" applyFill="1" applyBorder="1" applyAlignment="1">
      <alignment horizontal="center" vertical="center" wrapText="1"/>
    </xf>
    <xf numFmtId="0" fontId="76" fillId="0" borderId="6" xfId="0" applyFont="1" applyFill="1" applyBorder="1" applyAlignment="1">
      <alignment horizontal="center" vertical="center" wrapText="1"/>
    </xf>
    <xf numFmtId="0" fontId="59" fillId="0" borderId="5" xfId="0" applyFont="1" applyFill="1" applyBorder="1" applyAlignment="1" applyProtection="1">
      <alignment horizontal="center" vertical="center" wrapText="1"/>
    </xf>
    <xf numFmtId="0" fontId="59" fillId="0" borderId="9" xfId="0" applyFont="1" applyFill="1" applyBorder="1" applyAlignment="1" applyProtection="1">
      <alignment horizontal="center" vertical="center"/>
    </xf>
    <xf numFmtId="0" fontId="59" fillId="0" borderId="9" xfId="0" applyFont="1" applyFill="1" applyBorder="1" applyAlignment="1" applyProtection="1">
      <alignment horizontal="center" vertical="center" wrapText="1"/>
    </xf>
    <xf numFmtId="0" fontId="59" fillId="0" borderId="6" xfId="0" quotePrefix="1" applyFont="1" applyFill="1" applyBorder="1" applyAlignment="1" applyProtection="1">
      <alignment horizontal="center" vertical="center"/>
    </xf>
    <xf numFmtId="0" fontId="76" fillId="0" borderId="13" xfId="0" applyFont="1" applyFill="1" applyBorder="1" applyAlignment="1">
      <alignment horizontal="center" vertical="center" wrapText="1"/>
    </xf>
    <xf numFmtId="0" fontId="76" fillId="0" borderId="8" xfId="0" applyFont="1" applyFill="1" applyBorder="1" applyAlignment="1">
      <alignment horizontal="center" vertical="center" wrapText="1"/>
    </xf>
    <xf numFmtId="0" fontId="76" fillId="0" borderId="12" xfId="0" applyFont="1" applyFill="1" applyBorder="1" applyAlignment="1">
      <alignment horizontal="center" vertical="center" wrapText="1"/>
    </xf>
    <xf numFmtId="0" fontId="76" fillId="0" borderId="4" xfId="0" applyFont="1" applyFill="1" applyBorder="1" applyAlignment="1">
      <alignment horizontal="center" vertical="center" wrapText="1"/>
    </xf>
    <xf numFmtId="0" fontId="76" fillId="0" borderId="7" xfId="0" applyFont="1" applyFill="1" applyBorder="1" applyAlignment="1">
      <alignment horizontal="center" vertical="center" wrapText="1"/>
    </xf>
    <xf numFmtId="0" fontId="76" fillId="0" borderId="15" xfId="0" applyFont="1" applyFill="1" applyBorder="1" applyAlignment="1">
      <alignment horizontal="center" vertical="center" wrapText="1"/>
    </xf>
    <xf numFmtId="0" fontId="50" fillId="42" borderId="13" xfId="0" applyFont="1" applyFill="1" applyBorder="1" applyAlignment="1">
      <alignment horizontal="left" vertical="center" wrapText="1"/>
    </xf>
    <xf numFmtId="0" fontId="50" fillId="42" borderId="11" xfId="0" applyFont="1" applyFill="1" applyBorder="1" applyAlignment="1">
      <alignment horizontal="left" vertical="center" wrapText="1"/>
    </xf>
    <xf numFmtId="0" fontId="154" fillId="0" borderId="1" xfId="0" applyFont="1" applyFill="1" applyBorder="1" applyAlignment="1">
      <alignment horizontal="center" vertical="center"/>
    </xf>
    <xf numFmtId="0" fontId="147" fillId="0" borderId="3" xfId="0" applyFont="1" applyFill="1" applyBorder="1" applyAlignment="1" applyProtection="1">
      <alignment horizontal="center" vertical="center"/>
    </xf>
    <xf numFmtId="0" fontId="147" fillId="0" borderId="2" xfId="0" applyFont="1" applyFill="1" applyBorder="1" applyAlignment="1" applyProtection="1">
      <alignment horizontal="center" vertical="center"/>
    </xf>
    <xf numFmtId="0" fontId="147" fillId="0" borderId="8" xfId="0" applyFont="1" applyFill="1" applyBorder="1" applyAlignment="1" applyProtection="1">
      <alignment horizontal="center" vertical="center"/>
    </xf>
    <xf numFmtId="0" fontId="147" fillId="0" borderId="12" xfId="0" applyFont="1" applyFill="1" applyBorder="1" applyAlignment="1" applyProtection="1">
      <alignment horizontal="center" vertical="center"/>
    </xf>
    <xf numFmtId="0" fontId="147" fillId="0" borderId="7" xfId="0" applyFont="1" applyFill="1" applyBorder="1" applyAlignment="1" applyProtection="1">
      <alignment horizontal="center" vertical="center"/>
    </xf>
    <xf numFmtId="0" fontId="147" fillId="0" borderId="15" xfId="0" applyFont="1" applyFill="1" applyBorder="1" applyAlignment="1" applyProtection="1">
      <alignment horizontal="center" vertical="center"/>
    </xf>
    <xf numFmtId="20" fontId="144" fillId="5" borderId="5" xfId="0" quotePrefix="1" applyNumberFormat="1" applyFont="1" applyFill="1" applyBorder="1" applyAlignment="1">
      <alignment horizontal="center" vertical="center" wrapText="1"/>
    </xf>
    <xf numFmtId="20" fontId="144" fillId="5" borderId="9" xfId="0" quotePrefix="1" applyNumberFormat="1" applyFont="1" applyFill="1" applyBorder="1" applyAlignment="1">
      <alignment horizontal="center" vertical="center" wrapText="1"/>
    </xf>
    <xf numFmtId="0" fontId="53" fillId="0" borderId="3" xfId="0" applyFont="1" applyFill="1" applyBorder="1" applyAlignment="1" applyProtection="1">
      <alignment horizontal="center" vertical="center"/>
    </xf>
    <xf numFmtId="0" fontId="53" fillId="0" borderId="10" xfId="0" applyFont="1" applyFill="1" applyBorder="1" applyAlignment="1" applyProtection="1">
      <alignment horizontal="center" vertical="center"/>
    </xf>
    <xf numFmtId="0" fontId="53" fillId="0" borderId="2" xfId="0" applyFont="1" applyFill="1" applyBorder="1" applyAlignment="1" applyProtection="1">
      <alignment horizontal="center" vertical="center"/>
    </xf>
    <xf numFmtId="0" fontId="53" fillId="0" borderId="12" xfId="0" applyFont="1" applyFill="1" applyBorder="1" applyAlignment="1" applyProtection="1">
      <alignment horizontal="center" vertical="center" wrapText="1"/>
    </xf>
    <xf numFmtId="0" fontId="53" fillId="0" borderId="11" xfId="0" applyFont="1" applyFill="1" applyBorder="1" applyAlignment="1" applyProtection="1">
      <alignment horizontal="center" vertical="center" wrapText="1"/>
    </xf>
    <xf numFmtId="0" fontId="53" fillId="0" borderId="0" xfId="0" applyFont="1" applyFill="1" applyBorder="1" applyAlignment="1" applyProtection="1">
      <alignment horizontal="center" vertical="center" wrapText="1"/>
    </xf>
    <xf numFmtId="0" fontId="53" fillId="0" borderId="16" xfId="0" applyFont="1" applyFill="1" applyBorder="1" applyAlignment="1" applyProtection="1">
      <alignment horizontal="center" vertical="center" wrapText="1"/>
    </xf>
    <xf numFmtId="0" fontId="53" fillId="0" borderId="15" xfId="0"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wrapText="1"/>
    </xf>
    <xf numFmtId="0" fontId="53" fillId="0" borderId="10" xfId="0" applyFont="1" applyFill="1" applyBorder="1" applyAlignment="1" applyProtection="1">
      <alignment horizontal="center" vertical="center" wrapText="1"/>
    </xf>
    <xf numFmtId="0" fontId="53" fillId="0" borderId="2" xfId="0" applyFont="1" applyFill="1" applyBorder="1" applyAlignment="1" applyProtection="1">
      <alignment horizontal="center" vertical="center" wrapText="1"/>
    </xf>
    <xf numFmtId="0" fontId="53" fillId="0" borderId="3" xfId="0" applyNumberFormat="1" applyFont="1" applyFill="1" applyBorder="1" applyAlignment="1" applyProtection="1">
      <alignment horizontal="center" vertical="center" wrapText="1"/>
    </xf>
    <xf numFmtId="0" fontId="53" fillId="0" borderId="10" xfId="0" applyNumberFormat="1" applyFont="1" applyFill="1" applyBorder="1" applyAlignment="1" applyProtection="1">
      <alignment horizontal="center" vertical="center" wrapText="1"/>
    </xf>
    <xf numFmtId="0" fontId="53" fillId="0" borderId="2" xfId="0" applyNumberFormat="1" applyFont="1" applyFill="1" applyBorder="1" applyAlignment="1" applyProtection="1">
      <alignment horizontal="center" vertical="center" wrapText="1"/>
    </xf>
    <xf numFmtId="0" fontId="144" fillId="0" borderId="1" xfId="0" applyFont="1" applyFill="1" applyBorder="1" applyAlignment="1" applyProtection="1">
      <alignment horizontal="center" vertical="center"/>
    </xf>
    <xf numFmtId="0" fontId="144" fillId="0" borderId="1" xfId="0" quotePrefix="1" applyFont="1" applyFill="1" applyBorder="1" applyAlignment="1" applyProtection="1">
      <alignment horizontal="center" vertical="center"/>
    </xf>
    <xf numFmtId="181" fontId="116" fillId="5" borderId="9" xfId="0" applyNumberFormat="1" applyFont="1" applyFill="1" applyBorder="1" applyAlignment="1" applyProtection="1">
      <alignment horizontal="center" vertical="center"/>
      <protection locked="0"/>
    </xf>
    <xf numFmtId="181" fontId="77" fillId="5" borderId="69" xfId="8" applyNumberFormat="1" applyFont="1" applyFill="1" applyBorder="1" applyAlignment="1" applyProtection="1">
      <alignment horizontal="left" vertical="center" wrapText="1"/>
    </xf>
    <xf numFmtId="0" fontId="77" fillId="5" borderId="69" xfId="8" applyFont="1" applyFill="1" applyBorder="1" applyAlignment="1" applyProtection="1">
      <alignment horizontal="left" vertical="center" wrapText="1"/>
    </xf>
    <xf numFmtId="177" fontId="50" fillId="0" borderId="5" xfId="0" applyNumberFormat="1" applyFont="1" applyFill="1" applyBorder="1" applyAlignment="1" applyProtection="1">
      <alignment horizontal="center" vertical="center" wrapText="1"/>
      <protection locked="0"/>
    </xf>
    <xf numFmtId="177" fontId="50" fillId="0" borderId="6" xfId="0" applyNumberFormat="1" applyFont="1" applyFill="1" applyBorder="1" applyAlignment="1" applyProtection="1">
      <alignment horizontal="center" vertical="center" wrapText="1"/>
      <protection locked="0"/>
    </xf>
    <xf numFmtId="177" fontId="50" fillId="0" borderId="9" xfId="0" applyNumberFormat="1" applyFont="1" applyFill="1" applyBorder="1" applyAlignment="1" applyProtection="1">
      <alignment horizontal="center" vertical="center" wrapText="1"/>
      <protection locked="0"/>
    </xf>
    <xf numFmtId="177" fontId="153" fillId="40" borderId="5" xfId="0" applyNumberFormat="1" applyFont="1" applyFill="1" applyBorder="1" applyAlignment="1">
      <alignment horizontal="center" vertical="center"/>
    </xf>
    <xf numFmtId="177" fontId="153" fillId="40" borderId="9" xfId="0" applyNumberFormat="1" applyFont="1" applyFill="1" applyBorder="1" applyAlignment="1">
      <alignment horizontal="center" vertical="center"/>
    </xf>
    <xf numFmtId="177" fontId="153" fillId="40" borderId="6" xfId="0" applyNumberFormat="1" applyFont="1" applyFill="1" applyBorder="1" applyAlignment="1">
      <alignment horizontal="center" vertical="center"/>
    </xf>
    <xf numFmtId="177" fontId="50" fillId="0" borderId="1" xfId="0" applyNumberFormat="1" applyFont="1" applyFill="1" applyBorder="1" applyAlignment="1" applyProtection="1">
      <alignment horizontal="center" vertical="center" wrapText="1"/>
      <protection locked="0"/>
    </xf>
    <xf numFmtId="0" fontId="154" fillId="0" borderId="6" xfId="0" applyFont="1" applyFill="1" applyBorder="1" applyAlignment="1">
      <alignment horizontal="center" vertical="center"/>
    </xf>
    <xf numFmtId="0" fontId="141" fillId="0" borderId="0" xfId="0" applyFont="1" applyFill="1" applyBorder="1" applyAlignment="1">
      <alignment horizontal="center" vertical="center" wrapText="1"/>
    </xf>
    <xf numFmtId="20" fontId="144" fillId="5" borderId="5" xfId="0" quotePrefix="1" applyNumberFormat="1" applyFont="1" applyFill="1" applyBorder="1" applyAlignment="1">
      <alignment horizontal="right" vertical="center" wrapText="1"/>
    </xf>
    <xf numFmtId="20" fontId="144" fillId="5" borderId="9" xfId="0" quotePrefix="1" applyNumberFormat="1" applyFont="1" applyFill="1" applyBorder="1" applyAlignment="1">
      <alignment horizontal="right" vertical="center" wrapText="1"/>
    </xf>
    <xf numFmtId="0" fontId="52" fillId="0" borderId="3" xfId="0" applyFont="1" applyFill="1" applyBorder="1" applyAlignment="1">
      <alignment horizontal="center" vertical="center"/>
    </xf>
    <xf numFmtId="0" fontId="52" fillId="0" borderId="2" xfId="0" applyFont="1" applyFill="1" applyBorder="1" applyAlignment="1">
      <alignment horizontal="center" vertical="center"/>
    </xf>
    <xf numFmtId="0" fontId="52" fillId="0" borderId="4" xfId="0" applyFont="1" applyFill="1" applyBorder="1" applyAlignment="1">
      <alignment horizontal="center" vertical="center" wrapText="1"/>
    </xf>
    <xf numFmtId="0" fontId="25" fillId="0" borderId="3" xfId="0" applyFont="1" applyFill="1" applyBorder="1" applyAlignment="1" applyProtection="1">
      <alignment horizontal="center" vertical="center"/>
    </xf>
    <xf numFmtId="0" fontId="25" fillId="0" borderId="2" xfId="0" applyFont="1" applyFill="1" applyBorder="1" applyAlignment="1" applyProtection="1">
      <alignment horizontal="center" vertical="center"/>
    </xf>
    <xf numFmtId="0" fontId="25" fillId="0" borderId="13" xfId="0" applyFont="1" applyFill="1" applyBorder="1" applyAlignment="1" applyProtection="1">
      <alignment horizontal="center" vertical="center" wrapText="1"/>
    </xf>
    <xf numFmtId="0" fontId="25" fillId="0" borderId="4" xfId="0" applyFont="1" applyFill="1" applyBorder="1" applyAlignment="1" applyProtection="1">
      <alignment horizontal="center" vertical="center" wrapText="1"/>
    </xf>
    <xf numFmtId="14" fontId="52" fillId="5" borderId="5" xfId="0" applyNumberFormat="1" applyFont="1" applyFill="1" applyBorder="1" applyAlignment="1">
      <alignment horizontal="left" vertical="center" wrapText="1"/>
    </xf>
    <xf numFmtId="14" fontId="52" fillId="5" borderId="6" xfId="0" applyNumberFormat="1" applyFont="1" applyFill="1" applyBorder="1" applyAlignment="1">
      <alignment horizontal="left" vertical="center" wrapText="1"/>
    </xf>
    <xf numFmtId="0" fontId="52" fillId="0" borderId="3" xfId="0" applyFont="1" applyFill="1" applyBorder="1" applyAlignment="1" applyProtection="1">
      <alignment horizontal="center" vertical="center"/>
    </xf>
    <xf numFmtId="0" fontId="52" fillId="0" borderId="10" xfId="0" applyFont="1" applyFill="1" applyBorder="1" applyAlignment="1" applyProtection="1">
      <alignment horizontal="center" vertical="center"/>
    </xf>
    <xf numFmtId="0" fontId="52" fillId="0" borderId="3" xfId="0" applyFont="1" applyFill="1" applyBorder="1" applyAlignment="1" applyProtection="1">
      <alignment horizontal="center" vertical="center" wrapText="1"/>
    </xf>
    <xf numFmtId="0" fontId="52" fillId="0" borderId="10" xfId="0" applyFont="1" applyFill="1" applyBorder="1" applyAlignment="1" applyProtection="1">
      <alignment horizontal="center" vertical="center" wrapText="1"/>
    </xf>
    <xf numFmtId="0" fontId="24" fillId="0" borderId="13"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25" fillId="6" borderId="3" xfId="0" applyFont="1" applyFill="1" applyBorder="1" applyAlignment="1" applyProtection="1">
      <alignment horizontal="center" vertical="center"/>
    </xf>
    <xf numFmtId="0" fontId="25" fillId="6" borderId="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0" fontId="24" fillId="6" borderId="5" xfId="0" applyFont="1" applyFill="1" applyBorder="1" applyAlignment="1" applyProtection="1">
      <alignment horizontal="center" vertical="center"/>
    </xf>
    <xf numFmtId="0" fontId="24" fillId="0" borderId="11" xfId="0" applyFont="1" applyFill="1" applyBorder="1" applyAlignment="1">
      <alignment horizontal="center" vertical="center" wrapText="1"/>
    </xf>
    <xf numFmtId="0" fontId="24" fillId="6" borderId="1" xfId="0" applyFont="1" applyFill="1" applyBorder="1" applyAlignment="1" applyProtection="1">
      <alignment horizontal="center" vertical="center" wrapText="1"/>
    </xf>
    <xf numFmtId="0" fontId="71" fillId="6" borderId="0" xfId="0" applyFont="1" applyFill="1" applyAlignment="1">
      <alignment horizontal="center" vertical="center"/>
    </xf>
    <xf numFmtId="178" fontId="68" fillId="12" borderId="0" xfId="6" applyNumberFormat="1" applyFont="1" applyFill="1" applyAlignment="1">
      <alignment horizontal="center"/>
    </xf>
    <xf numFmtId="178" fontId="68" fillId="5" borderId="0" xfId="6" applyNumberFormat="1" applyFont="1" applyFill="1" applyAlignment="1">
      <alignment horizontal="center"/>
    </xf>
    <xf numFmtId="178" fontId="24" fillId="5" borderId="0" xfId="6" applyNumberFormat="1" applyFont="1" applyFill="1" applyAlignment="1">
      <alignment horizontal="center"/>
    </xf>
    <xf numFmtId="178" fontId="68" fillId="13" borderId="0" xfId="6" applyNumberFormat="1" applyFont="1" applyFill="1" applyAlignment="1">
      <alignment horizontal="center"/>
    </xf>
    <xf numFmtId="178" fontId="24" fillId="13" borderId="0" xfId="6" applyNumberFormat="1" applyFont="1" applyFill="1" applyAlignment="1">
      <alignment horizontal="center"/>
    </xf>
    <xf numFmtId="0" fontId="68" fillId="12" borderId="87" xfId="6" applyFont="1" applyFill="1" applyBorder="1" applyAlignment="1">
      <alignment horizontal="left"/>
    </xf>
    <xf numFmtId="0" fontId="68" fillId="12" borderId="69" xfId="6" applyFont="1" applyFill="1" applyBorder="1" applyAlignment="1">
      <alignment horizontal="left"/>
    </xf>
    <xf numFmtId="0" fontId="68" fillId="12" borderId="1" xfId="6" applyFont="1" applyFill="1" applyBorder="1" applyAlignment="1">
      <alignment horizontal="left"/>
    </xf>
    <xf numFmtId="0" fontId="52" fillId="0" borderId="1" xfId="4" applyFont="1" applyBorder="1" applyAlignment="1">
      <alignment horizontal="center" vertical="center"/>
    </xf>
    <xf numFmtId="0" fontId="52" fillId="14" borderId="5" xfId="0" applyFont="1" applyFill="1" applyBorder="1" applyAlignment="1" applyProtection="1">
      <alignment horizontal="center" vertical="center" wrapText="1"/>
    </xf>
    <xf numFmtId="0" fontId="52" fillId="14" borderId="9" xfId="0" applyFont="1" applyFill="1" applyBorder="1" applyAlignment="1" applyProtection="1">
      <alignment horizontal="center" vertical="center" wrapText="1"/>
    </xf>
    <xf numFmtId="0" fontId="52" fillId="14" borderId="6" xfId="0" applyFont="1" applyFill="1" applyBorder="1" applyAlignment="1" applyProtection="1">
      <alignment horizontal="center" vertical="center" wrapText="1"/>
    </xf>
    <xf numFmtId="0" fontId="53" fillId="0" borderId="87" xfId="0" applyFont="1" applyBorder="1" applyAlignment="1" applyProtection="1">
      <alignment horizontal="center" vertical="center" wrapText="1"/>
    </xf>
    <xf numFmtId="0" fontId="53" fillId="0" borderId="69" xfId="0" applyFont="1" applyBorder="1" applyAlignment="1" applyProtection="1">
      <alignment horizontal="center" vertical="center" wrapText="1"/>
    </xf>
    <xf numFmtId="0" fontId="53" fillId="0" borderId="70" xfId="0" applyFont="1" applyBorder="1" applyAlignment="1" applyProtection="1">
      <alignment horizontal="center" vertical="center" wrapText="1"/>
    </xf>
    <xf numFmtId="177" fontId="50" fillId="0" borderId="70" xfId="1" applyNumberFormat="1" applyFont="1" applyFill="1" applyBorder="1" applyAlignment="1" applyProtection="1">
      <alignment horizontal="center" vertical="center"/>
    </xf>
    <xf numFmtId="177" fontId="50" fillId="0" borderId="86" xfId="1" applyNumberFormat="1" applyFont="1" applyFill="1" applyBorder="1" applyAlignment="1" applyProtection="1">
      <alignment horizontal="center" vertical="center"/>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0" fontId="53" fillId="0" borderId="13" xfId="0" applyFont="1" applyBorder="1" applyAlignment="1" applyProtection="1">
      <alignment horizontal="center" vertical="center" wrapText="1"/>
    </xf>
    <xf numFmtId="0" fontId="53" fillId="0" borderId="8" xfId="0" applyFont="1" applyBorder="1" applyAlignment="1" applyProtection="1">
      <alignment horizontal="center" vertical="center" wrapText="1"/>
    </xf>
    <xf numFmtId="0" fontId="53" fillId="0" borderId="12" xfId="0" applyFont="1" applyBorder="1" applyAlignment="1" applyProtection="1">
      <alignment horizontal="center" vertical="center" wrapText="1"/>
    </xf>
    <xf numFmtId="41" fontId="38" fillId="0" borderId="12" xfId="0" applyNumberFormat="1" applyFont="1" applyFill="1" applyBorder="1" applyAlignment="1" applyProtection="1">
      <alignment horizontal="center" vertical="center" wrapText="1"/>
      <protection locked="0"/>
    </xf>
    <xf numFmtId="41" fontId="38" fillId="0" borderId="3" xfId="0" applyNumberFormat="1" applyFont="1" applyFill="1" applyBorder="1" applyAlignment="1" applyProtection="1">
      <alignment horizontal="center" vertical="center" wrapText="1"/>
      <protection locked="0"/>
    </xf>
    <xf numFmtId="0" fontId="53" fillId="0" borderId="10" xfId="8" applyFont="1" applyFill="1" applyBorder="1" applyAlignment="1" applyProtection="1">
      <alignment horizontal="center" vertical="center" wrapText="1"/>
    </xf>
    <xf numFmtId="0" fontId="53" fillId="0" borderId="13" xfId="8" applyFont="1" applyFill="1" applyBorder="1" applyAlignment="1" applyProtection="1">
      <alignment horizontal="center" vertical="center" wrapText="1"/>
    </xf>
    <xf numFmtId="0" fontId="53" fillId="0" borderId="8" xfId="8" applyFont="1" applyFill="1" applyBorder="1" applyAlignment="1" applyProtection="1">
      <alignment horizontal="center" vertical="center" wrapText="1"/>
    </xf>
    <xf numFmtId="0" fontId="53" fillId="0" borderId="12" xfId="8" applyFont="1" applyFill="1" applyBorder="1" applyAlignment="1" applyProtection="1">
      <alignment horizontal="center" vertical="center" wrapText="1"/>
    </xf>
    <xf numFmtId="0" fontId="53" fillId="0" borderId="87" xfId="0" applyFont="1" applyFill="1" applyBorder="1" applyAlignment="1" applyProtection="1">
      <alignment horizontal="center" vertical="center" wrapText="1"/>
    </xf>
    <xf numFmtId="0" fontId="53" fillId="0" borderId="69" xfId="0" applyFont="1" applyFill="1" applyBorder="1" applyAlignment="1" applyProtection="1">
      <alignment horizontal="center" vertical="center" wrapText="1"/>
    </xf>
    <xf numFmtId="0" fontId="53" fillId="0" borderId="70" xfId="0" applyFont="1" applyFill="1" applyBorder="1" applyAlignment="1" applyProtection="1">
      <alignment horizontal="center" vertical="center" wrapText="1"/>
      <protection locked="0"/>
    </xf>
    <xf numFmtId="177" fontId="38" fillId="0" borderId="0" xfId="0" applyNumberFormat="1" applyFont="1" applyFill="1" applyBorder="1" applyAlignment="1" applyProtection="1">
      <alignment horizontal="center" vertical="center" wrapText="1"/>
      <protection locked="0"/>
    </xf>
    <xf numFmtId="0" fontId="65" fillId="0" borderId="5" xfId="0" applyFont="1" applyBorder="1" applyAlignment="1" applyProtection="1">
      <alignment horizontal="center" vertical="center" wrapText="1"/>
    </xf>
    <xf numFmtId="0" fontId="65" fillId="0" borderId="9" xfId="0" applyFont="1" applyBorder="1" applyAlignment="1" applyProtection="1">
      <alignment horizontal="center" vertical="center" wrapText="1"/>
    </xf>
    <xf numFmtId="0" fontId="65" fillId="0" borderId="6" xfId="0" applyFont="1" applyBorder="1" applyAlignment="1" applyProtection="1">
      <alignment horizontal="center" vertical="center" wrapText="1"/>
    </xf>
    <xf numFmtId="187" fontId="38" fillId="0" borderId="205" xfId="0" applyNumberFormat="1" applyFont="1" applyFill="1" applyBorder="1" applyAlignment="1" applyProtection="1">
      <alignment horizontal="center" vertical="center" wrapText="1"/>
      <protection locked="0"/>
    </xf>
    <xf numFmtId="187" fontId="38" fillId="0" borderId="207" xfId="0" applyNumberFormat="1" applyFont="1" applyFill="1" applyBorder="1" applyAlignment="1" applyProtection="1">
      <alignment horizontal="center" vertical="center" wrapText="1"/>
      <protection locked="0"/>
    </xf>
    <xf numFmtId="0" fontId="53" fillId="0" borderId="198" xfId="0" applyFont="1" applyBorder="1" applyAlignment="1" applyProtection="1">
      <alignment horizontal="center" vertical="center" wrapText="1"/>
    </xf>
    <xf numFmtId="0" fontId="53" fillId="0" borderId="199" xfId="0" applyFont="1" applyBorder="1" applyAlignment="1" applyProtection="1">
      <alignment horizontal="center" vertical="center" wrapText="1"/>
    </xf>
    <xf numFmtId="0" fontId="53" fillId="0" borderId="200" xfId="0" applyFont="1" applyBorder="1" applyAlignment="1" applyProtection="1">
      <alignment horizontal="center" vertical="center" wrapText="1"/>
    </xf>
    <xf numFmtId="187" fontId="38" fillId="0" borderId="203" xfId="0" applyNumberFormat="1" applyFont="1" applyFill="1" applyBorder="1" applyAlignment="1" applyProtection="1">
      <alignment horizontal="center" vertical="center" wrapText="1"/>
      <protection locked="0"/>
    </xf>
    <xf numFmtId="187" fontId="38" fillId="0" borderId="204" xfId="0" applyNumberFormat="1" applyFont="1" applyFill="1" applyBorder="1" applyAlignment="1" applyProtection="1">
      <alignment horizontal="center" vertical="center" wrapText="1"/>
      <protection locked="0"/>
    </xf>
    <xf numFmtId="0" fontId="53" fillId="0" borderId="170" xfId="0" applyFont="1" applyFill="1" applyBorder="1" applyAlignment="1" applyProtection="1">
      <alignment horizontal="center" vertical="center" wrapText="1"/>
    </xf>
    <xf numFmtId="0" fontId="53" fillId="0" borderId="171" xfId="0" applyFont="1" applyFill="1" applyBorder="1" applyAlignment="1" applyProtection="1">
      <alignment horizontal="center" vertical="center" wrapText="1"/>
    </xf>
    <xf numFmtId="0" fontId="53" fillId="0" borderId="184" xfId="0" applyFont="1" applyFill="1" applyBorder="1" applyAlignment="1" applyProtection="1">
      <alignment horizontal="center" vertical="center" wrapText="1"/>
    </xf>
    <xf numFmtId="0" fontId="53" fillId="0" borderId="185" xfId="0" applyFont="1" applyFill="1" applyBorder="1" applyAlignment="1" applyProtection="1">
      <alignment horizontal="center" vertical="center" wrapText="1"/>
    </xf>
    <xf numFmtId="0" fontId="53" fillId="0" borderId="172" xfId="0" applyFont="1" applyFill="1" applyBorder="1" applyAlignment="1" applyProtection="1">
      <alignment horizontal="center" vertical="center" wrapText="1"/>
      <protection locked="0"/>
    </xf>
    <xf numFmtId="0" fontId="53" fillId="0" borderId="186" xfId="0" applyFont="1" applyFill="1" applyBorder="1" applyAlignment="1" applyProtection="1">
      <alignment horizontal="center" vertical="center" wrapText="1"/>
      <protection locked="0"/>
    </xf>
    <xf numFmtId="0" fontId="52" fillId="0" borderId="0" xfId="0" applyFont="1" applyFill="1" applyBorder="1" applyAlignment="1" applyProtection="1">
      <alignment horizontal="center" vertical="center" wrapText="1"/>
    </xf>
    <xf numFmtId="0" fontId="65" fillId="0" borderId="1" xfId="0" applyFont="1" applyBorder="1" applyAlignment="1" applyProtection="1">
      <alignment horizontal="center" vertical="center" wrapText="1"/>
    </xf>
    <xf numFmtId="0" fontId="60" fillId="0" borderId="1" xfId="0" applyFont="1" applyFill="1" applyBorder="1" applyAlignment="1">
      <alignment horizontal="center" vertical="center"/>
    </xf>
    <xf numFmtId="0" fontId="99" fillId="0" borderId="3" xfId="84" applyFill="1" applyBorder="1" applyAlignment="1" applyProtection="1">
      <alignment horizontal="center" vertical="center" wrapText="1"/>
    </xf>
    <xf numFmtId="0" fontId="99" fillId="0" borderId="86" xfId="84" applyFill="1" applyBorder="1" applyAlignment="1" applyProtection="1">
      <alignment horizontal="center" vertical="center" wrapText="1"/>
    </xf>
    <xf numFmtId="0" fontId="94" fillId="0" borderId="0" xfId="0" applyFont="1" applyFill="1" applyAlignment="1">
      <alignment horizontal="center" vertical="center" wrapText="1"/>
    </xf>
    <xf numFmtId="0" fontId="205" fillId="0" borderId="1" xfId="84" applyFont="1" applyFill="1" applyBorder="1" applyAlignment="1" applyProtection="1">
      <alignment horizontal="left" vertical="center"/>
    </xf>
    <xf numFmtId="0" fontId="205" fillId="0" borderId="3" xfId="84" applyFont="1" applyFill="1" applyBorder="1" applyAlignment="1" applyProtection="1">
      <alignment horizontal="left" vertical="center"/>
    </xf>
    <xf numFmtId="0" fontId="205" fillId="0" borderId="10" xfId="84" applyFont="1" applyFill="1" applyBorder="1" applyAlignment="1" applyProtection="1">
      <alignment horizontal="left" vertical="center"/>
    </xf>
    <xf numFmtId="0" fontId="205" fillId="0" borderId="86" xfId="84" applyFont="1" applyFill="1" applyBorder="1" applyAlignment="1" applyProtection="1">
      <alignment horizontal="left" vertical="center"/>
    </xf>
    <xf numFmtId="0" fontId="99" fillId="0" borderId="1" xfId="84" applyFill="1" applyBorder="1" applyAlignment="1" applyProtection="1">
      <alignment horizontal="left" vertical="center"/>
    </xf>
    <xf numFmtId="0" fontId="99" fillId="0" borderId="3" xfId="84" applyFill="1" applyBorder="1" applyAlignment="1" applyProtection="1">
      <alignment horizontal="left" vertical="center"/>
    </xf>
    <xf numFmtId="0" fontId="99" fillId="0" borderId="10" xfId="84" applyFill="1" applyBorder="1" applyAlignment="1" applyProtection="1">
      <alignment horizontal="left" vertical="center"/>
    </xf>
    <xf numFmtId="0" fontId="99" fillId="0" borderId="86" xfId="84" applyFill="1" applyBorder="1" applyAlignment="1" applyProtection="1">
      <alignment horizontal="left" vertical="center"/>
    </xf>
    <xf numFmtId="0" fontId="171" fillId="0" borderId="7" xfId="82" applyFont="1" applyBorder="1" applyAlignment="1">
      <alignment horizontal="left" vertical="center" wrapText="1"/>
    </xf>
  </cellXfs>
  <cellStyles count="105">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3913">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s>
  <tableStyles count="0" defaultTableStyle="TableStyleMedium9" defaultPivotStyle="PivotStyleLight16"/>
  <colors>
    <mruColors>
      <color rgb="FF0000FF"/>
      <color rgb="FFCCFF33"/>
      <color rgb="FF99FF66"/>
      <color rgb="FFCCFF66"/>
      <color rgb="FF00FF00"/>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2.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1.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4.xml"/><Relationship Id="rId61"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3.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hyperlink" Target="#MENU!A1"/></Relationships>
</file>

<file path=xl/drawings/_rels/drawing1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MENU!A1"/></Relationships>
</file>

<file path=xl/drawings/_rels/drawing2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MENU!A1"/></Relationships>
</file>

<file path=xl/drawings/_rels/drawing24.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5.xml.rels><?xml version="1.0" encoding="UTF-8" standalone="yes"?>
<Relationships xmlns="http://schemas.openxmlformats.org/package/2006/relationships"><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1" Type="http://schemas.openxmlformats.org/officeDocument/2006/relationships/hyperlink" Target="#MENU!A1"/></Relationships>
</file>

<file path=xl/drawings/_rels/drawing3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1" Type="http://schemas.openxmlformats.org/officeDocument/2006/relationships/hyperlink" Target="#MENU!A1"/></Relationships>
</file>

<file path=xl/drawings/_rels/drawing4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2.xml.rels><?xml version="1.0" encoding="UTF-8" standalone="yes"?>
<Relationships xmlns="http://schemas.openxmlformats.org/package/2006/relationships"><Relationship Id="rId1" Type="http://schemas.openxmlformats.org/officeDocument/2006/relationships/hyperlink" Target="#MENU!A1"/></Relationships>
</file>

<file path=xl/drawings/_rels/drawing43.xml.rels><?xml version="1.0" encoding="UTF-8" standalone="yes"?>
<Relationships xmlns="http://schemas.openxmlformats.org/package/2006/relationships"><Relationship Id="rId1" Type="http://schemas.openxmlformats.org/officeDocument/2006/relationships/hyperlink" Target="#MENU!A1"/></Relationships>
</file>

<file path=xl/drawings/_rels/drawing4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50.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51.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52.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9</xdr:col>
      <xdr:colOff>22412</xdr:colOff>
      <xdr:row>0</xdr:row>
      <xdr:rowOff>33619</xdr:rowOff>
    </xdr:from>
    <xdr:to>
      <xdr:col>10</xdr:col>
      <xdr:colOff>629792</xdr:colOff>
      <xdr:row>0</xdr:row>
      <xdr:rowOff>356853</xdr:rowOff>
    </xdr:to>
    <xdr:sp macro="" textlink="">
      <xdr:nvSpPr>
        <xdr:cNvPr id="5" name="Left Arrow 4">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7944971" y="33619"/>
          <a:ext cx="1290939" cy="3232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609601</xdr:colOff>
      <xdr:row>8</xdr:row>
      <xdr:rowOff>104775</xdr:rowOff>
    </xdr:from>
    <xdr:to>
      <xdr:col>18</xdr:col>
      <xdr:colOff>561976</xdr:colOff>
      <xdr:row>8</xdr:row>
      <xdr:rowOff>106363</xdr:rowOff>
    </xdr:to>
    <xdr:cxnSp macro="">
      <xdr:nvCxnSpPr>
        <xdr:cNvPr id="8" name="Straight Arrow Connector 7">
          <a:extLst>
            <a:ext uri="{FF2B5EF4-FFF2-40B4-BE49-F238E27FC236}">
              <a16:creationId xmlns="" xmlns:a16="http://schemas.microsoft.com/office/drawing/2014/main"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13</xdr:row>
      <xdr:rowOff>104775</xdr:rowOff>
    </xdr:from>
    <xdr:to>
      <xdr:col>18</xdr:col>
      <xdr:colOff>561976</xdr:colOff>
      <xdr:row>13</xdr:row>
      <xdr:rowOff>106363</xdr:rowOff>
    </xdr:to>
    <xdr:cxnSp macro="">
      <xdr:nvCxnSpPr>
        <xdr:cNvPr id="14" name="Straight Arrow Connector 13">
          <a:extLst>
            <a:ext uri="{FF2B5EF4-FFF2-40B4-BE49-F238E27FC236}">
              <a16:creationId xmlns="" xmlns:a16="http://schemas.microsoft.com/office/drawing/2014/main"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17</xdr:row>
      <xdr:rowOff>104775</xdr:rowOff>
    </xdr:from>
    <xdr:to>
      <xdr:col>18</xdr:col>
      <xdr:colOff>561976</xdr:colOff>
      <xdr:row>17</xdr:row>
      <xdr:rowOff>106363</xdr:rowOff>
    </xdr:to>
    <xdr:cxnSp macro="">
      <xdr:nvCxnSpPr>
        <xdr:cNvPr id="16" name="Straight Arrow Connector 15">
          <a:extLst>
            <a:ext uri="{FF2B5EF4-FFF2-40B4-BE49-F238E27FC236}">
              <a16:creationId xmlns="" xmlns:a16="http://schemas.microsoft.com/office/drawing/2014/main"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638175</xdr:colOff>
      <xdr:row>5</xdr:row>
      <xdr:rowOff>104775</xdr:rowOff>
    </xdr:from>
    <xdr:to>
      <xdr:col>18</xdr:col>
      <xdr:colOff>638175</xdr:colOff>
      <xdr:row>5</xdr:row>
      <xdr:rowOff>106363</xdr:rowOff>
    </xdr:to>
    <xdr:cxnSp macro="">
      <xdr:nvCxnSpPr>
        <xdr:cNvPr id="24" name="Straight Arrow Connector 23">
          <a:extLst>
            <a:ext uri="{FF2B5EF4-FFF2-40B4-BE49-F238E27FC236}">
              <a16:creationId xmlns="" xmlns:a16="http://schemas.microsoft.com/office/drawing/2014/main"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619125</xdr:colOff>
      <xdr:row>12</xdr:row>
      <xdr:rowOff>85725</xdr:rowOff>
    </xdr:from>
    <xdr:to>
      <xdr:col>18</xdr:col>
      <xdr:colOff>600075</xdr:colOff>
      <xdr:row>12</xdr:row>
      <xdr:rowOff>87313</xdr:rowOff>
    </xdr:to>
    <xdr:cxnSp macro="">
      <xdr:nvCxnSpPr>
        <xdr:cNvPr id="26" name="Straight Arrow Connector 25">
          <a:extLst>
            <a:ext uri="{FF2B5EF4-FFF2-40B4-BE49-F238E27FC236}">
              <a16:creationId xmlns="" xmlns:a16="http://schemas.microsoft.com/office/drawing/2014/main"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657225</xdr:colOff>
      <xdr:row>16</xdr:row>
      <xdr:rowOff>95250</xdr:rowOff>
    </xdr:from>
    <xdr:to>
      <xdr:col>18</xdr:col>
      <xdr:colOff>600075</xdr:colOff>
      <xdr:row>16</xdr:row>
      <xdr:rowOff>96838</xdr:rowOff>
    </xdr:to>
    <xdr:cxnSp macro="">
      <xdr:nvCxnSpPr>
        <xdr:cNvPr id="28" name="Straight Arrow Connector 27">
          <a:extLst>
            <a:ext uri="{FF2B5EF4-FFF2-40B4-BE49-F238E27FC236}">
              <a16:creationId xmlns="" xmlns:a16="http://schemas.microsoft.com/office/drawing/2014/main"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247650</xdr:colOff>
      <xdr:row>18</xdr:row>
      <xdr:rowOff>19050</xdr:rowOff>
    </xdr:from>
    <xdr:to>
      <xdr:col>19</xdr:col>
      <xdr:colOff>352426</xdr:colOff>
      <xdr:row>22</xdr:row>
      <xdr:rowOff>150158</xdr:rowOff>
    </xdr:to>
    <xdr:pic>
      <xdr:nvPicPr>
        <xdr:cNvPr id="19729" name="Picture 81">
          <a:extLst>
            <a:ext uri="{FF2B5EF4-FFF2-40B4-BE49-F238E27FC236}">
              <a16:creationId xmlns="" xmlns:a16="http://schemas.microsoft.com/office/drawing/2014/main"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4</xdr:col>
      <xdr:colOff>443194</xdr:colOff>
      <xdr:row>0</xdr:row>
      <xdr:rowOff>0</xdr:rowOff>
    </xdr:from>
    <xdr:to>
      <xdr:col>6</xdr:col>
      <xdr:colOff>504264</xdr:colOff>
      <xdr:row>0</xdr:row>
      <xdr:rowOff>324971</xdr:rowOff>
    </xdr:to>
    <xdr:sp macro="" textlink="">
      <xdr:nvSpPr>
        <xdr:cNvPr id="9" name="Left Arrow 8">
          <a:hlinkClick xmlns:r="http://schemas.openxmlformats.org/officeDocument/2006/relationships" r:id="rId2"/>
          <a:extLst>
            <a:ext uri="{FF2B5EF4-FFF2-40B4-BE49-F238E27FC236}">
              <a16:creationId xmlns="" xmlns:a16="http://schemas.microsoft.com/office/drawing/2014/main" id="{00000000-0008-0000-0300-000009000000}"/>
            </a:ext>
          </a:extLst>
        </xdr:cNvPr>
        <xdr:cNvSpPr/>
      </xdr:nvSpPr>
      <xdr:spPr>
        <a:xfrm>
          <a:off x="4219576" y="0"/>
          <a:ext cx="1271306" cy="324971"/>
        </a:xfrm>
        <a:prstGeom prst="leftArrow">
          <a:avLst/>
        </a:prstGeom>
        <a:solidFill>
          <a:srgbClr val="CCFF33"/>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17320</xdr:colOff>
      <xdr:row>0</xdr:row>
      <xdr:rowOff>51955</xdr:rowOff>
    </xdr:from>
    <xdr:to>
      <xdr:col>0</xdr:col>
      <xdr:colOff>848591</xdr:colOff>
      <xdr:row>0</xdr:row>
      <xdr:rowOff>467590</xdr:rowOff>
    </xdr:to>
    <xdr:sp macro="" textlink="">
      <xdr:nvSpPr>
        <xdr:cNvPr id="11" name="Left Arrow 10">
          <a:hlinkClick xmlns:r="http://schemas.openxmlformats.org/officeDocument/2006/relationships" r:id="rId1"/>
          <a:extLst>
            <a:ext uri="{FF2B5EF4-FFF2-40B4-BE49-F238E27FC236}">
              <a16:creationId xmlns="" xmlns:a16="http://schemas.microsoft.com/office/drawing/2014/main" id="{00000000-0008-0000-0400-000002000000}"/>
            </a:ext>
          </a:extLst>
        </xdr:cNvPr>
        <xdr:cNvSpPr/>
      </xdr:nvSpPr>
      <xdr:spPr>
        <a:xfrm>
          <a:off x="17320" y="51955"/>
          <a:ext cx="831271" cy="415635"/>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81396</xdr:colOff>
      <xdr:row>0</xdr:row>
      <xdr:rowOff>274492</xdr:rowOff>
    </xdr:from>
    <xdr:to>
      <xdr:col>4</xdr:col>
      <xdr:colOff>17319</xdr:colOff>
      <xdr:row>1</xdr:row>
      <xdr:rowOff>305756</xdr:rowOff>
    </xdr:to>
    <xdr:pic>
      <xdr:nvPicPr>
        <xdr:cNvPr id="2" name="Picture 1" descr="clip_image002.jpg">
          <a:extLst>
            <a:ext uri="{FF2B5EF4-FFF2-40B4-BE49-F238E27FC236}">
              <a16:creationId xmlns="" xmlns:a16="http://schemas.microsoft.com/office/drawing/2014/main"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895351" y="274492"/>
          <a:ext cx="801832" cy="464219"/>
        </a:xfrm>
        <a:prstGeom prst="rect">
          <a:avLst/>
        </a:prstGeom>
        <a:noFill/>
        <a:ln w="9525">
          <a:noFill/>
          <a:miter lim="800000"/>
          <a:headEnd/>
          <a:tailEnd/>
        </a:ln>
      </xdr:spPr>
    </xdr:pic>
    <xdr:clientData/>
  </xdr:twoCellAnchor>
  <xdr:twoCellAnchor editAs="oneCell">
    <xdr:from>
      <xdr:col>2</xdr:col>
      <xdr:colOff>238125</xdr:colOff>
      <xdr:row>40</xdr:row>
      <xdr:rowOff>376918</xdr:rowOff>
    </xdr:from>
    <xdr:to>
      <xdr:col>4</xdr:col>
      <xdr:colOff>103909</xdr:colOff>
      <xdr:row>41</xdr:row>
      <xdr:rowOff>335884</xdr:rowOff>
    </xdr:to>
    <xdr:pic>
      <xdr:nvPicPr>
        <xdr:cNvPr id="3" name="Picture 1" descr="clip_image002.jpg">
          <a:extLst>
            <a:ext uri="{FF2B5EF4-FFF2-40B4-BE49-F238E27FC236}">
              <a16:creationId xmlns="" xmlns:a16="http://schemas.microsoft.com/office/drawing/2014/main"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1052080" y="23167645"/>
          <a:ext cx="731693" cy="478512"/>
        </a:xfrm>
        <a:prstGeom prst="rect">
          <a:avLst/>
        </a:prstGeom>
        <a:noFill/>
        <a:ln w="9525">
          <a:noFill/>
          <a:miter lim="800000"/>
          <a:headEnd/>
          <a:tailEnd/>
        </a:ln>
      </xdr:spPr>
    </xdr:pic>
    <xdr:clientData/>
  </xdr:twoCellAnchor>
  <xdr:twoCellAnchor>
    <xdr:from>
      <xdr:col>33</xdr:col>
      <xdr:colOff>217714</xdr:colOff>
      <xdr:row>0</xdr:row>
      <xdr:rowOff>312965</xdr:rowOff>
    </xdr:from>
    <xdr:to>
      <xdr:col>35</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44</xdr:row>
      <xdr:rowOff>0</xdr:rowOff>
    </xdr:from>
    <xdr:to>
      <xdr:col>35</xdr:col>
      <xdr:colOff>410935</xdr:colOff>
      <xdr:row>45</xdr:row>
      <xdr:rowOff>205468</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16</xdr:row>
      <xdr:rowOff>0</xdr:rowOff>
    </xdr:from>
    <xdr:to>
      <xdr:col>36</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65</xdr:row>
      <xdr:rowOff>0</xdr:rowOff>
    </xdr:from>
    <xdr:to>
      <xdr:col>36</xdr:col>
      <xdr:colOff>692726</xdr:colOff>
      <xdr:row>66</xdr:row>
      <xdr:rowOff>24864</xdr:rowOff>
    </xdr:to>
    <xdr:sp macro="" textlink="">
      <xdr:nvSpPr>
        <xdr:cNvPr id="7" name="Left Arrow 6">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77</xdr:row>
      <xdr:rowOff>0</xdr:rowOff>
    </xdr:from>
    <xdr:to>
      <xdr:col>36</xdr:col>
      <xdr:colOff>692726</xdr:colOff>
      <xdr:row>78</xdr:row>
      <xdr:rowOff>24864</xdr:rowOff>
    </xdr:to>
    <xdr:sp macro="" textlink="">
      <xdr:nvSpPr>
        <xdr:cNvPr id="8" name="Left Arrow 7">
          <a:hlinkClick xmlns:r="http://schemas.openxmlformats.org/officeDocument/2006/relationships" r:id="rId6"/>
          <a:extLst>
            <a:ext uri="{FF2B5EF4-FFF2-40B4-BE49-F238E27FC236}">
              <a16:creationId xmlns="" xmlns:a16="http://schemas.microsoft.com/office/drawing/2014/main"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6</xdr:col>
      <xdr:colOff>108362</xdr:colOff>
      <xdr:row>38</xdr:row>
      <xdr:rowOff>0</xdr:rowOff>
    </xdr:to>
    <xdr:pic>
      <xdr:nvPicPr>
        <xdr:cNvPr id="2" name="Picture 5" descr="clip_image002.jpg">
          <a:extLst>
            <a:ext uri="{FF2B5EF4-FFF2-40B4-BE49-F238E27FC236}">
              <a16:creationId xmlns="" xmlns:a16="http://schemas.microsoft.com/office/drawing/2014/main"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106754</xdr:colOff>
      <xdr:row>0</xdr:row>
      <xdr:rowOff>66675</xdr:rowOff>
    </xdr:to>
    <xdr:pic>
      <xdr:nvPicPr>
        <xdr:cNvPr id="3" name="Picture 1" descr="clip_image002.jpg">
          <a:extLst>
            <a:ext uri="{FF2B5EF4-FFF2-40B4-BE49-F238E27FC236}">
              <a16:creationId xmlns="" xmlns:a16="http://schemas.microsoft.com/office/drawing/2014/main"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2</xdr:col>
      <xdr:colOff>66674</xdr:colOff>
      <xdr:row>0</xdr:row>
      <xdr:rowOff>276225</xdr:rowOff>
    </xdr:from>
    <xdr:to>
      <xdr:col>4</xdr:col>
      <xdr:colOff>259772</xdr:colOff>
      <xdr:row>1</xdr:row>
      <xdr:rowOff>350105</xdr:rowOff>
    </xdr:to>
    <xdr:pic>
      <xdr:nvPicPr>
        <xdr:cNvPr id="4" name="Picture 1" descr="clip_image002.jpg">
          <a:extLst>
            <a:ext uri="{FF2B5EF4-FFF2-40B4-BE49-F238E27FC236}">
              <a16:creationId xmlns="" xmlns:a16="http://schemas.microsoft.com/office/drawing/2014/main"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915265" y="276225"/>
          <a:ext cx="695325" cy="437562"/>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106754</xdr:colOff>
      <xdr:row>38</xdr:row>
      <xdr:rowOff>66675</xdr:rowOff>
    </xdr:to>
    <xdr:pic>
      <xdr:nvPicPr>
        <xdr:cNvPr id="5" name="Picture 1" descr="clip_image002.jpg">
          <a:extLst>
            <a:ext uri="{FF2B5EF4-FFF2-40B4-BE49-F238E27FC236}">
              <a16:creationId xmlns="" xmlns:a16="http://schemas.microsoft.com/office/drawing/2014/main"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6" name="Picture 1" descr="clip_image002.jpg">
          <a:extLst>
            <a:ext uri="{FF2B5EF4-FFF2-40B4-BE49-F238E27FC236}">
              <a16:creationId xmlns="" xmlns:a16="http://schemas.microsoft.com/office/drawing/2014/main"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8" name="Picture 1" descr="clip_image002.jpg">
          <a:extLst>
            <a:ext uri="{FF2B5EF4-FFF2-40B4-BE49-F238E27FC236}">
              <a16:creationId xmlns="" xmlns:a16="http://schemas.microsoft.com/office/drawing/2014/main"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9" name="Picture 1" descr="clip_image002.jpg">
          <a:extLst>
            <a:ext uri="{FF2B5EF4-FFF2-40B4-BE49-F238E27FC236}">
              <a16:creationId xmlns="" xmlns:a16="http://schemas.microsoft.com/office/drawing/2014/main"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106754</xdr:colOff>
      <xdr:row>75</xdr:row>
      <xdr:rowOff>0</xdr:rowOff>
    </xdr:to>
    <xdr:pic>
      <xdr:nvPicPr>
        <xdr:cNvPr id="10" name="Picture 1" descr="clip_image002.jpg">
          <a:extLst>
            <a:ext uri="{FF2B5EF4-FFF2-40B4-BE49-F238E27FC236}">
              <a16:creationId xmlns="" xmlns:a16="http://schemas.microsoft.com/office/drawing/2014/main"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106754</xdr:colOff>
      <xdr:row>38</xdr:row>
      <xdr:rowOff>66675</xdr:rowOff>
    </xdr:to>
    <xdr:pic>
      <xdr:nvPicPr>
        <xdr:cNvPr id="11" name="Picture 1" descr="clip_image002.jpg">
          <a:extLst>
            <a:ext uri="{FF2B5EF4-FFF2-40B4-BE49-F238E27FC236}">
              <a16:creationId xmlns="" xmlns:a16="http://schemas.microsoft.com/office/drawing/2014/main"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1</xdr:col>
      <xdr:colOff>568903</xdr:colOff>
      <xdr:row>38</xdr:row>
      <xdr:rowOff>276225</xdr:rowOff>
    </xdr:from>
    <xdr:to>
      <xdr:col>4</xdr:col>
      <xdr:colOff>197843</xdr:colOff>
      <xdr:row>39</xdr:row>
      <xdr:rowOff>398318</xdr:rowOff>
    </xdr:to>
    <xdr:pic>
      <xdr:nvPicPr>
        <xdr:cNvPr id="12" name="Picture 1" descr="clip_image002.jpg">
          <a:extLst>
            <a:ext uri="{FF2B5EF4-FFF2-40B4-BE49-F238E27FC236}">
              <a16:creationId xmlns="" xmlns:a16="http://schemas.microsoft.com/office/drawing/2014/main"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776721" y="23205498"/>
          <a:ext cx="771940" cy="485775"/>
        </a:xfrm>
        <a:prstGeom prst="rect">
          <a:avLst/>
        </a:prstGeom>
        <a:noFill/>
        <a:ln w="9525">
          <a:noFill/>
          <a:miter lim="800000"/>
          <a:headEnd/>
          <a:tailEnd/>
        </a:ln>
      </xdr:spPr>
    </xdr:pic>
    <xdr:clientData/>
  </xdr:twoCellAnchor>
  <xdr:twoCellAnchor>
    <xdr:from>
      <xdr:col>33</xdr:col>
      <xdr:colOff>258535</xdr:colOff>
      <xdr:row>0</xdr:row>
      <xdr:rowOff>108858</xdr:rowOff>
    </xdr:from>
    <xdr:to>
      <xdr:col>35</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 xmlns:a16="http://schemas.microsoft.com/office/drawing/2014/main"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155862</xdr:colOff>
      <xdr:row>41</xdr:row>
      <xdr:rowOff>0</xdr:rowOff>
    </xdr:from>
    <xdr:to>
      <xdr:col>35</xdr:col>
      <xdr:colOff>571499</xdr:colOff>
      <xdr:row>42</xdr:row>
      <xdr:rowOff>69396</xdr:rowOff>
    </xdr:to>
    <xdr:sp macro="" textlink="">
      <xdr:nvSpPr>
        <xdr:cNvPr id="14" name="Left Arrow 13">
          <a:hlinkClick xmlns:r="http://schemas.openxmlformats.org/officeDocument/2006/relationships" r:id="rId3"/>
          <a:extLst>
            <a:ext uri="{FF2B5EF4-FFF2-40B4-BE49-F238E27FC236}">
              <a16:creationId xmlns="" xmlns:a16="http://schemas.microsoft.com/office/drawing/2014/main"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37</xdr:col>
      <xdr:colOff>-1</xdr:colOff>
      <xdr:row>55</xdr:row>
      <xdr:rowOff>596364</xdr:rowOff>
    </xdr:to>
    <xdr:sp macro="" textlink="">
      <xdr:nvSpPr>
        <xdr:cNvPr id="15" name="Left Arrow 14">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15</xdr:row>
      <xdr:rowOff>0</xdr:rowOff>
    </xdr:from>
    <xdr:to>
      <xdr:col>37</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0</xdr:col>
      <xdr:colOff>133350</xdr:colOff>
      <xdr:row>38</xdr:row>
      <xdr:rowOff>66675</xdr:rowOff>
    </xdr:from>
    <xdr:to>
      <xdr:col>4</xdr:col>
      <xdr:colOff>106754</xdr:colOff>
      <xdr:row>38</xdr:row>
      <xdr:rowOff>66675</xdr:rowOff>
    </xdr:to>
    <xdr:pic>
      <xdr:nvPicPr>
        <xdr:cNvPr id="17" name="Picture 1" descr="clip_image002.jpg">
          <a:extLst>
            <a:ext uri="{FF2B5EF4-FFF2-40B4-BE49-F238E27FC236}">
              <a16:creationId xmlns="" xmlns:a16="http://schemas.microsoft.com/office/drawing/2014/main"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78404" cy="0"/>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591167</xdr:colOff>
      <xdr:row>0</xdr:row>
      <xdr:rowOff>283153</xdr:rowOff>
    </xdr:from>
    <xdr:to>
      <xdr:col>4</xdr:col>
      <xdr:colOff>121226</xdr:colOff>
      <xdr:row>1</xdr:row>
      <xdr:rowOff>440129</xdr:rowOff>
    </xdr:to>
    <xdr:pic>
      <xdr:nvPicPr>
        <xdr:cNvPr id="2" name="Picture 1"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72167" y="283153"/>
          <a:ext cx="846241" cy="520658"/>
        </a:xfrm>
        <a:prstGeom prst="rect">
          <a:avLst/>
        </a:prstGeom>
        <a:noFill/>
        <a:ln w="9525">
          <a:noFill/>
          <a:miter lim="800000"/>
          <a:headEnd/>
          <a:tailEnd/>
        </a:ln>
      </xdr:spPr>
    </xdr:pic>
    <xdr:clientData/>
  </xdr:twoCellAnchor>
  <xdr:twoCellAnchor editAs="oneCell">
    <xdr:from>
      <xdr:col>1</xdr:col>
      <xdr:colOff>524740</xdr:colOff>
      <xdr:row>42</xdr:row>
      <xdr:rowOff>405244</xdr:rowOff>
    </xdr:from>
    <xdr:to>
      <xdr:col>4</xdr:col>
      <xdr:colOff>2844</xdr:colOff>
      <xdr:row>43</xdr:row>
      <xdr:rowOff>431067</xdr:rowOff>
    </xdr:to>
    <xdr:pic>
      <xdr:nvPicPr>
        <xdr:cNvPr id="3" name="Picture 1" descr="clip_image002.jpg">
          <a:extLst>
            <a:ext uri="{FF2B5EF4-FFF2-40B4-BE49-F238E27FC236}">
              <a16:creationId xmlns="" xmlns:a16="http://schemas.microsoft.com/office/drawing/2014/main"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05740" y="23559653"/>
          <a:ext cx="791441" cy="494651"/>
        </a:xfrm>
        <a:prstGeom prst="rect">
          <a:avLst/>
        </a:prstGeom>
        <a:noFill/>
        <a:ln w="9525">
          <a:noFill/>
          <a:miter lim="800000"/>
          <a:headEnd/>
          <a:tailEnd/>
        </a:ln>
      </xdr:spPr>
    </xdr:pic>
    <xdr:clientData/>
  </xdr:twoCellAnchor>
  <xdr:twoCellAnchor editAs="oneCell">
    <xdr:from>
      <xdr:col>35</xdr:col>
      <xdr:colOff>435303</xdr:colOff>
      <xdr:row>0</xdr:row>
      <xdr:rowOff>352424</xdr:rowOff>
    </xdr:from>
    <xdr:to>
      <xdr:col>37</xdr:col>
      <xdr:colOff>363681</xdr:colOff>
      <xdr:row>1</xdr:row>
      <xdr:rowOff>477435</xdr:rowOff>
    </xdr:to>
    <xdr:pic>
      <xdr:nvPicPr>
        <xdr:cNvPr id="11" name="Picture 10"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816303" y="352424"/>
          <a:ext cx="804678" cy="486961"/>
        </a:xfrm>
        <a:prstGeom prst="rect">
          <a:avLst/>
        </a:prstGeom>
        <a:noFill/>
        <a:ln w="9525">
          <a:noFill/>
          <a:miter lim="800000"/>
          <a:headEnd/>
          <a:tailEnd/>
        </a:ln>
      </xdr:spPr>
    </xdr:pic>
    <xdr:clientData/>
  </xdr:twoCellAnchor>
  <xdr:twoCellAnchor editAs="oneCell">
    <xdr:from>
      <xdr:col>35</xdr:col>
      <xdr:colOff>207818</xdr:colOff>
      <xdr:row>42</xdr:row>
      <xdr:rowOff>277091</xdr:rowOff>
    </xdr:from>
    <xdr:to>
      <xdr:col>37</xdr:col>
      <xdr:colOff>136196</xdr:colOff>
      <xdr:row>43</xdr:row>
      <xdr:rowOff>298193</xdr:rowOff>
    </xdr:to>
    <xdr:pic>
      <xdr:nvPicPr>
        <xdr:cNvPr id="13" name="Picture 12"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6781318" y="23708591"/>
          <a:ext cx="794287" cy="488693"/>
        </a:xfrm>
        <a:prstGeom prst="rect">
          <a:avLst/>
        </a:prstGeom>
        <a:noFill/>
        <a:ln w="9525">
          <a:noFill/>
          <a:miter lim="800000"/>
          <a:headEnd/>
          <a:tailEnd/>
        </a:ln>
      </xdr:spPr>
    </xdr:pic>
    <xdr:clientData/>
  </xdr:twoCellAnchor>
  <xdr:twoCellAnchor>
    <xdr:from>
      <xdr:col>30</xdr:col>
      <xdr:colOff>509984</xdr:colOff>
      <xdr:row>0</xdr:row>
      <xdr:rowOff>17322</xdr:rowOff>
    </xdr:from>
    <xdr:to>
      <xdr:col>32</xdr:col>
      <xdr:colOff>371439</xdr:colOff>
      <xdr:row>0</xdr:row>
      <xdr:rowOff>329045</xdr:rowOff>
    </xdr:to>
    <xdr:sp macro="" textlink="">
      <xdr:nvSpPr>
        <xdr:cNvPr id="6" name="Left Arrow 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4884075" y="17322"/>
          <a:ext cx="762000" cy="311723"/>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34638</xdr:colOff>
      <xdr:row>137</xdr:row>
      <xdr:rowOff>536862</xdr:rowOff>
    </xdr:from>
    <xdr:to>
      <xdr:col>4</xdr:col>
      <xdr:colOff>1021774</xdr:colOff>
      <xdr:row>139</xdr:row>
      <xdr:rowOff>398317</xdr:rowOff>
    </xdr:to>
    <xdr:cxnSp macro="">
      <xdr:nvCxnSpPr>
        <xdr:cNvPr id="20" name="Straight Arrow Connector 19"/>
        <xdr:cNvCxnSpPr/>
      </xdr:nvCxnSpPr>
      <xdr:spPr>
        <a:xfrm rot="5400000">
          <a:off x="20980979" y="9594272"/>
          <a:ext cx="1242580" cy="9871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xdr:colOff>
      <xdr:row>144</xdr:row>
      <xdr:rowOff>34638</xdr:rowOff>
    </xdr:from>
    <xdr:to>
      <xdr:col>4</xdr:col>
      <xdr:colOff>727365</xdr:colOff>
      <xdr:row>147</xdr:row>
      <xdr:rowOff>3</xdr:rowOff>
    </xdr:to>
    <xdr:cxnSp macro="">
      <xdr:nvCxnSpPr>
        <xdr:cNvPr id="22" name="Straight Arrow Connector 21"/>
        <xdr:cNvCxnSpPr/>
      </xdr:nvCxnSpPr>
      <xdr:spPr>
        <a:xfrm rot="16200000" flipV="1">
          <a:off x="3818661" y="57089390"/>
          <a:ext cx="1264229" cy="72736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86592</xdr:colOff>
      <xdr:row>138</xdr:row>
      <xdr:rowOff>519544</xdr:rowOff>
    </xdr:from>
    <xdr:to>
      <xdr:col>5</xdr:col>
      <xdr:colOff>329046</xdr:colOff>
      <xdr:row>140</xdr:row>
      <xdr:rowOff>415635</xdr:rowOff>
    </xdr:to>
    <xdr:cxnSp macro="">
      <xdr:nvCxnSpPr>
        <xdr:cNvPr id="23" name="Straight Arrow Connector 22"/>
        <xdr:cNvCxnSpPr/>
      </xdr:nvCxnSpPr>
      <xdr:spPr>
        <a:xfrm rot="10800000" flipV="1">
          <a:off x="21160655" y="10139794"/>
          <a:ext cx="1623579" cy="10152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34641</xdr:colOff>
      <xdr:row>143</xdr:row>
      <xdr:rowOff>17322</xdr:rowOff>
    </xdr:from>
    <xdr:to>
      <xdr:col>5</xdr:col>
      <xdr:colOff>173182</xdr:colOff>
      <xdr:row>144</xdr:row>
      <xdr:rowOff>398318</xdr:rowOff>
    </xdr:to>
    <xdr:cxnSp macro="">
      <xdr:nvCxnSpPr>
        <xdr:cNvPr id="25" name="Straight Arrow Connector 24"/>
        <xdr:cNvCxnSpPr/>
      </xdr:nvCxnSpPr>
      <xdr:spPr>
        <a:xfrm rot="10800000">
          <a:off x="4121732" y="56370686"/>
          <a:ext cx="1246905" cy="8139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329046</xdr:colOff>
      <xdr:row>141</xdr:row>
      <xdr:rowOff>51955</xdr:rowOff>
    </xdr:from>
    <xdr:to>
      <xdr:col>4</xdr:col>
      <xdr:colOff>450273</xdr:colOff>
      <xdr:row>142</xdr:row>
      <xdr:rowOff>415636</xdr:rowOff>
    </xdr:to>
    <xdr:sp macro="" textlink="">
      <xdr:nvSpPr>
        <xdr:cNvPr id="27" name="Right Brace 26"/>
        <xdr:cNvSpPr/>
      </xdr:nvSpPr>
      <xdr:spPr>
        <a:xfrm>
          <a:off x="21403109" y="11220018"/>
          <a:ext cx="121227" cy="79230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0</xdr:colOff>
      <xdr:row>0</xdr:row>
      <xdr:rowOff>0</xdr:rowOff>
    </xdr:from>
    <xdr:to>
      <xdr:col>2</xdr:col>
      <xdr:colOff>155863</xdr:colOff>
      <xdr:row>0</xdr:row>
      <xdr:rowOff>381000</xdr:rowOff>
    </xdr:to>
    <xdr:sp macro="" textlink="">
      <xdr:nvSpPr>
        <xdr:cNvPr id="12" name="Left Arrow 11">
          <a:hlinkClick xmlns:r="http://schemas.openxmlformats.org/officeDocument/2006/relationships" r:id="rId1"/>
          <a:extLst>
            <a:ext uri="{FF2B5EF4-FFF2-40B4-BE49-F238E27FC236}">
              <a16:creationId xmlns="" xmlns:a16="http://schemas.microsoft.com/office/drawing/2014/main" id="{00000000-0008-0000-0400-000002000000}"/>
            </a:ext>
          </a:extLst>
        </xdr:cNvPr>
        <xdr:cNvSpPr/>
      </xdr:nvSpPr>
      <xdr:spPr>
        <a:xfrm>
          <a:off x="0" y="0"/>
          <a:ext cx="900545" cy="381000"/>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116032</xdr:colOff>
      <xdr:row>0</xdr:row>
      <xdr:rowOff>205220</xdr:rowOff>
    </xdr:from>
    <xdr:to>
      <xdr:col>2</xdr:col>
      <xdr:colOff>173182</xdr:colOff>
      <xdr:row>1</xdr:row>
      <xdr:rowOff>268913</xdr:rowOff>
    </xdr:to>
    <xdr:pic>
      <xdr:nvPicPr>
        <xdr:cNvPr id="2" name="Picture 1" descr="clip_image002.jpg">
          <a:extLst>
            <a:ext uri="{FF2B5EF4-FFF2-40B4-BE49-F238E27FC236}">
              <a16:creationId xmlns="" xmlns:a16="http://schemas.microsoft.com/office/drawing/2014/main"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410441" y="205220"/>
          <a:ext cx="749877" cy="427375"/>
        </a:xfrm>
        <a:prstGeom prst="rect">
          <a:avLst/>
        </a:prstGeom>
        <a:noFill/>
        <a:ln w="9525">
          <a:noFill/>
          <a:miter lim="800000"/>
          <a:headEnd/>
          <a:tailEnd/>
        </a:ln>
      </xdr:spPr>
    </xdr:pic>
    <xdr:clientData/>
  </xdr:twoCellAnchor>
  <xdr:twoCellAnchor>
    <xdr:from>
      <xdr:col>22</xdr:col>
      <xdr:colOff>-1</xdr:colOff>
      <xdr:row>0</xdr:row>
      <xdr:rowOff>1</xdr:rowOff>
    </xdr:from>
    <xdr:to>
      <xdr:col>23</xdr:col>
      <xdr:colOff>398317</xdr:colOff>
      <xdr:row>1</xdr:row>
      <xdr:rowOff>34637</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689772" y="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22</xdr:col>
      <xdr:colOff>0</xdr:colOff>
      <xdr:row>25</xdr:row>
      <xdr:rowOff>0</xdr:rowOff>
    </xdr:from>
    <xdr:to>
      <xdr:col>23</xdr:col>
      <xdr:colOff>398318</xdr:colOff>
      <xdr:row>25</xdr:row>
      <xdr:rowOff>398318</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689773" y="1085850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498021</xdr:colOff>
      <xdr:row>38</xdr:row>
      <xdr:rowOff>0</xdr:rowOff>
    </xdr:to>
    <xdr:pic>
      <xdr:nvPicPr>
        <xdr:cNvPr id="2" name="Picture 5" descr="clip_image002.jpg">
          <a:extLst>
            <a:ext uri="{FF2B5EF4-FFF2-40B4-BE49-F238E27FC236}">
              <a16:creationId xmlns="" xmlns:a16="http://schemas.microsoft.com/office/drawing/2014/main"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532493</xdr:colOff>
      <xdr:row>0</xdr:row>
      <xdr:rowOff>66675</xdr:rowOff>
    </xdr:to>
    <xdr:pic>
      <xdr:nvPicPr>
        <xdr:cNvPr id="3"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1</xdr:col>
      <xdr:colOff>378401</xdr:colOff>
      <xdr:row>0</xdr:row>
      <xdr:rowOff>258907</xdr:rowOff>
    </xdr:from>
    <xdr:to>
      <xdr:col>3</xdr:col>
      <xdr:colOff>103908</xdr:colOff>
      <xdr:row>1</xdr:row>
      <xdr:rowOff>321889</xdr:rowOff>
    </xdr:to>
    <xdr:pic>
      <xdr:nvPicPr>
        <xdr:cNvPr id="4" name="Picture 1" descr="clip_image002.jpg">
          <a:extLst>
            <a:ext uri="{FF2B5EF4-FFF2-40B4-BE49-F238E27FC236}">
              <a16:creationId xmlns=""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90128" y="258907"/>
          <a:ext cx="678007" cy="426664"/>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5" name="Picture 1" descr="clip_image002.jpg">
          <a:extLst>
            <a:ext uri="{FF2B5EF4-FFF2-40B4-BE49-F238E27FC236}">
              <a16:creationId xmlns="" xmlns:a16="http://schemas.microsoft.com/office/drawing/2014/main"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6" name="Picture 1" descr="clip_image002.jpg">
          <a:extLst>
            <a:ext uri="{FF2B5EF4-FFF2-40B4-BE49-F238E27FC236}">
              <a16:creationId xmlns="" xmlns:a16="http://schemas.microsoft.com/office/drawing/2014/main"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8" name="Picture 1" descr="clip_image002.jpg">
          <a:extLst>
            <a:ext uri="{FF2B5EF4-FFF2-40B4-BE49-F238E27FC236}">
              <a16:creationId xmlns="" xmlns:a16="http://schemas.microsoft.com/office/drawing/2014/main"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1" name="Picture 1" descr="clip_image002.jpg">
          <a:extLst>
            <a:ext uri="{FF2B5EF4-FFF2-40B4-BE49-F238E27FC236}">
              <a16:creationId xmlns="" xmlns:a16="http://schemas.microsoft.com/office/drawing/2014/main"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3" name="Picture 1" descr="clip_image002.jpg">
          <a:extLst>
            <a:ext uri="{FF2B5EF4-FFF2-40B4-BE49-F238E27FC236}">
              <a16:creationId xmlns="" xmlns:a16="http://schemas.microsoft.com/office/drawing/2014/main"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5" name="Picture 1" descr="clip_image002.jpg">
          <a:extLst>
            <a:ext uri="{FF2B5EF4-FFF2-40B4-BE49-F238E27FC236}">
              <a16:creationId xmlns="" xmlns:a16="http://schemas.microsoft.com/office/drawing/2014/main"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417451</xdr:colOff>
      <xdr:row>0</xdr:row>
      <xdr:rowOff>66675</xdr:rowOff>
    </xdr:to>
    <xdr:pic>
      <xdr:nvPicPr>
        <xdr:cNvPr id="18"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1020425" y="66675"/>
          <a:ext cx="2992665"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1</xdr:row>
      <xdr:rowOff>34636</xdr:rowOff>
    </xdr:to>
    <xdr:sp macro="" textlink="">
      <xdr:nvSpPr>
        <xdr:cNvPr id="17" name="Left Arrow 16">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81100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9" name="Left Arrow 18">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811000" y="9611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227485</xdr:colOff>
      <xdr:row>0</xdr:row>
      <xdr:rowOff>300470</xdr:rowOff>
    </xdr:from>
    <xdr:to>
      <xdr:col>2</xdr:col>
      <xdr:colOff>17317</xdr:colOff>
      <xdr:row>1</xdr:row>
      <xdr:rowOff>340239</xdr:rowOff>
    </xdr:to>
    <xdr:pic>
      <xdr:nvPicPr>
        <xdr:cNvPr id="2" name="Picture 1"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608485" y="300470"/>
          <a:ext cx="655741" cy="403451"/>
        </a:xfrm>
        <a:prstGeom prst="rect">
          <a:avLst/>
        </a:prstGeom>
        <a:noFill/>
        <a:ln w="9525">
          <a:noFill/>
          <a:miter lim="800000"/>
          <a:headEnd/>
          <a:tailEnd/>
        </a:ln>
      </xdr:spPr>
    </xdr:pic>
    <xdr:clientData/>
  </xdr:twoCellAnchor>
  <xdr:twoCellAnchor>
    <xdr:from>
      <xdr:col>22</xdr:col>
      <xdr:colOff>363678</xdr:colOff>
      <xdr:row>0</xdr:row>
      <xdr:rowOff>0</xdr:rowOff>
    </xdr:from>
    <xdr:to>
      <xdr:col>24</xdr:col>
      <xdr:colOff>51951</xdr:colOff>
      <xdr:row>1</xdr:row>
      <xdr:rowOff>34636</xdr:rowOff>
    </xdr:to>
    <xdr:sp macro="" textlink="">
      <xdr:nvSpPr>
        <xdr:cNvPr id="6" name="Left Arrow 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2711542"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24</xdr:col>
      <xdr:colOff>69273</xdr:colOff>
      <xdr:row>26</xdr:row>
      <xdr:rowOff>398318</xdr:rowOff>
    </xdr:to>
    <xdr:sp macro="" textlink="">
      <xdr:nvSpPr>
        <xdr:cNvPr id="7" name="Left Arrow 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2728864" y="10460182"/>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23</xdr:col>
      <xdr:colOff>244928</xdr:colOff>
      <xdr:row>0</xdr:row>
      <xdr:rowOff>0</xdr:rowOff>
    </xdr:from>
    <xdr:to>
      <xdr:col>26</xdr:col>
      <xdr:colOff>27214</xdr:colOff>
      <xdr:row>1</xdr:row>
      <xdr:rowOff>232682</xdr:rowOff>
    </xdr:to>
    <xdr:sp macro="" textlink="">
      <xdr:nvSpPr>
        <xdr:cNvPr id="4" name="Left Arrow 3">
          <a:hlinkClick xmlns:r="http://schemas.openxmlformats.org/officeDocument/2006/relationships" r:id="rId1"/>
          <a:extLst>
            <a:ext uri="{FF2B5EF4-FFF2-40B4-BE49-F238E27FC236}">
              <a16:creationId xmlns="" xmlns:a16="http://schemas.microsoft.com/office/drawing/2014/main" id="{00000000-0008-0000-0D00-000004000000}"/>
            </a:ext>
          </a:extLst>
        </xdr:cNvPr>
        <xdr:cNvSpPr/>
      </xdr:nvSpPr>
      <xdr:spPr>
        <a:xfrm>
          <a:off x="11157857" y="0"/>
          <a:ext cx="1823357"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1</xdr:col>
      <xdr:colOff>517072</xdr:colOff>
      <xdr:row>0</xdr:row>
      <xdr:rowOff>204107</xdr:rowOff>
    </xdr:from>
    <xdr:to>
      <xdr:col>2</xdr:col>
      <xdr:colOff>111456</xdr:colOff>
      <xdr:row>1</xdr:row>
      <xdr:rowOff>240165</xdr:rowOff>
    </xdr:to>
    <xdr:pic>
      <xdr:nvPicPr>
        <xdr:cNvPr id="3" name="Picture 2"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2"/>
        <a:srcRect/>
        <a:stretch>
          <a:fillRect/>
        </a:stretch>
      </xdr:blipFill>
      <xdr:spPr bwMode="auto">
        <a:xfrm>
          <a:off x="898072" y="204107"/>
          <a:ext cx="655741" cy="403451"/>
        </a:xfrm>
        <a:prstGeom prst="rect">
          <a:avLst/>
        </a:prstGeom>
        <a:noFill/>
        <a:ln w="9525">
          <a:noFill/>
          <a:miter lim="800000"/>
          <a:headEnd/>
          <a:tailEn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147338</xdr:colOff>
      <xdr:row>0</xdr:row>
      <xdr:rowOff>70866</xdr:rowOff>
    </xdr:to>
    <xdr:pic>
      <xdr:nvPicPr>
        <xdr:cNvPr id="2" name="Picture 1" descr="clip_image002.jpg">
          <a:extLst>
            <a:ext uri="{FF2B5EF4-FFF2-40B4-BE49-F238E27FC236}">
              <a16:creationId xmlns="" xmlns:a16="http://schemas.microsoft.com/office/drawing/2014/main"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8882" cy="180975"/>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190499</xdr:colOff>
      <xdr:row>1</xdr:row>
      <xdr:rowOff>69273</xdr:rowOff>
    </xdr:to>
    <xdr:sp macro="" textlink="">
      <xdr:nvSpPr>
        <xdr:cNvPr id="6" name="Left Arrow 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378045"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25</xdr:row>
      <xdr:rowOff>0</xdr:rowOff>
    </xdr:from>
    <xdr:to>
      <xdr:col>24</xdr:col>
      <xdr:colOff>190499</xdr:colOff>
      <xdr:row>25</xdr:row>
      <xdr:rowOff>398318</xdr:rowOff>
    </xdr:to>
    <xdr:sp macro="" textlink="">
      <xdr:nvSpPr>
        <xdr:cNvPr id="7" name="Left Arrow 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378045" y="1033895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editAs="oneCell">
    <xdr:from>
      <xdr:col>2</xdr:col>
      <xdr:colOff>-1</xdr:colOff>
      <xdr:row>0</xdr:row>
      <xdr:rowOff>242454</xdr:rowOff>
    </xdr:from>
    <xdr:to>
      <xdr:col>3</xdr:col>
      <xdr:colOff>257422</xdr:colOff>
      <xdr:row>1</xdr:row>
      <xdr:rowOff>316860</xdr:rowOff>
    </xdr:to>
    <xdr:pic>
      <xdr:nvPicPr>
        <xdr:cNvPr id="5" name="Picture 4"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744681" y="242454"/>
          <a:ext cx="655741" cy="403451"/>
        </a:xfrm>
        <a:prstGeom prst="rect">
          <a:avLst/>
        </a:prstGeom>
        <a:noFill/>
        <a:ln w="9525">
          <a:noFill/>
          <a:miter lim="800000"/>
          <a:headEnd/>
          <a:tailEn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316180</xdr:colOff>
      <xdr:row>38</xdr:row>
      <xdr:rowOff>0</xdr:rowOff>
    </xdr:to>
    <xdr:pic>
      <xdr:nvPicPr>
        <xdr:cNvPr id="2" name="Picture 5" descr="clip_image002.jpg">
          <a:extLst>
            <a:ext uri="{FF2B5EF4-FFF2-40B4-BE49-F238E27FC236}">
              <a16:creationId xmlns="" xmlns:a16="http://schemas.microsoft.com/office/drawing/2014/main"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6411575"/>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486724</xdr:colOff>
      <xdr:row>0</xdr:row>
      <xdr:rowOff>66675</xdr:rowOff>
    </xdr:to>
    <xdr:pic>
      <xdr:nvPicPr>
        <xdr:cNvPr id="3"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043" cy="0"/>
        </a:xfrm>
        <a:prstGeom prst="rect">
          <a:avLst/>
        </a:prstGeom>
        <a:noFill/>
        <a:ln w="9525">
          <a:noFill/>
          <a:miter lim="800000"/>
          <a:headEnd/>
          <a:tailEnd/>
        </a:ln>
      </xdr:spPr>
    </xdr:pic>
    <xdr:clientData/>
  </xdr:twoCellAnchor>
  <xdr:twoCellAnchor editAs="oneCell">
    <xdr:from>
      <xdr:col>1</xdr:col>
      <xdr:colOff>118630</xdr:colOff>
      <xdr:row>0</xdr:row>
      <xdr:rowOff>310861</xdr:rowOff>
    </xdr:from>
    <xdr:to>
      <xdr:col>2</xdr:col>
      <xdr:colOff>190500</xdr:colOff>
      <xdr:row>1</xdr:row>
      <xdr:rowOff>265455</xdr:rowOff>
    </xdr:to>
    <xdr:pic>
      <xdr:nvPicPr>
        <xdr:cNvPr id="4" name="Picture 1" descr="clip_image002.jpg">
          <a:extLst>
            <a:ext uri="{FF2B5EF4-FFF2-40B4-BE49-F238E27FC236}">
              <a16:creationId xmlns="" xmlns:a16="http://schemas.microsoft.com/office/drawing/2014/main"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430357" y="310861"/>
          <a:ext cx="643370" cy="404867"/>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5" name="Picture 1" descr="clip_image002.jpg">
          <a:extLst>
            <a:ext uri="{FF2B5EF4-FFF2-40B4-BE49-F238E27FC236}">
              <a16:creationId xmlns="" xmlns:a16="http://schemas.microsoft.com/office/drawing/2014/main"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6" name="Picture 1" descr="clip_image002.jpg">
          <a:extLst>
            <a:ext uri="{FF2B5EF4-FFF2-40B4-BE49-F238E27FC236}">
              <a16:creationId xmlns="" xmlns:a16="http://schemas.microsoft.com/office/drawing/2014/main"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8" name="Picture 1" descr="clip_image002.jpg">
          <a:extLst>
            <a:ext uri="{FF2B5EF4-FFF2-40B4-BE49-F238E27FC236}">
              <a16:creationId xmlns="" xmlns:a16="http://schemas.microsoft.com/office/drawing/2014/main"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9" name="Picture 1" descr="clip_image002.jpg">
          <a:extLst>
            <a:ext uri="{FF2B5EF4-FFF2-40B4-BE49-F238E27FC236}">
              <a16:creationId xmlns="" xmlns:a16="http://schemas.microsoft.com/office/drawing/2014/main"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10" name="Picture 1" descr="clip_image002.jpg">
          <a:extLst>
            <a:ext uri="{FF2B5EF4-FFF2-40B4-BE49-F238E27FC236}">
              <a16:creationId xmlns="" xmlns:a16="http://schemas.microsoft.com/office/drawing/2014/main"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11" name="Picture 1" descr="clip_image002.jpg">
          <a:extLst>
            <a:ext uri="{FF2B5EF4-FFF2-40B4-BE49-F238E27FC236}">
              <a16:creationId xmlns="" xmlns:a16="http://schemas.microsoft.com/office/drawing/2014/main"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244269</xdr:colOff>
      <xdr:row>0</xdr:row>
      <xdr:rowOff>66675</xdr:rowOff>
    </xdr:to>
    <xdr:pic>
      <xdr:nvPicPr>
        <xdr:cNvPr id="13" name="Picture 1" descr="clip_image002.jpg">
          <a:extLst>
            <a:ext uri="{FF2B5EF4-FFF2-40B4-BE49-F238E27FC236}">
              <a16:creationId xmlns="" xmlns:a16="http://schemas.microsoft.com/office/drawing/2014/main"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2322"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0</xdr:row>
      <xdr:rowOff>398318</xdr:rowOff>
    </xdr:to>
    <xdr:sp macro="" textlink="">
      <xdr:nvSpPr>
        <xdr:cNvPr id="16" name="Left Arrow 1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1637818"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7" name="Left Arrow 1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1637818" y="9992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210168</xdr:colOff>
      <xdr:row>0</xdr:row>
      <xdr:rowOff>248516</xdr:rowOff>
    </xdr:from>
    <xdr:to>
      <xdr:col>2</xdr:col>
      <xdr:colOff>346363</xdr:colOff>
      <xdr:row>1</xdr:row>
      <xdr:rowOff>352216</xdr:rowOff>
    </xdr:to>
    <xdr:pic>
      <xdr:nvPicPr>
        <xdr:cNvPr id="2" name="Picture 1"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591168" y="248516"/>
          <a:ext cx="759650" cy="467382"/>
        </a:xfrm>
        <a:prstGeom prst="rect">
          <a:avLst/>
        </a:prstGeom>
        <a:noFill/>
        <a:ln w="9525">
          <a:noFill/>
          <a:miter lim="800000"/>
          <a:headEnd/>
          <a:tailEnd/>
        </a:ln>
      </xdr:spPr>
    </xdr:pic>
    <xdr:clientData/>
  </xdr:twoCellAnchor>
  <xdr:twoCellAnchor>
    <xdr:from>
      <xdr:col>22</xdr:col>
      <xdr:colOff>363678</xdr:colOff>
      <xdr:row>0</xdr:row>
      <xdr:rowOff>0</xdr:rowOff>
    </xdr:from>
    <xdr:to>
      <xdr:col>23</xdr:col>
      <xdr:colOff>865905</xdr:colOff>
      <xdr:row>1</xdr:row>
      <xdr:rowOff>34636</xdr:rowOff>
    </xdr:to>
    <xdr:sp macro="" textlink="">
      <xdr:nvSpPr>
        <xdr:cNvPr id="6" name="Left Arrow 5">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12191996"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23</xdr:col>
      <xdr:colOff>883227</xdr:colOff>
      <xdr:row>26</xdr:row>
      <xdr:rowOff>398318</xdr:rowOff>
    </xdr:to>
    <xdr:sp macro="" textlink="">
      <xdr:nvSpPr>
        <xdr:cNvPr id="7" name="Left Arrow 6">
          <a:hlinkClick xmlns:r="http://schemas.openxmlformats.org/officeDocument/2006/relationships" r:id="rId3"/>
          <a:extLst>
            <a:ext uri="{FF2B5EF4-FFF2-40B4-BE49-F238E27FC236}">
              <a16:creationId xmlns="" xmlns:a16="http://schemas.microsoft.com/office/drawing/2014/main" id="{00000000-0008-0000-0800-000004000000}"/>
            </a:ext>
          </a:extLst>
        </xdr:cNvPr>
        <xdr:cNvSpPr/>
      </xdr:nvSpPr>
      <xdr:spPr>
        <a:xfrm>
          <a:off x="13975773" y="1023504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24</xdr:col>
      <xdr:colOff>95249</xdr:colOff>
      <xdr:row>0</xdr:row>
      <xdr:rowOff>231322</xdr:rowOff>
    </xdr:from>
    <xdr:to>
      <xdr:col>26</xdr:col>
      <xdr:colOff>512989</xdr:colOff>
      <xdr:row>1</xdr:row>
      <xdr:rowOff>394607</xdr:rowOff>
    </xdr:to>
    <xdr:sp macro="" textlink="">
      <xdr:nvSpPr>
        <xdr:cNvPr id="3" name="Left Arrow 2">
          <a:hlinkClick xmlns:r="http://schemas.openxmlformats.org/officeDocument/2006/relationships" r:id="rId1"/>
          <a:extLst>
            <a:ext uri="{FF2B5EF4-FFF2-40B4-BE49-F238E27FC236}">
              <a16:creationId xmlns="" xmlns:a16="http://schemas.microsoft.com/office/drawing/2014/main" id="{00000000-0008-0000-0800-000004000000}"/>
            </a:ext>
          </a:extLst>
        </xdr:cNvPr>
        <xdr:cNvSpPr/>
      </xdr:nvSpPr>
      <xdr:spPr>
        <a:xfrm>
          <a:off x="11579678" y="231322"/>
          <a:ext cx="1778454" cy="5306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1</xdr:col>
      <xdr:colOff>462643</xdr:colOff>
      <xdr:row>0</xdr:row>
      <xdr:rowOff>149678</xdr:rowOff>
    </xdr:from>
    <xdr:to>
      <xdr:col>2</xdr:col>
      <xdr:colOff>220313</xdr:colOff>
      <xdr:row>1</xdr:row>
      <xdr:rowOff>185736</xdr:rowOff>
    </xdr:to>
    <xdr:pic>
      <xdr:nvPicPr>
        <xdr:cNvPr id="4" name="Picture 3" descr="clip_image002.jp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2"/>
        <a:srcRect/>
        <a:stretch>
          <a:fillRect/>
        </a:stretch>
      </xdr:blipFill>
      <xdr:spPr bwMode="auto">
        <a:xfrm>
          <a:off x="843643" y="149678"/>
          <a:ext cx="655741" cy="403451"/>
        </a:xfrm>
        <a:prstGeom prst="rect">
          <a:avLst/>
        </a:prstGeom>
        <a:noFill/>
        <a:ln w="9525">
          <a:noFill/>
          <a:miter lim="800000"/>
          <a:headEnd/>
          <a:tailEnd/>
        </a:ln>
      </xdr:spPr>
    </xdr:pic>
    <xdr:clientData/>
  </xdr:twoCellAnchor>
</xdr:wsDr>
</file>

<file path=xl/drawings/drawing24.xml><?xml version="1.0" encoding="utf-8"?>
<xdr:wsDr xmlns:xdr="http://schemas.openxmlformats.org/drawingml/2006/spreadsheetDrawing" xmlns:a="http://schemas.openxmlformats.org/drawingml/2006/main">
  <xdr:twoCellAnchor>
    <xdr:from>
      <xdr:col>10</xdr:col>
      <xdr:colOff>0</xdr:colOff>
      <xdr:row>222</xdr:row>
      <xdr:rowOff>0</xdr:rowOff>
    </xdr:from>
    <xdr:to>
      <xdr:col>11</xdr:col>
      <xdr:colOff>552450</xdr:colOff>
      <xdr:row>224</xdr:row>
      <xdr:rowOff>47625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5</xdr:col>
      <xdr:colOff>438150</xdr:colOff>
      <xdr:row>0</xdr:row>
      <xdr:rowOff>28575</xdr:rowOff>
    </xdr:from>
    <xdr:to>
      <xdr:col>6</xdr:col>
      <xdr:colOff>587952</xdr:colOff>
      <xdr:row>1</xdr:row>
      <xdr:rowOff>45893</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0800-000004000000}"/>
            </a:ext>
          </a:extLst>
        </xdr:cNvPr>
        <xdr:cNvSpPr/>
      </xdr:nvSpPr>
      <xdr:spPr>
        <a:xfrm>
          <a:off x="5362575" y="2857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33618</xdr:colOff>
      <xdr:row>165</xdr:row>
      <xdr:rowOff>11206</xdr:rowOff>
    </xdr:from>
    <xdr:to>
      <xdr:col>3</xdr:col>
      <xdr:colOff>11206</xdr:colOff>
      <xdr:row>167</xdr:row>
      <xdr:rowOff>11205</xdr:rowOff>
    </xdr:to>
    <xdr:cxnSp macro="">
      <xdr:nvCxnSpPr>
        <xdr:cNvPr id="3" name="Straight Connector 2"/>
        <xdr:cNvCxnSpPr/>
      </xdr:nvCxnSpPr>
      <xdr:spPr>
        <a:xfrm>
          <a:off x="33618" y="45645481"/>
          <a:ext cx="2720788" cy="5524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33618</xdr:colOff>
      <xdr:row>3</xdr:row>
      <xdr:rowOff>11206</xdr:rowOff>
    </xdr:from>
    <xdr:to>
      <xdr:col>4</xdr:col>
      <xdr:colOff>11206</xdr:colOff>
      <xdr:row>5</xdr:row>
      <xdr:rowOff>11205</xdr:rowOff>
    </xdr:to>
    <xdr:cxnSp macro="">
      <xdr:nvCxnSpPr>
        <xdr:cNvPr id="3" name="Straight Connector 2"/>
        <xdr:cNvCxnSpPr/>
      </xdr:nvCxnSpPr>
      <xdr:spPr>
        <a:xfrm>
          <a:off x="719418" y="639856"/>
          <a:ext cx="2034988"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1</xdr:col>
      <xdr:colOff>502227</xdr:colOff>
      <xdr:row>1</xdr:row>
      <xdr:rowOff>30925</xdr:rowOff>
    </xdr:to>
    <xdr:sp macro="" textlink="">
      <xdr:nvSpPr>
        <xdr:cNvPr id="5" name="Left Arrow 4">
          <a:hlinkClick xmlns:r="http://schemas.openxmlformats.org/officeDocument/2006/relationships" r:id="rId1"/>
          <a:extLst>
            <a:ext uri="{FF2B5EF4-FFF2-40B4-BE49-F238E27FC236}">
              <a16:creationId xmlns="" xmlns:a16="http://schemas.microsoft.com/office/drawing/2014/main" id="{00000000-0008-0000-0800-000004000000}"/>
            </a:ext>
          </a:extLst>
        </xdr:cNvPr>
        <xdr:cNvSpPr/>
      </xdr:nvSpPr>
      <xdr:spPr>
        <a:xfrm>
          <a:off x="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13</xdr:col>
      <xdr:colOff>612313</xdr:colOff>
      <xdr:row>12</xdr:row>
      <xdr:rowOff>122465</xdr:rowOff>
    </xdr:from>
    <xdr:to>
      <xdr:col>16</xdr:col>
      <xdr:colOff>342892</xdr:colOff>
      <xdr:row>13</xdr:row>
      <xdr:rowOff>355147</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500-000002000000}"/>
            </a:ext>
          </a:extLst>
        </xdr:cNvPr>
        <xdr:cNvSpPr/>
      </xdr:nvSpPr>
      <xdr:spPr>
        <a:xfrm>
          <a:off x="12777099"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57</xdr:col>
      <xdr:colOff>0</xdr:colOff>
      <xdr:row>81</xdr:row>
      <xdr:rowOff>0</xdr:rowOff>
    </xdr:from>
    <xdr:to>
      <xdr:col>59</xdr:col>
      <xdr:colOff>386195</xdr:colOff>
      <xdr:row>82</xdr:row>
      <xdr:rowOff>80530</xdr:rowOff>
    </xdr:to>
    <xdr:sp macro="" textlink="">
      <xdr:nvSpPr>
        <xdr:cNvPr id="7" name="Left Arrow 6">
          <a:hlinkClick xmlns:r="http://schemas.openxmlformats.org/officeDocument/2006/relationships" r:id="rId1"/>
          <a:extLst>
            <a:ext uri="{FF2B5EF4-FFF2-40B4-BE49-F238E27FC236}">
              <a16:creationId xmlns="" xmlns:a16="http://schemas.microsoft.com/office/drawing/2014/main"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39</xdr:col>
      <xdr:colOff>247650</xdr:colOff>
      <xdr:row>69</xdr:row>
      <xdr:rowOff>167120</xdr:rowOff>
    </xdr:to>
    <xdr:sp macro="" textlink="">
      <xdr:nvSpPr>
        <xdr:cNvPr id="12" name="Left Arrow 11">
          <a:hlinkClick xmlns:r="http://schemas.openxmlformats.org/officeDocument/2006/relationships" r:id="rId2"/>
          <a:extLst>
            <a:ext uri="{FF2B5EF4-FFF2-40B4-BE49-F238E27FC236}">
              <a16:creationId xmlns="" xmlns:a16="http://schemas.microsoft.com/office/drawing/2014/main"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0</xdr:row>
      <xdr:rowOff>0</xdr:rowOff>
    </xdr:from>
    <xdr:to>
      <xdr:col>0</xdr:col>
      <xdr:colOff>969818</xdr:colOff>
      <xdr:row>0</xdr:row>
      <xdr:rowOff>432954</xdr:rowOff>
    </xdr:to>
    <xdr:sp macro="" textlink="">
      <xdr:nvSpPr>
        <xdr:cNvPr id="9" name="Left Arrow 8">
          <a:hlinkClick xmlns:r="http://schemas.openxmlformats.org/officeDocument/2006/relationships" r:id="rId3"/>
          <a:extLst>
            <a:ext uri="{FF2B5EF4-FFF2-40B4-BE49-F238E27FC236}">
              <a16:creationId xmlns="" xmlns:a16="http://schemas.microsoft.com/office/drawing/2014/main" id="{00000000-0008-0000-0400-000002000000}"/>
            </a:ext>
          </a:extLst>
        </xdr:cNvPr>
        <xdr:cNvSpPr/>
      </xdr:nvSpPr>
      <xdr:spPr>
        <a:xfrm>
          <a:off x="0" y="0"/>
          <a:ext cx="969818" cy="432954"/>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21</xdr:col>
      <xdr:colOff>225117</xdr:colOff>
      <xdr:row>0</xdr:row>
      <xdr:rowOff>0</xdr:rowOff>
    </xdr:from>
    <xdr:to>
      <xdr:col>22</xdr:col>
      <xdr:colOff>450254</xdr:colOff>
      <xdr:row>0</xdr:row>
      <xdr:rowOff>398318</xdr:rowOff>
    </xdr:to>
    <xdr:sp macro="" textlink="">
      <xdr:nvSpPr>
        <xdr:cNvPr id="3" name="Left Arrow 2">
          <a:hlinkClick xmlns:r="http://schemas.openxmlformats.org/officeDocument/2006/relationships" r:id="rId1"/>
          <a:extLst>
            <a:ext uri="{FF2B5EF4-FFF2-40B4-BE49-F238E27FC236}">
              <a16:creationId xmlns="" xmlns:a16="http://schemas.microsoft.com/office/drawing/2014/main" id="{00000000-0008-0000-0800-000004000000}"/>
            </a:ext>
          </a:extLst>
        </xdr:cNvPr>
        <xdr:cNvSpPr/>
      </xdr:nvSpPr>
      <xdr:spPr>
        <a:xfrm>
          <a:off x="11256799"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 xmlns:a16="http://schemas.microsoft.com/office/drawing/2014/main"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 xmlns:a16="http://schemas.microsoft.com/office/drawing/2014/main"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 xmlns:a16="http://schemas.microsoft.com/office/drawing/2014/main"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 xmlns:a16="http://schemas.microsoft.com/office/drawing/2014/main"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 xmlns:a16="http://schemas.microsoft.com/office/drawing/2014/main"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 xmlns:a16="http://schemas.microsoft.com/office/drawing/2014/main"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15</xdr:col>
      <xdr:colOff>242471</xdr:colOff>
      <xdr:row>0</xdr:row>
      <xdr:rowOff>0</xdr:rowOff>
    </xdr:from>
    <xdr:to>
      <xdr:col>15</xdr:col>
      <xdr:colOff>1004471</xdr:colOff>
      <xdr:row>0</xdr:row>
      <xdr:rowOff>398318</xdr:rowOff>
    </xdr:to>
    <xdr:sp macro="" textlink="">
      <xdr:nvSpPr>
        <xdr:cNvPr id="3" name="Left Arrow 2">
          <a:hlinkClick xmlns:r="http://schemas.openxmlformats.org/officeDocument/2006/relationships" r:id="rId1"/>
          <a:extLst>
            <a:ext uri="{FF2B5EF4-FFF2-40B4-BE49-F238E27FC236}">
              <a16:creationId xmlns="" xmlns:a16="http://schemas.microsoft.com/office/drawing/2014/main" id="{00000000-0008-0000-0800-000004000000}"/>
            </a:ext>
          </a:extLst>
        </xdr:cNvPr>
        <xdr:cNvSpPr/>
      </xdr:nvSpPr>
      <xdr:spPr>
        <a:xfrm>
          <a:off x="9819426"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 xmlns:a16="http://schemas.microsoft.com/office/drawing/2014/main"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 xmlns:a16="http://schemas.microsoft.com/office/drawing/2014/main"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 xmlns:a16="http://schemas.microsoft.com/office/drawing/2014/main"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 xmlns:a16="http://schemas.microsoft.com/office/drawing/2014/main"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 xmlns:a16="http://schemas.microsoft.com/office/drawing/2014/main"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 xmlns:a16="http://schemas.microsoft.com/office/drawing/2014/main"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0</xdr:row>
      <xdr:rowOff>51954</xdr:rowOff>
    </xdr:from>
    <xdr:to>
      <xdr:col>0</xdr:col>
      <xdr:colOff>848591</xdr:colOff>
      <xdr:row>0</xdr:row>
      <xdr:rowOff>467590</xdr:rowOff>
    </xdr:to>
    <xdr:sp macro="" textlink="">
      <xdr:nvSpPr>
        <xdr:cNvPr id="10" name="Left Arrow 9">
          <a:hlinkClick xmlns:r="http://schemas.openxmlformats.org/officeDocument/2006/relationships" r:id="rId1"/>
          <a:extLst>
            <a:ext uri="{FF2B5EF4-FFF2-40B4-BE49-F238E27FC236}">
              <a16:creationId xmlns="" xmlns:a16="http://schemas.microsoft.com/office/drawing/2014/main" id="{00000000-0008-0000-0400-000002000000}"/>
            </a:ext>
          </a:extLst>
        </xdr:cNvPr>
        <xdr:cNvSpPr/>
      </xdr:nvSpPr>
      <xdr:spPr>
        <a:xfrm>
          <a:off x="0" y="51954"/>
          <a:ext cx="848591" cy="415636"/>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 xmlns:a16="http://schemas.microsoft.com/office/drawing/2014/main"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 xmlns:a16="http://schemas.microsoft.com/office/drawing/2014/main"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 xmlns:a16="http://schemas.microsoft.com/office/drawing/2014/main"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 xmlns:a16="http://schemas.microsoft.com/office/drawing/2014/main"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 xmlns:a16="http://schemas.microsoft.com/office/drawing/2014/main"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5.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8</xdr:col>
      <xdr:colOff>39024</xdr:colOff>
      <xdr:row>52</xdr:row>
      <xdr:rowOff>25612</xdr:rowOff>
    </xdr:from>
    <xdr:to>
      <xdr:col>12</xdr:col>
      <xdr:colOff>855453</xdr:colOff>
      <xdr:row>70</xdr:row>
      <xdr:rowOff>96854</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7480528" y="12042322"/>
          <a:ext cx="3826813" cy="4612822"/>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xdr:from>
      <xdr:col>1</xdr:col>
      <xdr:colOff>171450</xdr:colOff>
      <xdr:row>12</xdr:row>
      <xdr:rowOff>38100</xdr:rowOff>
    </xdr:from>
    <xdr:to>
      <xdr:col>4</xdr:col>
      <xdr:colOff>45863</xdr:colOff>
      <xdr:row>14</xdr:row>
      <xdr:rowOff>150158</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1200150" y="3305175"/>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 xmlns:a16="http://schemas.microsoft.com/office/drawing/2014/main"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435303</xdr:colOff>
      <xdr:row>0</xdr:row>
      <xdr:rowOff>352424</xdr:rowOff>
    </xdr:from>
    <xdr:to>
      <xdr:col>3</xdr:col>
      <xdr:colOff>363681</xdr:colOff>
      <xdr:row>1</xdr:row>
      <xdr:rowOff>477435</xdr:rowOff>
    </xdr:to>
    <xdr:pic>
      <xdr:nvPicPr>
        <xdr:cNvPr id="2" name="Picture 1"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816303" y="352424"/>
          <a:ext cx="794287" cy="488693"/>
        </a:xfrm>
        <a:prstGeom prst="rect">
          <a:avLst/>
        </a:prstGeom>
        <a:noFill/>
        <a:ln w="9525">
          <a:noFill/>
          <a:miter lim="800000"/>
          <a:headEnd/>
          <a:tailEnd/>
        </a:ln>
      </xdr:spPr>
    </xdr:pic>
    <xdr:clientData/>
  </xdr:twoCellAnchor>
  <xdr:twoCellAnchor editAs="oneCell">
    <xdr:from>
      <xdr:col>1</xdr:col>
      <xdr:colOff>195696</xdr:colOff>
      <xdr:row>34</xdr:row>
      <xdr:rowOff>318655</xdr:rowOff>
    </xdr:from>
    <xdr:to>
      <xdr:col>3</xdr:col>
      <xdr:colOff>277091</xdr:colOff>
      <xdr:row>35</xdr:row>
      <xdr:rowOff>373857</xdr:rowOff>
    </xdr:to>
    <xdr:pic>
      <xdr:nvPicPr>
        <xdr:cNvPr id="3" name="Picture 1" descr="clip_image002.jpg">
          <a:extLst>
            <a:ext uri="{FF2B5EF4-FFF2-40B4-BE49-F238E27FC236}">
              <a16:creationId xmlns="" xmlns:a16="http://schemas.microsoft.com/office/drawing/2014/main"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6696" y="22918882"/>
          <a:ext cx="947304" cy="59206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22</xdr:row>
      <xdr:rowOff>0</xdr:rowOff>
    </xdr:from>
    <xdr:to>
      <xdr:col>36</xdr:col>
      <xdr:colOff>692726</xdr:colOff>
      <xdr:row>22</xdr:row>
      <xdr:rowOff>596364</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40</xdr:row>
      <xdr:rowOff>0</xdr:rowOff>
    </xdr:from>
    <xdr:to>
      <xdr:col>36</xdr:col>
      <xdr:colOff>692726</xdr:colOff>
      <xdr:row>40</xdr:row>
      <xdr:rowOff>596364</xdr:rowOff>
    </xdr:to>
    <xdr:sp macro="" textlink="">
      <xdr:nvSpPr>
        <xdr:cNvPr id="6" name="Left Arrow 5">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57</xdr:row>
      <xdr:rowOff>0</xdr:rowOff>
    </xdr:from>
    <xdr:to>
      <xdr:col>36</xdr:col>
      <xdr:colOff>692726</xdr:colOff>
      <xdr:row>57</xdr:row>
      <xdr:rowOff>596364</xdr:rowOff>
    </xdr:to>
    <xdr:sp macro="" textlink="">
      <xdr:nvSpPr>
        <xdr:cNvPr id="7" name="Left Arrow 6">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6"/>
          <a:extLst>
            <a:ext uri="{FF2B5EF4-FFF2-40B4-BE49-F238E27FC236}">
              <a16:creationId xmlns="" xmlns:a16="http://schemas.microsoft.com/office/drawing/2014/main"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643122</xdr:colOff>
      <xdr:row>0</xdr:row>
      <xdr:rowOff>283151</xdr:rowOff>
    </xdr:from>
    <xdr:to>
      <xdr:col>3</xdr:col>
      <xdr:colOff>190499</xdr:colOff>
      <xdr:row>1</xdr:row>
      <xdr:rowOff>344230</xdr:rowOff>
    </xdr:to>
    <xdr:pic>
      <xdr:nvPicPr>
        <xdr:cNvPr id="2" name="Picture 1"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937531" y="283151"/>
          <a:ext cx="690377" cy="424761"/>
        </a:xfrm>
        <a:prstGeom prst="rect">
          <a:avLst/>
        </a:prstGeom>
        <a:noFill/>
        <a:ln w="9525">
          <a:noFill/>
          <a:miter lim="800000"/>
          <a:headEnd/>
          <a:tailEnd/>
        </a:ln>
      </xdr:spPr>
    </xdr:pic>
    <xdr:clientData/>
  </xdr:twoCellAnchor>
  <xdr:twoCellAnchor editAs="oneCell">
    <xdr:from>
      <xdr:col>1</xdr:col>
      <xdr:colOff>680604</xdr:colOff>
      <xdr:row>42</xdr:row>
      <xdr:rowOff>353291</xdr:rowOff>
    </xdr:from>
    <xdr:to>
      <xdr:col>3</xdr:col>
      <xdr:colOff>225136</xdr:colOff>
      <xdr:row>43</xdr:row>
      <xdr:rowOff>246136</xdr:rowOff>
    </xdr:to>
    <xdr:pic>
      <xdr:nvPicPr>
        <xdr:cNvPr id="3" name="Picture 1" descr="clip_image002.jpg">
          <a:extLst>
            <a:ext uri="{FF2B5EF4-FFF2-40B4-BE49-F238E27FC236}">
              <a16:creationId xmlns="" xmlns:a16="http://schemas.microsoft.com/office/drawing/2014/main"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975013" y="23195973"/>
          <a:ext cx="687532" cy="429708"/>
        </a:xfrm>
        <a:prstGeom prst="rect">
          <a:avLst/>
        </a:prstGeom>
        <a:noFill/>
        <a:ln w="9525">
          <a:noFill/>
          <a:miter lim="800000"/>
          <a:headEnd/>
          <a:tailEnd/>
        </a:ln>
      </xdr:spPr>
    </xdr:pic>
    <xdr:clientData/>
  </xdr:twoCellAnchor>
  <xdr:twoCellAnchor>
    <xdr:from>
      <xdr:col>33</xdr:col>
      <xdr:colOff>415637</xdr:colOff>
      <xdr:row>1</xdr:row>
      <xdr:rowOff>452738</xdr:rowOff>
    </xdr:from>
    <xdr:to>
      <xdr:col>36</xdr:col>
      <xdr:colOff>415636</xdr:colOff>
      <xdr:row>2</xdr:row>
      <xdr:rowOff>391011</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700-000004000000}"/>
            </a:ext>
          </a:extLst>
        </xdr:cNvPr>
        <xdr:cNvSpPr/>
      </xdr:nvSpPr>
      <xdr:spPr>
        <a:xfrm>
          <a:off x="16209819" y="816420"/>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25</xdr:row>
      <xdr:rowOff>0</xdr:rowOff>
    </xdr:from>
    <xdr:to>
      <xdr:col>36</xdr:col>
      <xdr:colOff>692726</xdr:colOff>
      <xdr:row>25</xdr:row>
      <xdr:rowOff>596364</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700-000004000000}"/>
            </a:ext>
          </a:extLst>
        </xdr:cNvPr>
        <xdr:cNvSpPr/>
      </xdr:nvSpPr>
      <xdr:spPr>
        <a:xfrm>
          <a:off x="16440150"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48</xdr:row>
      <xdr:rowOff>0</xdr:rowOff>
    </xdr:from>
    <xdr:to>
      <xdr:col>36</xdr:col>
      <xdr:colOff>692726</xdr:colOff>
      <xdr:row>48</xdr:row>
      <xdr:rowOff>596364</xdr:rowOff>
    </xdr:to>
    <xdr:sp macro="" textlink="">
      <xdr:nvSpPr>
        <xdr:cNvPr id="6" name="Left Arrow 5">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6440150"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36</xdr:col>
      <xdr:colOff>692726</xdr:colOff>
      <xdr:row>68</xdr:row>
      <xdr:rowOff>596364</xdr:rowOff>
    </xdr:to>
    <xdr:sp macro="" textlink="">
      <xdr:nvSpPr>
        <xdr:cNvPr id="7" name="Left Arrow 6">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6440150"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80</xdr:row>
      <xdr:rowOff>0</xdr:rowOff>
    </xdr:from>
    <xdr:to>
      <xdr:col>36</xdr:col>
      <xdr:colOff>692726</xdr:colOff>
      <xdr:row>80</xdr:row>
      <xdr:rowOff>596364</xdr:rowOff>
    </xdr:to>
    <xdr:sp macro="" textlink="">
      <xdr:nvSpPr>
        <xdr:cNvPr id="8" name="Left Arrow 7">
          <a:hlinkClick xmlns:r="http://schemas.openxmlformats.org/officeDocument/2006/relationships" r:id="rId6"/>
          <a:extLst>
            <a:ext uri="{FF2B5EF4-FFF2-40B4-BE49-F238E27FC236}">
              <a16:creationId xmlns="" xmlns:a16="http://schemas.microsoft.com/office/drawing/2014/main" id="{00000000-0008-0000-0700-000004000000}"/>
            </a:ext>
          </a:extLst>
        </xdr:cNvPr>
        <xdr:cNvSpPr/>
      </xdr:nvSpPr>
      <xdr:spPr>
        <a:xfrm>
          <a:off x="16440150" y="4340542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 xmlns:a16="http://schemas.microsoft.com/office/drawing/2014/main" id="{00000000-0008-0000-0700-000004000000}"/>
            </a:ext>
          </a:extLst>
        </xdr:cNvPr>
        <xdr:cNvSpPr/>
      </xdr:nvSpPr>
      <xdr:spPr>
        <a:xfrm>
          <a:off x="16440150"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279440</xdr:colOff>
      <xdr:row>0</xdr:row>
      <xdr:rowOff>265834</xdr:rowOff>
    </xdr:from>
    <xdr:to>
      <xdr:col>3</xdr:col>
      <xdr:colOff>259772</xdr:colOff>
      <xdr:row>1</xdr:row>
      <xdr:rowOff>422810</xdr:rowOff>
    </xdr:to>
    <xdr:pic>
      <xdr:nvPicPr>
        <xdr:cNvPr id="2" name="Picture 1" descr="clip_image002.jpg">
          <a:extLst>
            <a:ext uri="{FF2B5EF4-FFF2-40B4-BE49-F238E27FC236}">
              <a16:creationId xmlns="" xmlns:a16="http://schemas.microsoft.com/office/drawing/2014/main"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660440" y="265834"/>
          <a:ext cx="846241" cy="520658"/>
        </a:xfrm>
        <a:prstGeom prst="rect">
          <a:avLst/>
        </a:prstGeom>
        <a:noFill/>
        <a:ln w="9525">
          <a:noFill/>
          <a:miter lim="800000"/>
          <a:headEnd/>
          <a:tailEnd/>
        </a:ln>
      </xdr:spPr>
    </xdr:pic>
    <xdr:clientData/>
  </xdr:twoCellAnchor>
  <xdr:twoCellAnchor editAs="oneCell">
    <xdr:from>
      <xdr:col>1</xdr:col>
      <xdr:colOff>264967</xdr:colOff>
      <xdr:row>42</xdr:row>
      <xdr:rowOff>249382</xdr:rowOff>
    </xdr:from>
    <xdr:to>
      <xdr:col>3</xdr:col>
      <xdr:colOff>155863</xdr:colOff>
      <xdr:row>43</xdr:row>
      <xdr:rowOff>185522</xdr:rowOff>
    </xdr:to>
    <xdr:pic>
      <xdr:nvPicPr>
        <xdr:cNvPr id="3" name="Picture 1" descr="clip_image002.jpg">
          <a:extLst>
            <a:ext uri="{FF2B5EF4-FFF2-40B4-BE49-F238E27FC236}">
              <a16:creationId xmlns="" xmlns:a16="http://schemas.microsoft.com/office/drawing/2014/main"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645967" y="23126700"/>
          <a:ext cx="756805" cy="473003"/>
        </a:xfrm>
        <a:prstGeom prst="rect">
          <a:avLst/>
        </a:prstGeom>
        <a:noFill/>
        <a:ln w="9525">
          <a:noFill/>
          <a:miter lim="800000"/>
          <a:headEnd/>
          <a:tailEnd/>
        </a:ln>
      </xdr:spPr>
    </xdr:pic>
    <xdr:clientData/>
  </xdr:twoCellAnchor>
  <xdr:twoCellAnchor>
    <xdr:from>
      <xdr:col>33</xdr:col>
      <xdr:colOff>415637</xdr:colOff>
      <xdr:row>1</xdr:row>
      <xdr:rowOff>123696</xdr:rowOff>
    </xdr:from>
    <xdr:to>
      <xdr:col>36</xdr:col>
      <xdr:colOff>415636</xdr:colOff>
      <xdr:row>2</xdr:row>
      <xdr:rowOff>61969</xdr:rowOff>
    </xdr:to>
    <xdr:sp macro="" textlink="">
      <xdr:nvSpPr>
        <xdr:cNvPr id="4" name="Left Arrow 3">
          <a:hlinkClick xmlns:r="http://schemas.openxmlformats.org/officeDocument/2006/relationships" r:id="rId2"/>
          <a:extLst>
            <a:ext uri="{FF2B5EF4-FFF2-40B4-BE49-F238E27FC236}">
              <a16:creationId xmlns="" xmlns:a16="http://schemas.microsoft.com/office/drawing/2014/main" id="{00000000-0008-0000-0700-000004000000}"/>
            </a:ext>
          </a:extLst>
        </xdr:cNvPr>
        <xdr:cNvSpPr/>
      </xdr:nvSpPr>
      <xdr:spPr>
        <a:xfrm>
          <a:off x="16209819" y="487378"/>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25</xdr:row>
      <xdr:rowOff>0</xdr:rowOff>
    </xdr:from>
    <xdr:to>
      <xdr:col>36</xdr:col>
      <xdr:colOff>692726</xdr:colOff>
      <xdr:row>25</xdr:row>
      <xdr:rowOff>596364</xdr:rowOff>
    </xdr:to>
    <xdr:sp macro="" textlink="">
      <xdr:nvSpPr>
        <xdr:cNvPr id="5" name="Left Arrow 4">
          <a:hlinkClick xmlns:r="http://schemas.openxmlformats.org/officeDocument/2006/relationships" r:id="rId3"/>
          <a:extLst>
            <a:ext uri="{FF2B5EF4-FFF2-40B4-BE49-F238E27FC236}">
              <a16:creationId xmlns="" xmlns:a16="http://schemas.microsoft.com/office/drawing/2014/main"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48</xdr:row>
      <xdr:rowOff>0</xdr:rowOff>
    </xdr:from>
    <xdr:to>
      <xdr:col>36</xdr:col>
      <xdr:colOff>692726</xdr:colOff>
      <xdr:row>48</xdr:row>
      <xdr:rowOff>596364</xdr:rowOff>
    </xdr:to>
    <xdr:sp macro="" textlink="">
      <xdr:nvSpPr>
        <xdr:cNvPr id="6" name="Left Arrow 5">
          <a:hlinkClick xmlns:r="http://schemas.openxmlformats.org/officeDocument/2006/relationships" r:id="rId4"/>
          <a:extLst>
            <a:ext uri="{FF2B5EF4-FFF2-40B4-BE49-F238E27FC236}">
              <a16:creationId xmlns="" xmlns:a16="http://schemas.microsoft.com/office/drawing/2014/main"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36</xdr:col>
      <xdr:colOff>692726</xdr:colOff>
      <xdr:row>68</xdr:row>
      <xdr:rowOff>596364</xdr:rowOff>
    </xdr:to>
    <xdr:sp macro="" textlink="">
      <xdr:nvSpPr>
        <xdr:cNvPr id="7" name="Left Arrow 6">
          <a:hlinkClick xmlns:r="http://schemas.openxmlformats.org/officeDocument/2006/relationships" r:id="rId5"/>
          <a:extLst>
            <a:ext uri="{FF2B5EF4-FFF2-40B4-BE49-F238E27FC236}">
              <a16:creationId xmlns="" xmlns:a16="http://schemas.microsoft.com/office/drawing/2014/main"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80</xdr:row>
      <xdr:rowOff>0</xdr:rowOff>
    </xdr:from>
    <xdr:to>
      <xdr:col>36</xdr:col>
      <xdr:colOff>692726</xdr:colOff>
      <xdr:row>80</xdr:row>
      <xdr:rowOff>596364</xdr:rowOff>
    </xdr:to>
    <xdr:sp macro="" textlink="">
      <xdr:nvSpPr>
        <xdr:cNvPr id="8" name="Left Arrow 7">
          <a:hlinkClick xmlns:r="http://schemas.openxmlformats.org/officeDocument/2006/relationships" r:id="rId6"/>
          <a:extLst>
            <a:ext uri="{FF2B5EF4-FFF2-40B4-BE49-F238E27FC236}">
              <a16:creationId xmlns="" xmlns:a16="http://schemas.microsoft.com/office/drawing/2014/main" id="{00000000-0008-0000-0700-000004000000}"/>
            </a:ext>
          </a:extLst>
        </xdr:cNvPr>
        <xdr:cNvSpPr/>
      </xdr:nvSpPr>
      <xdr:spPr>
        <a:xfrm>
          <a:off x="16259175" y="4340542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 xmlns:a16="http://schemas.microsoft.com/office/drawing/2014/main"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3</xdr:col>
      <xdr:colOff>367408</xdr:colOff>
      <xdr:row>0</xdr:row>
      <xdr:rowOff>163286</xdr:rowOff>
    </xdr:from>
    <xdr:to>
      <xdr:col>3</xdr:col>
      <xdr:colOff>1455964</xdr:colOff>
      <xdr:row>1</xdr:row>
      <xdr:rowOff>285750</xdr:rowOff>
    </xdr:to>
    <xdr:sp macro="" textlink="">
      <xdr:nvSpPr>
        <xdr:cNvPr id="7" name="Left Arrow 6">
          <a:hlinkClick xmlns:r="http://schemas.openxmlformats.org/officeDocument/2006/relationships" r:id="rId1"/>
          <a:extLst>
            <a:ext uri="{FF2B5EF4-FFF2-40B4-BE49-F238E27FC236}">
              <a16:creationId xmlns="" xmlns:a16="http://schemas.microsoft.com/office/drawing/2014/main" id="{00000000-0008-0000-0400-000002000000}"/>
            </a:ext>
          </a:extLst>
        </xdr:cNvPr>
        <xdr:cNvSpPr/>
      </xdr:nvSpPr>
      <xdr:spPr>
        <a:xfrm>
          <a:off x="12083158" y="163286"/>
          <a:ext cx="1088556" cy="612321"/>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XLBM-2023030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7)-HOA%20NGHIEM-2023111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T TAP CHAT"/>
      <sheetName val="MENU"/>
      <sheetName val="1"/>
      <sheetName val="2"/>
      <sheetName val="3"/>
      <sheetName val="4"/>
      <sheetName val="5"/>
      <sheetName val="6"/>
      <sheetName val="7"/>
      <sheetName val="8"/>
      <sheetName val="XM.HN"/>
      <sheetName val="XM.FILE GOC"/>
      <sheetName val="1. XL-1E kh"/>
      <sheetName val="2. XL-1F kh"/>
      <sheetName val="3.XT-C kh"/>
      <sheetName val="4.ZN-NI kh"/>
      <sheetName val="1. XL-1E TT"/>
      <sheetName val="1. XL-1E TT(CA2)"/>
      <sheetName val="2. XL-1F TT "/>
      <sheetName val="2. XL-1F TT(CA2)"/>
      <sheetName val="3.XT-C TT"/>
      <sheetName val="3.XT-C TT(CA2)"/>
      <sheetName val="4.ZN-NI tt(CA1)"/>
      <sheetName val="4.ZN-NI tt(CA2)"/>
      <sheetName val="4.ZN-NI tt"/>
      <sheetName val="XM.GUI MAIL"/>
      <sheetName val="XM.chart"/>
      <sheetName val="XM.chart 1"/>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
          <cell r="A6" t="str">
            <v>1E-XB1</v>
          </cell>
          <cell r="B6" t="str">
            <v>XL-001E</v>
          </cell>
          <cell r="C6" t="str">
            <v xml:space="preserve">Xà bông (1)脫脂 </v>
          </cell>
          <cell r="D6" t="str">
            <v>g/L</v>
          </cell>
          <cell r="E6" t="str">
            <v>25~35</v>
          </cell>
          <cell r="F6" t="str">
            <v>(30±2)</v>
          </cell>
          <cell r="G6">
            <v>30</v>
          </cell>
          <cell r="H6">
            <v>0</v>
          </cell>
          <cell r="I6">
            <v>0</v>
          </cell>
          <cell r="J6">
            <v>80.790000000000006</v>
          </cell>
          <cell r="K6" t="str">
            <v>+</v>
          </cell>
          <cell r="L6">
            <v>0</v>
          </cell>
          <cell r="M6" t="str">
            <v>kg</v>
          </cell>
          <cell r="N6">
            <v>0</v>
          </cell>
          <cell r="O6">
            <v>0</v>
          </cell>
          <cell r="P6">
            <v>80.790000000000006</v>
          </cell>
          <cell r="Q6" t="str">
            <v>+</v>
          </cell>
          <cell r="R6">
            <v>0</v>
          </cell>
          <cell r="S6" t="str">
            <v>kg</v>
          </cell>
          <cell r="T6">
            <v>0</v>
          </cell>
          <cell r="U6">
            <v>0</v>
          </cell>
          <cell r="V6">
            <v>80.790000000000006</v>
          </cell>
          <cell r="W6" t="str">
            <v>+</v>
          </cell>
          <cell r="X6">
            <v>0</v>
          </cell>
          <cell r="Y6" t="str">
            <v>kg</v>
          </cell>
          <cell r="Z6">
            <v>0</v>
          </cell>
          <cell r="AA6">
            <v>0</v>
          </cell>
          <cell r="AB6">
            <v>80.790000000000006</v>
          </cell>
          <cell r="AC6" t="str">
            <v>+</v>
          </cell>
          <cell r="AD6">
            <v>0</v>
          </cell>
          <cell r="AE6" t="str">
            <v>kg</v>
          </cell>
          <cell r="AF6">
            <v>0</v>
          </cell>
          <cell r="AG6">
            <v>0</v>
          </cell>
          <cell r="AH6">
            <v>80.790000000000006</v>
          </cell>
          <cell r="AI6" t="str">
            <v>+</v>
          </cell>
          <cell r="AJ6">
            <v>0</v>
          </cell>
          <cell r="AK6" t="str">
            <v>kg</v>
          </cell>
          <cell r="AL6">
            <v>0</v>
          </cell>
          <cell r="AM6">
            <v>0</v>
          </cell>
          <cell r="AN6">
            <v>80.790000000000006</v>
          </cell>
          <cell r="AO6" t="str">
            <v>+</v>
          </cell>
          <cell r="AP6">
            <v>0</v>
          </cell>
          <cell r="AQ6" t="str">
            <v>kg</v>
          </cell>
        </row>
        <row r="7">
          <cell r="A7" t="str">
            <v>1E-XB2</v>
          </cell>
          <cell r="B7" t="str">
            <v>XL-001E</v>
          </cell>
          <cell r="C7" t="str">
            <v xml:space="preserve">Xà bông (2)脫脂 </v>
          </cell>
          <cell r="D7" t="str">
            <v>g/L</v>
          </cell>
          <cell r="E7" t="str">
            <v>25~35</v>
          </cell>
          <cell r="F7" t="str">
            <v>(30±2)</v>
          </cell>
          <cell r="G7">
            <v>30</v>
          </cell>
          <cell r="H7">
            <v>0</v>
          </cell>
          <cell r="I7">
            <v>0</v>
          </cell>
          <cell r="J7">
            <v>99.15</v>
          </cell>
          <cell r="K7" t="str">
            <v>+</v>
          </cell>
          <cell r="L7">
            <v>0</v>
          </cell>
          <cell r="M7" t="str">
            <v>kg</v>
          </cell>
          <cell r="N7">
            <v>0</v>
          </cell>
          <cell r="O7">
            <v>0</v>
          </cell>
          <cell r="P7">
            <v>99.15</v>
          </cell>
          <cell r="Q7" t="str">
            <v>+</v>
          </cell>
          <cell r="R7">
            <v>0</v>
          </cell>
          <cell r="S7" t="str">
            <v>kg</v>
          </cell>
          <cell r="T7">
            <v>0</v>
          </cell>
          <cell r="U7">
            <v>0</v>
          </cell>
          <cell r="V7">
            <v>99.15</v>
          </cell>
          <cell r="W7" t="str">
            <v>+</v>
          </cell>
          <cell r="X7">
            <v>0</v>
          </cell>
          <cell r="Y7" t="str">
            <v>kg</v>
          </cell>
          <cell r="Z7">
            <v>0</v>
          </cell>
          <cell r="AA7">
            <v>0</v>
          </cell>
          <cell r="AB7">
            <v>99.15</v>
          </cell>
          <cell r="AC7" t="str">
            <v>+</v>
          </cell>
          <cell r="AD7">
            <v>0</v>
          </cell>
          <cell r="AE7" t="str">
            <v>kg</v>
          </cell>
          <cell r="AF7">
            <v>0</v>
          </cell>
          <cell r="AG7">
            <v>0</v>
          </cell>
          <cell r="AH7">
            <v>99.15</v>
          </cell>
          <cell r="AI7" t="str">
            <v>+</v>
          </cell>
          <cell r="AJ7">
            <v>0</v>
          </cell>
          <cell r="AK7" t="str">
            <v>kg</v>
          </cell>
          <cell r="AL7">
            <v>0</v>
          </cell>
          <cell r="AM7">
            <v>0</v>
          </cell>
          <cell r="AN7">
            <v>99.15</v>
          </cell>
          <cell r="AO7" t="str">
            <v>+</v>
          </cell>
          <cell r="AP7">
            <v>0</v>
          </cell>
          <cell r="AQ7" t="str">
            <v>kg</v>
          </cell>
        </row>
        <row r="8">
          <cell r="A8" t="str">
            <v>1E-DG1</v>
          </cell>
          <cell r="B8" t="str">
            <v>XL-001E</v>
          </cell>
          <cell r="C8" t="str">
            <v xml:space="preserve">điện giải(1)+電解  </v>
          </cell>
          <cell r="D8" t="str">
            <v>g/L</v>
          </cell>
          <cell r="E8" t="str">
            <v>60~80</v>
          </cell>
          <cell r="F8" t="str">
            <v>(70±10)</v>
          </cell>
          <cell r="G8">
            <v>70</v>
          </cell>
          <cell r="H8">
            <v>0</v>
          </cell>
          <cell r="I8">
            <v>0</v>
          </cell>
          <cell r="J8">
            <v>80.92</v>
          </cell>
          <cell r="K8" t="str">
            <v>+</v>
          </cell>
          <cell r="L8">
            <v>0</v>
          </cell>
          <cell r="M8" t="str">
            <v>kg</v>
          </cell>
          <cell r="N8">
            <v>0</v>
          </cell>
          <cell r="O8">
            <v>0</v>
          </cell>
          <cell r="P8">
            <v>80.92</v>
          </cell>
          <cell r="Q8" t="str">
            <v>+</v>
          </cell>
          <cell r="R8">
            <v>0</v>
          </cell>
          <cell r="S8" t="str">
            <v>kg</v>
          </cell>
          <cell r="T8">
            <v>0</v>
          </cell>
          <cell r="U8">
            <v>0</v>
          </cell>
          <cell r="V8">
            <v>80.92</v>
          </cell>
          <cell r="W8" t="str">
            <v>+</v>
          </cell>
          <cell r="X8">
            <v>0</v>
          </cell>
          <cell r="Y8" t="str">
            <v>kg</v>
          </cell>
          <cell r="Z8">
            <v>0</v>
          </cell>
          <cell r="AA8">
            <v>0</v>
          </cell>
          <cell r="AB8">
            <v>80.92</v>
          </cell>
          <cell r="AC8" t="str">
            <v>+</v>
          </cell>
          <cell r="AD8">
            <v>0</v>
          </cell>
          <cell r="AE8" t="str">
            <v>kg</v>
          </cell>
          <cell r="AF8">
            <v>0</v>
          </cell>
          <cell r="AG8">
            <v>0</v>
          </cell>
          <cell r="AH8">
            <v>80.92</v>
          </cell>
          <cell r="AI8" t="str">
            <v>+</v>
          </cell>
          <cell r="AJ8">
            <v>0</v>
          </cell>
          <cell r="AK8" t="str">
            <v>kg</v>
          </cell>
          <cell r="AL8">
            <v>0</v>
          </cell>
          <cell r="AM8">
            <v>0</v>
          </cell>
          <cell r="AN8">
            <v>80.92</v>
          </cell>
          <cell r="AO8" t="str">
            <v>+</v>
          </cell>
          <cell r="AP8">
            <v>0</v>
          </cell>
          <cell r="AQ8" t="str">
            <v>kg</v>
          </cell>
        </row>
        <row r="9">
          <cell r="A9" t="str">
            <v>1E-DG2</v>
          </cell>
          <cell r="B9" t="str">
            <v>XL-001E</v>
          </cell>
          <cell r="C9" t="str">
            <v xml:space="preserve">điện giải (2)+電解  </v>
          </cell>
          <cell r="D9" t="str">
            <v>g/L</v>
          </cell>
          <cell r="E9" t="str">
            <v>60~80</v>
          </cell>
          <cell r="F9" t="str">
            <v>(70±10)</v>
          </cell>
          <cell r="G9">
            <v>70</v>
          </cell>
          <cell r="H9">
            <v>0</v>
          </cell>
          <cell r="I9">
            <v>0</v>
          </cell>
          <cell r="J9">
            <v>102.13</v>
          </cell>
          <cell r="K9" t="str">
            <v>+</v>
          </cell>
          <cell r="L9">
            <v>0</v>
          </cell>
          <cell r="M9" t="str">
            <v>kg</v>
          </cell>
          <cell r="N9">
            <v>0</v>
          </cell>
          <cell r="O9">
            <v>0</v>
          </cell>
          <cell r="P9">
            <v>102.13</v>
          </cell>
          <cell r="Q9" t="str">
            <v>+</v>
          </cell>
          <cell r="R9">
            <v>0</v>
          </cell>
          <cell r="S9" t="str">
            <v>kg</v>
          </cell>
          <cell r="T9">
            <v>0</v>
          </cell>
          <cell r="U9">
            <v>0</v>
          </cell>
          <cell r="V9">
            <v>102.13</v>
          </cell>
          <cell r="W9" t="str">
            <v>+</v>
          </cell>
          <cell r="X9">
            <v>0</v>
          </cell>
          <cell r="Y9" t="str">
            <v>kg</v>
          </cell>
          <cell r="Z9">
            <v>0</v>
          </cell>
          <cell r="AA9">
            <v>0</v>
          </cell>
          <cell r="AB9">
            <v>102.13</v>
          </cell>
          <cell r="AC9" t="str">
            <v>+</v>
          </cell>
          <cell r="AD9">
            <v>0</v>
          </cell>
          <cell r="AE9" t="str">
            <v>kg</v>
          </cell>
          <cell r="AF9">
            <v>0</v>
          </cell>
          <cell r="AG9">
            <v>0</v>
          </cell>
          <cell r="AH9">
            <v>102.13</v>
          </cell>
          <cell r="AI9" t="str">
            <v>+</v>
          </cell>
          <cell r="AJ9">
            <v>0</v>
          </cell>
          <cell r="AK9" t="str">
            <v>kg</v>
          </cell>
          <cell r="AL9">
            <v>0</v>
          </cell>
          <cell r="AM9">
            <v>0</v>
          </cell>
          <cell r="AN9">
            <v>102.13</v>
          </cell>
          <cell r="AO9" t="str">
            <v>+</v>
          </cell>
          <cell r="AP9">
            <v>0</v>
          </cell>
          <cell r="AQ9" t="str">
            <v>kg</v>
          </cell>
        </row>
        <row r="10">
          <cell r="A10" t="str">
            <v>1E-NAOH</v>
          </cell>
          <cell r="B10" t="str">
            <v>XL-001E</v>
          </cell>
          <cell r="C10" t="str">
            <v>Nồng độ    NaOH
氫氧化鈉</v>
          </cell>
          <cell r="D10" t="str">
            <v>g/L</v>
          </cell>
          <cell r="E10" t="str">
            <v>130 - 150</v>
          </cell>
          <cell r="F10" t="str">
            <v>(140±5L)</v>
          </cell>
          <cell r="G10">
            <v>140</v>
          </cell>
          <cell r="H10">
            <v>0</v>
          </cell>
          <cell r="I10">
            <v>0</v>
          </cell>
          <cell r="J10">
            <v>2793.14</v>
          </cell>
          <cell r="K10" t="str">
            <v>+</v>
          </cell>
          <cell r="L10">
            <v>0</v>
          </cell>
          <cell r="M10" t="str">
            <v>kg</v>
          </cell>
          <cell r="N10">
            <v>0</v>
          </cell>
          <cell r="O10">
            <v>0</v>
          </cell>
          <cell r="P10">
            <v>2793.14</v>
          </cell>
          <cell r="Q10" t="str">
            <v>+</v>
          </cell>
          <cell r="R10">
            <v>0</v>
          </cell>
          <cell r="S10" t="str">
            <v>kg</v>
          </cell>
          <cell r="T10">
            <v>0</v>
          </cell>
          <cell r="U10">
            <v>0</v>
          </cell>
          <cell r="V10">
            <v>2793.14</v>
          </cell>
          <cell r="W10" t="str">
            <v>+</v>
          </cell>
          <cell r="X10">
            <v>0</v>
          </cell>
          <cell r="Y10" t="str">
            <v>kg</v>
          </cell>
          <cell r="Z10">
            <v>0</v>
          </cell>
          <cell r="AA10">
            <v>0</v>
          </cell>
          <cell r="AB10">
            <v>2793.14</v>
          </cell>
          <cell r="AC10" t="str">
            <v>+</v>
          </cell>
          <cell r="AD10">
            <v>0</v>
          </cell>
          <cell r="AE10" t="str">
            <v>kg</v>
          </cell>
          <cell r="AF10">
            <v>0</v>
          </cell>
          <cell r="AG10">
            <v>0</v>
          </cell>
          <cell r="AH10">
            <v>2793.14</v>
          </cell>
          <cell r="AI10" t="str">
            <v>+</v>
          </cell>
          <cell r="AJ10">
            <v>0</v>
          </cell>
          <cell r="AK10" t="str">
            <v>kg</v>
          </cell>
          <cell r="AL10">
            <v>0</v>
          </cell>
          <cell r="AM10">
            <v>0</v>
          </cell>
          <cell r="AN10">
            <v>2793.14</v>
          </cell>
          <cell r="AO10" t="str">
            <v>+</v>
          </cell>
          <cell r="AP10">
            <v>0</v>
          </cell>
          <cell r="AQ10" t="str">
            <v>kg</v>
          </cell>
        </row>
        <row r="11">
          <cell r="A11" t="str">
            <v>1E-ZN</v>
          </cell>
          <cell r="B11" t="str">
            <v>XL-001E</v>
          </cell>
          <cell r="C11" t="str">
            <v>Nồng độ Zn  鋅
(1 pcs Zn=25kg)</v>
          </cell>
          <cell r="D11" t="str">
            <v>g/L</v>
          </cell>
          <cell r="E11" t="str">
            <v>7~12</v>
          </cell>
          <cell r="F11" t="str">
            <v>(9g±1)</v>
          </cell>
          <cell r="G11">
            <v>9</v>
          </cell>
          <cell r="H11">
            <v>0</v>
          </cell>
          <cell r="I11">
            <v>0</v>
          </cell>
          <cell r="J11">
            <v>179.559</v>
          </cell>
          <cell r="K11" t="str">
            <v>+</v>
          </cell>
          <cell r="L11">
            <v>0</v>
          </cell>
          <cell r="M11" t="str">
            <v>kg</v>
          </cell>
          <cell r="N11">
            <v>0</v>
          </cell>
          <cell r="O11">
            <v>0</v>
          </cell>
          <cell r="P11">
            <v>179.559</v>
          </cell>
          <cell r="Q11" t="str">
            <v>+</v>
          </cell>
          <cell r="R11">
            <v>0</v>
          </cell>
          <cell r="S11" t="str">
            <v>kg</v>
          </cell>
          <cell r="T11">
            <v>0</v>
          </cell>
          <cell r="U11">
            <v>0</v>
          </cell>
          <cell r="V11">
            <v>179.559</v>
          </cell>
          <cell r="W11" t="str">
            <v>+</v>
          </cell>
          <cell r="X11">
            <v>0</v>
          </cell>
          <cell r="Y11" t="str">
            <v>kg</v>
          </cell>
          <cell r="Z11">
            <v>0</v>
          </cell>
          <cell r="AA11">
            <v>0</v>
          </cell>
          <cell r="AB11">
            <v>179.559</v>
          </cell>
          <cell r="AC11" t="str">
            <v>+</v>
          </cell>
          <cell r="AD11">
            <v>0</v>
          </cell>
          <cell r="AE11" t="str">
            <v>kg</v>
          </cell>
          <cell r="AF11">
            <v>0</v>
          </cell>
          <cell r="AG11">
            <v>0</v>
          </cell>
          <cell r="AH11">
            <v>179.559</v>
          </cell>
          <cell r="AI11" t="str">
            <v>+</v>
          </cell>
          <cell r="AJ11">
            <v>0</v>
          </cell>
          <cell r="AK11" t="str">
            <v>kg</v>
          </cell>
          <cell r="AL11">
            <v>0</v>
          </cell>
          <cell r="AM11">
            <v>0</v>
          </cell>
          <cell r="AN11">
            <v>179.559</v>
          </cell>
          <cell r="AO11" t="str">
            <v>+</v>
          </cell>
          <cell r="AP11">
            <v>0</v>
          </cell>
          <cell r="AQ11" t="str">
            <v>kg</v>
          </cell>
        </row>
        <row r="12">
          <cell r="A12" t="str">
            <v>1E-CR3I</v>
          </cell>
          <cell r="B12" t="str">
            <v>XL-001E</v>
          </cell>
          <cell r="C12" t="str">
            <v>Nồng độ Cr2O3
三價鉻</v>
          </cell>
          <cell r="D12" t="str">
            <v>%</v>
          </cell>
          <cell r="E12" t="str">
            <v xml:space="preserve">12~18 </v>
          </cell>
          <cell r="F12" t="str">
            <v>(14±2)</v>
          </cell>
          <cell r="G12">
            <v>14</v>
          </cell>
          <cell r="H12">
            <v>0</v>
          </cell>
          <cell r="I12">
            <v>0</v>
          </cell>
          <cell r="J12">
            <v>80.5</v>
          </cell>
          <cell r="K12" t="str">
            <v>+</v>
          </cell>
          <cell r="L12">
            <v>0</v>
          </cell>
          <cell r="M12" t="str">
            <v>L</v>
          </cell>
          <cell r="N12">
            <v>0</v>
          </cell>
          <cell r="O12">
            <v>0</v>
          </cell>
          <cell r="P12">
            <v>80.5</v>
          </cell>
          <cell r="Q12" t="str">
            <v>+</v>
          </cell>
          <cell r="R12">
            <v>0</v>
          </cell>
          <cell r="S12" t="str">
            <v>L</v>
          </cell>
          <cell r="T12">
            <v>0</v>
          </cell>
          <cell r="U12">
            <v>0</v>
          </cell>
          <cell r="V12">
            <v>80.5</v>
          </cell>
          <cell r="W12" t="str">
            <v>+</v>
          </cell>
          <cell r="X12">
            <v>0</v>
          </cell>
          <cell r="Y12" t="str">
            <v>L</v>
          </cell>
          <cell r="Z12">
            <v>0</v>
          </cell>
          <cell r="AA12">
            <v>0</v>
          </cell>
          <cell r="AB12">
            <v>80.5</v>
          </cell>
          <cell r="AC12" t="str">
            <v>+</v>
          </cell>
          <cell r="AD12">
            <v>0</v>
          </cell>
          <cell r="AE12" t="str">
            <v>L</v>
          </cell>
          <cell r="AF12">
            <v>0</v>
          </cell>
          <cell r="AG12">
            <v>0</v>
          </cell>
          <cell r="AH12">
            <v>80.5</v>
          </cell>
          <cell r="AI12" t="str">
            <v>+</v>
          </cell>
          <cell r="AJ12">
            <v>0</v>
          </cell>
          <cell r="AK12" t="str">
            <v>L</v>
          </cell>
          <cell r="AL12">
            <v>0</v>
          </cell>
          <cell r="AM12">
            <v>0</v>
          </cell>
          <cell r="AN12">
            <v>80.5</v>
          </cell>
          <cell r="AO12" t="str">
            <v>+</v>
          </cell>
          <cell r="AP12">
            <v>0</v>
          </cell>
          <cell r="AQ12" t="str">
            <v>L</v>
          </cell>
        </row>
        <row r="13">
          <cell r="A13" t="str">
            <v>1E-CR3IPH</v>
          </cell>
          <cell r="B13" t="str">
            <v>XL-001E</v>
          </cell>
          <cell r="C13" t="str">
            <v>PH</v>
          </cell>
          <cell r="D13" t="str">
            <v>pH</v>
          </cell>
          <cell r="E13" t="str">
            <v>1.6~2.2</v>
          </cell>
          <cell r="F13" t="str">
            <v>(1.8±0.1 )</v>
          </cell>
          <cell r="I13">
            <v>0</v>
          </cell>
          <cell r="O13">
            <v>0</v>
          </cell>
          <cell r="U13">
            <v>0</v>
          </cell>
          <cell r="AA13">
            <v>0</v>
          </cell>
          <cell r="AG13">
            <v>0</v>
          </cell>
          <cell r="AM13">
            <v>0</v>
          </cell>
        </row>
        <row r="14">
          <cell r="A14" t="str">
            <v>1E-HCL1</v>
          </cell>
          <cell r="B14" t="str">
            <v>XL-001E</v>
          </cell>
          <cell r="C14" t="str">
            <v>Nồng độ acid đặc
鹽酸 濃度</v>
          </cell>
          <cell r="D14" t="str">
            <v>%V/V</v>
          </cell>
          <cell r="E14" t="str">
            <v>30~60</v>
          </cell>
          <cell r="F14" t="str">
            <v>(45±5)</v>
          </cell>
          <cell r="G14">
            <v>0.45</v>
          </cell>
          <cell r="H14">
            <v>0</v>
          </cell>
          <cell r="I14">
            <v>0</v>
          </cell>
          <cell r="J14">
            <v>954.9</v>
          </cell>
          <cell r="K14" t="str">
            <v>+</v>
          </cell>
          <cell r="L14">
            <v>0</v>
          </cell>
          <cell r="M14" t="str">
            <v>L</v>
          </cell>
          <cell r="N14">
            <v>0</v>
          </cell>
          <cell r="O14">
            <v>0</v>
          </cell>
          <cell r="P14">
            <v>954.9</v>
          </cell>
          <cell r="Q14" t="str">
            <v>+</v>
          </cell>
          <cell r="R14">
            <v>0</v>
          </cell>
          <cell r="S14" t="str">
            <v>L</v>
          </cell>
          <cell r="T14">
            <v>0</v>
          </cell>
          <cell r="U14">
            <v>0</v>
          </cell>
          <cell r="V14">
            <v>954.9</v>
          </cell>
          <cell r="W14" t="str">
            <v>+</v>
          </cell>
          <cell r="X14">
            <v>0</v>
          </cell>
          <cell r="Y14" t="str">
            <v>L</v>
          </cell>
          <cell r="Z14">
            <v>0</v>
          </cell>
          <cell r="AA14">
            <v>0</v>
          </cell>
          <cell r="AB14">
            <v>954.9</v>
          </cell>
          <cell r="AC14" t="str">
            <v>+</v>
          </cell>
          <cell r="AD14">
            <v>0</v>
          </cell>
          <cell r="AE14" t="str">
            <v>L</v>
          </cell>
          <cell r="AF14">
            <v>0</v>
          </cell>
          <cell r="AG14">
            <v>0</v>
          </cell>
          <cell r="AH14">
            <v>954.9</v>
          </cell>
          <cell r="AI14" t="str">
            <v>+</v>
          </cell>
          <cell r="AJ14">
            <v>0</v>
          </cell>
          <cell r="AK14" t="str">
            <v>L</v>
          </cell>
          <cell r="AL14">
            <v>0</v>
          </cell>
          <cell r="AM14">
            <v>0</v>
          </cell>
          <cell r="AN14">
            <v>954.9</v>
          </cell>
          <cell r="AO14" t="str">
            <v>+</v>
          </cell>
          <cell r="AP14">
            <v>0</v>
          </cell>
          <cell r="AQ14" t="str">
            <v>L</v>
          </cell>
        </row>
        <row r="15">
          <cell r="A15" t="str">
            <v>1E-HCL2</v>
          </cell>
          <cell r="B15" t="str">
            <v>XL-001E</v>
          </cell>
          <cell r="C15" t="str">
            <v>Nồng độ acid loãng
稀酸 濃度</v>
          </cell>
          <cell r="D15" t="str">
            <v>%V/V</v>
          </cell>
          <cell r="E15" t="str">
            <v>15~30</v>
          </cell>
          <cell r="F15" t="str">
            <v>(22±5)</v>
          </cell>
          <cell r="G15">
            <v>0.22</v>
          </cell>
          <cell r="H15">
            <v>0</v>
          </cell>
          <cell r="I15">
            <v>0</v>
          </cell>
          <cell r="J15">
            <v>134.64000000000001</v>
          </cell>
          <cell r="K15" t="str">
            <v>+</v>
          </cell>
          <cell r="L15">
            <v>0</v>
          </cell>
          <cell r="M15" t="str">
            <v>L</v>
          </cell>
          <cell r="N15">
            <v>0</v>
          </cell>
          <cell r="O15">
            <v>0</v>
          </cell>
          <cell r="P15">
            <v>134.64000000000001</v>
          </cell>
          <cell r="Q15" t="str">
            <v>+</v>
          </cell>
          <cell r="R15">
            <v>0</v>
          </cell>
          <cell r="S15" t="str">
            <v>L</v>
          </cell>
          <cell r="T15">
            <v>0</v>
          </cell>
          <cell r="U15">
            <v>0</v>
          </cell>
          <cell r="V15">
            <v>134.64000000000001</v>
          </cell>
          <cell r="W15" t="str">
            <v>+</v>
          </cell>
          <cell r="X15">
            <v>0</v>
          </cell>
          <cell r="Y15" t="str">
            <v>L</v>
          </cell>
          <cell r="Z15">
            <v>0</v>
          </cell>
          <cell r="AA15">
            <v>0</v>
          </cell>
          <cell r="AB15">
            <v>134.64000000000001</v>
          </cell>
          <cell r="AC15" t="str">
            <v>+</v>
          </cell>
          <cell r="AD15">
            <v>0</v>
          </cell>
          <cell r="AE15" t="str">
            <v>L</v>
          </cell>
          <cell r="AF15">
            <v>0</v>
          </cell>
          <cell r="AG15">
            <v>0</v>
          </cell>
          <cell r="AH15">
            <v>134.64000000000001</v>
          </cell>
          <cell r="AI15" t="str">
            <v>+</v>
          </cell>
          <cell r="AJ15">
            <v>0</v>
          </cell>
          <cell r="AK15" t="str">
            <v>L</v>
          </cell>
          <cell r="AL15">
            <v>0</v>
          </cell>
          <cell r="AM15">
            <v>0</v>
          </cell>
          <cell r="AN15">
            <v>134.64000000000001</v>
          </cell>
          <cell r="AO15" t="str">
            <v>+</v>
          </cell>
          <cell r="AP15">
            <v>0</v>
          </cell>
          <cell r="AQ15" t="str">
            <v>L</v>
          </cell>
        </row>
        <row r="16">
          <cell r="A16" t="str">
            <v>1E-HCL3</v>
          </cell>
          <cell r="B16" t="str">
            <v>XL-001E</v>
          </cell>
          <cell r="C16" t="str">
            <v>Nồng độ HCl hoạt hóa
稀酸活化 濃度</v>
          </cell>
          <cell r="D16" t="str">
            <v>%V/V</v>
          </cell>
          <cell r="E16" t="str">
            <v>5~15</v>
          </cell>
          <cell r="F16" t="str">
            <v>(10±3)</v>
          </cell>
          <cell r="G16">
            <v>0.1</v>
          </cell>
          <cell r="H16">
            <v>0</v>
          </cell>
          <cell r="I16">
            <v>0</v>
          </cell>
          <cell r="J16">
            <v>57.5</v>
          </cell>
          <cell r="K16" t="str">
            <v>+</v>
          </cell>
          <cell r="L16">
            <v>0</v>
          </cell>
          <cell r="M16" t="str">
            <v>L</v>
          </cell>
          <cell r="N16">
            <v>0</v>
          </cell>
          <cell r="O16">
            <v>0</v>
          </cell>
          <cell r="P16">
            <v>57.5</v>
          </cell>
          <cell r="Q16" t="str">
            <v>+</v>
          </cell>
          <cell r="R16">
            <v>0</v>
          </cell>
          <cell r="S16" t="str">
            <v>L</v>
          </cell>
          <cell r="T16">
            <v>0</v>
          </cell>
          <cell r="U16">
            <v>0</v>
          </cell>
          <cell r="V16">
            <v>57.5</v>
          </cell>
          <cell r="W16" t="str">
            <v>+</v>
          </cell>
          <cell r="X16">
            <v>0</v>
          </cell>
          <cell r="Y16" t="str">
            <v>L</v>
          </cell>
          <cell r="Z16">
            <v>0</v>
          </cell>
          <cell r="AA16">
            <v>0</v>
          </cell>
          <cell r="AB16">
            <v>57.5</v>
          </cell>
          <cell r="AC16" t="str">
            <v>+</v>
          </cell>
          <cell r="AD16">
            <v>0</v>
          </cell>
          <cell r="AE16" t="str">
            <v>L</v>
          </cell>
          <cell r="AF16">
            <v>0</v>
          </cell>
          <cell r="AG16">
            <v>0</v>
          </cell>
          <cell r="AH16">
            <v>57.5</v>
          </cell>
          <cell r="AI16" t="str">
            <v>+</v>
          </cell>
          <cell r="AJ16">
            <v>0</v>
          </cell>
          <cell r="AK16" t="str">
            <v>L</v>
          </cell>
          <cell r="AL16">
            <v>0</v>
          </cell>
          <cell r="AM16">
            <v>0</v>
          </cell>
          <cell r="AN16">
            <v>57.5</v>
          </cell>
          <cell r="AO16" t="str">
            <v>+</v>
          </cell>
          <cell r="AP16">
            <v>0</v>
          </cell>
          <cell r="AQ16" t="str">
            <v>L</v>
          </cell>
        </row>
        <row r="17">
          <cell r="A17" t="str">
            <v>1E-HNO3</v>
          </cell>
          <cell r="B17" t="str">
            <v>XL-001E</v>
          </cell>
          <cell r="C17" t="str">
            <v>Nồng độ  HNO3
硝酸濃度</v>
          </cell>
          <cell r="D17" t="str">
            <v>%</v>
          </cell>
          <cell r="E17" t="str">
            <v>0.5~1.5</v>
          </cell>
          <cell r="F17" t="str">
            <v>(1±0.4)</v>
          </cell>
          <cell r="G17">
            <v>0.01</v>
          </cell>
          <cell r="H17">
            <v>0</v>
          </cell>
          <cell r="I17">
            <v>0</v>
          </cell>
          <cell r="J17">
            <v>8.1538461538461533</v>
          </cell>
          <cell r="K17" t="str">
            <v>+</v>
          </cell>
          <cell r="L17">
            <v>0</v>
          </cell>
          <cell r="M17" t="str">
            <v>L</v>
          </cell>
          <cell r="N17">
            <v>0</v>
          </cell>
          <cell r="O17">
            <v>0</v>
          </cell>
          <cell r="P17">
            <v>8.1538461538461533</v>
          </cell>
          <cell r="Q17" t="str">
            <v>+</v>
          </cell>
          <cell r="R17">
            <v>0</v>
          </cell>
          <cell r="S17" t="str">
            <v>L</v>
          </cell>
          <cell r="T17">
            <v>0</v>
          </cell>
          <cell r="U17">
            <v>0</v>
          </cell>
          <cell r="V17">
            <v>8.1538461538461533</v>
          </cell>
          <cell r="W17" t="str">
            <v>+</v>
          </cell>
          <cell r="X17">
            <v>0</v>
          </cell>
          <cell r="Y17" t="str">
            <v>L</v>
          </cell>
          <cell r="Z17">
            <v>0</v>
          </cell>
          <cell r="AA17">
            <v>0</v>
          </cell>
          <cell r="AB17">
            <v>8.1538461538461533</v>
          </cell>
          <cell r="AC17" t="str">
            <v>+</v>
          </cell>
          <cell r="AD17">
            <v>0</v>
          </cell>
          <cell r="AE17" t="str">
            <v>L</v>
          </cell>
          <cell r="AF17">
            <v>0</v>
          </cell>
          <cell r="AG17">
            <v>0</v>
          </cell>
          <cell r="AH17">
            <v>8.1538461538461533</v>
          </cell>
          <cell r="AI17" t="str">
            <v>+</v>
          </cell>
          <cell r="AJ17">
            <v>0</v>
          </cell>
          <cell r="AK17" t="str">
            <v>L</v>
          </cell>
          <cell r="AL17">
            <v>0</v>
          </cell>
          <cell r="AM17">
            <v>0</v>
          </cell>
          <cell r="AN17">
            <v>8.1538461538461533</v>
          </cell>
          <cell r="AO17" t="str">
            <v>+</v>
          </cell>
          <cell r="AP17">
            <v>0</v>
          </cell>
          <cell r="AQ17" t="str">
            <v>L</v>
          </cell>
        </row>
        <row r="18">
          <cell r="A18" t="str">
            <v>1E-CR3K</v>
          </cell>
          <cell r="B18" t="str">
            <v>XL-001E</v>
          </cell>
          <cell r="C18" t="str">
            <v>Nồng độ   Cr2O3 （K)</v>
          </cell>
          <cell r="D18" t="str">
            <v>%</v>
          </cell>
          <cell r="E18" t="str">
            <v>5~10</v>
          </cell>
          <cell r="F18" t="str">
            <v>(7.5±1)</v>
          </cell>
          <cell r="G18">
            <v>7.5</v>
          </cell>
          <cell r="H18">
            <v>0</v>
          </cell>
          <cell r="I18" t="str">
            <v/>
          </cell>
          <cell r="J18" t="e">
            <v>#VALUE!</v>
          </cell>
          <cell r="K18" t="str">
            <v>+</v>
          </cell>
          <cell r="L18" t="str">
            <v/>
          </cell>
          <cell r="M18" t="str">
            <v>L</v>
          </cell>
          <cell r="N18">
            <v>0</v>
          </cell>
          <cell r="O18" t="str">
            <v/>
          </cell>
          <cell r="P18" t="e">
            <v>#VALUE!</v>
          </cell>
          <cell r="Q18" t="str">
            <v>+</v>
          </cell>
          <cell r="R18" t="str">
            <v/>
          </cell>
          <cell r="S18" t="str">
            <v>L</v>
          </cell>
          <cell r="T18">
            <v>0</v>
          </cell>
          <cell r="U18" t="str">
            <v/>
          </cell>
          <cell r="V18" t="e">
            <v>#VALUE!</v>
          </cell>
          <cell r="W18" t="str">
            <v>+</v>
          </cell>
          <cell r="X18" t="str">
            <v/>
          </cell>
          <cell r="Y18" t="str">
            <v>L</v>
          </cell>
          <cell r="Z18">
            <v>0</v>
          </cell>
          <cell r="AA18" t="str">
            <v/>
          </cell>
          <cell r="AB18" t="e">
            <v>#VALUE!</v>
          </cell>
          <cell r="AC18" t="str">
            <v>+</v>
          </cell>
          <cell r="AD18" t="str">
            <v/>
          </cell>
          <cell r="AE18" t="str">
            <v>L</v>
          </cell>
          <cell r="AF18">
            <v>0</v>
          </cell>
          <cell r="AG18" t="str">
            <v/>
          </cell>
          <cell r="AH18" t="e">
            <v>#VALUE!</v>
          </cell>
          <cell r="AI18" t="str">
            <v>+</v>
          </cell>
          <cell r="AJ18" t="str">
            <v/>
          </cell>
          <cell r="AK18" t="str">
            <v>L</v>
          </cell>
          <cell r="AL18">
            <v>0</v>
          </cell>
          <cell r="AM18" t="str">
            <v/>
          </cell>
          <cell r="AN18" t="e">
            <v>#VALUE!</v>
          </cell>
          <cell r="AO18" t="str">
            <v>+</v>
          </cell>
          <cell r="AP18" t="str">
            <v/>
          </cell>
          <cell r="AQ18" t="str">
            <v>L</v>
          </cell>
        </row>
        <row r="19">
          <cell r="A19" t="str">
            <v>1E-CR3KPH</v>
          </cell>
          <cell r="B19" t="str">
            <v>XL-001E</v>
          </cell>
          <cell r="C19" t="str">
            <v>PH</v>
          </cell>
          <cell r="D19" t="str">
            <v>pH</v>
          </cell>
          <cell r="E19" t="str">
            <v>1.6~2.0</v>
          </cell>
          <cell r="F19" t="str">
            <v>(1.8±0.1)</v>
          </cell>
          <cell r="I19">
            <v>0</v>
          </cell>
          <cell r="O19">
            <v>0</v>
          </cell>
          <cell r="U19">
            <v>0</v>
          </cell>
          <cell r="AA19">
            <v>0</v>
          </cell>
          <cell r="AG19">
            <v>0</v>
          </cell>
          <cell r="AM19">
            <v>0</v>
          </cell>
        </row>
        <row r="20">
          <cell r="A20" t="str">
            <v>Hạng mục kiểm tra nhiệt độ 檢查溫度</v>
          </cell>
        </row>
        <row r="21">
          <cell r="A21" t="str">
            <v>MÃ</v>
          </cell>
          <cell r="B21" t="str">
            <v>MÃ MÁY</v>
          </cell>
          <cell r="C21" t="str">
            <v>Hạng mục kiểm tra nhiệt độ
溫度檢查項目</v>
          </cell>
          <cell r="D21" t="str">
            <v>nhiệt độ
溫度</v>
          </cell>
          <cell r="E21" t="str">
            <v>Phạm vi kiểm soát
範圍值</v>
          </cell>
          <cell r="F21" t="str">
            <v>Giới hạn kiểm soát
管控值</v>
          </cell>
          <cell r="I21" t="str">
            <v>Nhiệt kế 
温度計</v>
          </cell>
          <cell r="L21" t="str">
            <v>Nhiệt tự động
自動温控</v>
          </cell>
          <cell r="O21" t="str">
            <v>Nhiệt kế 
温度計</v>
          </cell>
          <cell r="R21" t="str">
            <v>Nhiệt tự động
自動温控</v>
          </cell>
          <cell r="U21" t="str">
            <v>Nhiệt kế 
温度計</v>
          </cell>
          <cell r="X21" t="str">
            <v>Nhiệt tự động
自動温控</v>
          </cell>
          <cell r="AA21" t="str">
            <v>Nhiệt kế 
温度計</v>
          </cell>
          <cell r="AD21" t="str">
            <v>Nhiệt tự động
自動温控</v>
          </cell>
          <cell r="AG21" t="str">
            <v>Nhiệt kế 
温度計</v>
          </cell>
          <cell r="AJ21" t="str">
            <v>Nhiệt tự động
自動温控</v>
          </cell>
          <cell r="AM21" t="str">
            <v>Nhiệt kế 
温度計</v>
          </cell>
          <cell r="AP21" t="str">
            <v>Nhiệt tự động
自動温控</v>
          </cell>
        </row>
        <row r="22">
          <cell r="A22" t="str">
            <v>1E-TEMXB1</v>
          </cell>
          <cell r="B22" t="str">
            <v>XL-001E</v>
          </cell>
          <cell r="C22" t="str">
            <v>Nhiệt  độ xà bông nóng (1)
 熱脫脂溫度(1)</v>
          </cell>
          <cell r="D22" t="str">
            <v>0C</v>
          </cell>
          <cell r="E22" t="str">
            <v>65~75</v>
          </cell>
          <cell r="F22" t="str">
            <v>(70±3)</v>
          </cell>
          <cell r="I22">
            <v>0</v>
          </cell>
          <cell r="L22">
            <v>0</v>
          </cell>
          <cell r="O22">
            <v>0</v>
          </cell>
          <cell r="R22">
            <v>0</v>
          </cell>
          <cell r="U22">
            <v>0</v>
          </cell>
          <cell r="X22">
            <v>0</v>
          </cell>
          <cell r="AA22">
            <v>0</v>
          </cell>
          <cell r="AD22">
            <v>0</v>
          </cell>
          <cell r="AG22">
            <v>0</v>
          </cell>
          <cell r="AJ22">
            <v>0</v>
          </cell>
          <cell r="AM22">
            <v>0</v>
          </cell>
          <cell r="AP22">
            <v>0</v>
          </cell>
        </row>
        <row r="23">
          <cell r="A23" t="str">
            <v>1E-TEMXB2</v>
          </cell>
          <cell r="B23" t="str">
            <v>XL-001E</v>
          </cell>
          <cell r="C23" t="str">
            <v>Nhiệt  độ xà bông nóng (2)
 熱脫脂溫度(2)</v>
          </cell>
          <cell r="D23" t="str">
            <v>0C</v>
          </cell>
          <cell r="E23" t="str">
            <v>65~75</v>
          </cell>
          <cell r="F23" t="str">
            <v>(70±3)</v>
          </cell>
          <cell r="I23">
            <v>0</v>
          </cell>
          <cell r="L23">
            <v>0</v>
          </cell>
          <cell r="O23">
            <v>0</v>
          </cell>
          <cell r="R23">
            <v>0</v>
          </cell>
          <cell r="U23">
            <v>0</v>
          </cell>
          <cell r="X23">
            <v>0</v>
          </cell>
          <cell r="AA23">
            <v>0</v>
          </cell>
          <cell r="AD23">
            <v>0</v>
          </cell>
          <cell r="AG23">
            <v>0</v>
          </cell>
          <cell r="AJ23">
            <v>0</v>
          </cell>
          <cell r="AM23">
            <v>0</v>
          </cell>
          <cell r="AP23">
            <v>0</v>
          </cell>
        </row>
        <row r="24">
          <cell r="A24" t="str">
            <v>1E-TEMDG1</v>
          </cell>
          <cell r="B24" t="str">
            <v>XL-001E</v>
          </cell>
          <cell r="C24" t="str">
            <v>Nhiệt độ điện giải (1) 
電解1 溫度</v>
          </cell>
          <cell r="D24" t="str">
            <v>0C</v>
          </cell>
          <cell r="E24" t="str">
            <v>50~60</v>
          </cell>
          <cell r="F24" t="str">
            <v>(55±3)</v>
          </cell>
          <cell r="I24">
            <v>0</v>
          </cell>
          <cell r="L24">
            <v>0</v>
          </cell>
          <cell r="O24">
            <v>0</v>
          </cell>
          <cell r="R24">
            <v>0</v>
          </cell>
          <cell r="U24">
            <v>0</v>
          </cell>
          <cell r="X24">
            <v>0</v>
          </cell>
          <cell r="AA24">
            <v>0</v>
          </cell>
          <cell r="AD24">
            <v>0</v>
          </cell>
          <cell r="AG24">
            <v>0</v>
          </cell>
          <cell r="AJ24">
            <v>0</v>
          </cell>
          <cell r="AM24">
            <v>0</v>
          </cell>
          <cell r="AP24">
            <v>0</v>
          </cell>
        </row>
        <row r="25">
          <cell r="A25" t="str">
            <v>1E-TEMDG2</v>
          </cell>
          <cell r="B25" t="str">
            <v>XL-001E</v>
          </cell>
          <cell r="C25" t="str">
            <v>Nhiệt độ điện giải (2)
電解 2 溫度</v>
          </cell>
          <cell r="D25" t="str">
            <v>0C</v>
          </cell>
          <cell r="E25" t="str">
            <v>50~60</v>
          </cell>
          <cell r="F25" t="str">
            <v>(55±3)</v>
          </cell>
          <cell r="I25">
            <v>0</v>
          </cell>
          <cell r="L25">
            <v>0</v>
          </cell>
          <cell r="O25">
            <v>0</v>
          </cell>
          <cell r="R25">
            <v>0</v>
          </cell>
          <cell r="U25">
            <v>0</v>
          </cell>
          <cell r="X25">
            <v>0</v>
          </cell>
          <cell r="AA25">
            <v>0</v>
          </cell>
          <cell r="AD25">
            <v>0</v>
          </cell>
          <cell r="AG25">
            <v>0</v>
          </cell>
          <cell r="AJ25">
            <v>0</v>
          </cell>
          <cell r="AM25">
            <v>0</v>
          </cell>
          <cell r="AP25">
            <v>0</v>
          </cell>
        </row>
        <row r="26">
          <cell r="A26" t="str">
            <v>1E-TEMBX</v>
          </cell>
          <cell r="B26" t="str">
            <v>XL-001E</v>
          </cell>
          <cell r="C26" t="str">
            <v>Nhiệt độ bồn xi
鍍鋅槽溫度</v>
          </cell>
          <cell r="D26" t="str">
            <v>0C</v>
          </cell>
          <cell r="E26" t="str">
            <v>20~30</v>
          </cell>
          <cell r="F26" t="str">
            <v>(25±3)</v>
          </cell>
          <cell r="I26">
            <v>0</v>
          </cell>
          <cell r="L26">
            <v>0</v>
          </cell>
          <cell r="O26">
            <v>0</v>
          </cell>
          <cell r="R26">
            <v>0</v>
          </cell>
          <cell r="U26">
            <v>0</v>
          </cell>
          <cell r="X26">
            <v>0</v>
          </cell>
          <cell r="AA26">
            <v>0</v>
          </cell>
          <cell r="AD26">
            <v>0</v>
          </cell>
          <cell r="AG26">
            <v>0</v>
          </cell>
          <cell r="AJ26">
            <v>0</v>
          </cell>
          <cell r="AM26">
            <v>0</v>
          </cell>
          <cell r="AP26">
            <v>0</v>
          </cell>
        </row>
        <row r="27">
          <cell r="A27" t="str">
            <v>1E-TEMCR3I</v>
          </cell>
          <cell r="B27" t="str">
            <v>XL-001E</v>
          </cell>
          <cell r="C27" t="str">
            <v>Nhiệt độ bồn màu Cr2O3
三價鉻 溫度</v>
          </cell>
          <cell r="D27" t="str">
            <v>0C</v>
          </cell>
          <cell r="E27" t="str">
            <v>35-45</v>
          </cell>
          <cell r="F27" t="str">
            <v>(40±3)</v>
          </cell>
          <cell r="I27">
            <v>0</v>
          </cell>
          <cell r="L27">
            <v>0</v>
          </cell>
          <cell r="O27">
            <v>0</v>
          </cell>
          <cell r="R27">
            <v>0</v>
          </cell>
          <cell r="U27">
            <v>0</v>
          </cell>
          <cell r="X27">
            <v>0</v>
          </cell>
          <cell r="AA27">
            <v>0</v>
          </cell>
          <cell r="AD27">
            <v>0</v>
          </cell>
          <cell r="AG27">
            <v>0</v>
          </cell>
          <cell r="AJ27">
            <v>0</v>
          </cell>
          <cell r="AM27">
            <v>0</v>
          </cell>
          <cell r="AP27">
            <v>0</v>
          </cell>
        </row>
        <row r="28">
          <cell r="A28" t="str">
            <v>1E-TEMH2O</v>
          </cell>
          <cell r="B28" t="str">
            <v>XL-001E</v>
          </cell>
          <cell r="C28" t="str">
            <v xml:space="preserve">Nhiệt độ bồn nước nóng
熱水溫度 </v>
          </cell>
          <cell r="D28" t="str">
            <v>0C</v>
          </cell>
          <cell r="E28" t="str">
            <v>55~65</v>
          </cell>
          <cell r="F28" t="str">
            <v>(60±3)</v>
          </cell>
          <cell r="I28">
            <v>0</v>
          </cell>
          <cell r="L28">
            <v>0</v>
          </cell>
          <cell r="O28">
            <v>0</v>
          </cell>
          <cell r="R28">
            <v>0</v>
          </cell>
          <cell r="U28">
            <v>0</v>
          </cell>
          <cell r="X28">
            <v>0</v>
          </cell>
          <cell r="AA28">
            <v>0</v>
          </cell>
          <cell r="AD28">
            <v>0</v>
          </cell>
          <cell r="AG28">
            <v>0</v>
          </cell>
          <cell r="AJ28">
            <v>0</v>
          </cell>
          <cell r="AM28">
            <v>0</v>
          </cell>
          <cell r="AP28">
            <v>0</v>
          </cell>
        </row>
        <row r="29">
          <cell r="A29" t="str">
            <v>1E-TEMSAY</v>
          </cell>
          <cell r="B29" t="str">
            <v>XL-001E</v>
          </cell>
          <cell r="C29" t="str">
            <v>Sấy khô
烘乾</v>
          </cell>
          <cell r="D29" t="str">
            <v>0C</v>
          </cell>
          <cell r="E29" t="str">
            <v>65~75</v>
          </cell>
          <cell r="F29" t="str">
            <v>(70±3)</v>
          </cell>
          <cell r="L29">
            <v>0</v>
          </cell>
          <cell r="R29">
            <v>0</v>
          </cell>
          <cell r="X29">
            <v>0</v>
          </cell>
          <cell r="AD29">
            <v>0</v>
          </cell>
          <cell r="AJ29">
            <v>0</v>
          </cell>
          <cell r="AP29">
            <v>0</v>
          </cell>
        </row>
        <row r="30">
          <cell r="A30" t="str">
            <v>Hạng mục kiểm tra bơm thuốc tự động
藥液自動添加</v>
          </cell>
        </row>
        <row r="31">
          <cell r="A31" t="str">
            <v>1E-MEM</v>
          </cell>
          <cell r="B31" t="str">
            <v>XL-001E</v>
          </cell>
          <cell r="C31" t="str">
            <v>chất mềm (merlin starer)
開缸劑</v>
          </cell>
          <cell r="D31" t="str">
            <v>ml/KAH</v>
          </cell>
          <cell r="E31" t="str">
            <v>300-360</v>
          </cell>
          <cell r="F31" t="str">
            <v>300-360</v>
          </cell>
          <cell r="I31">
            <v>0</v>
          </cell>
          <cell r="O31">
            <v>0</v>
          </cell>
          <cell r="U31">
            <v>0</v>
          </cell>
          <cell r="AA31">
            <v>0</v>
          </cell>
          <cell r="AG31">
            <v>0</v>
          </cell>
          <cell r="AM31">
            <v>0</v>
          </cell>
        </row>
        <row r="32">
          <cell r="A32" t="str">
            <v>1E-BONG</v>
          </cell>
          <cell r="B32" t="str">
            <v>XL-001E</v>
          </cell>
          <cell r="C32" t="str">
            <v>chaát boùng (merlin brightener)
光亮劑</v>
          </cell>
          <cell r="D32" t="str">
            <v>ml/KAH</v>
          </cell>
          <cell r="E32" t="str">
            <v>30-50</v>
          </cell>
          <cell r="F32" t="str">
            <v>30-50</v>
          </cell>
          <cell r="I32">
            <v>0</v>
          </cell>
          <cell r="O32">
            <v>0</v>
          </cell>
          <cell r="U32">
            <v>0</v>
          </cell>
          <cell r="AA32">
            <v>0</v>
          </cell>
          <cell r="AG32">
            <v>0</v>
          </cell>
          <cell r="AM32">
            <v>0</v>
          </cell>
        </row>
        <row r="34">
          <cell r="A34" t="str">
            <v xml:space="preserve">生產線別：無氰鹼滾電F線 (XL-001F)  </v>
          </cell>
          <cell r="G34" t="str">
            <v xml:space="preserve">          JASCO                         Kết quả kiểm tra 檢查結果</v>
          </cell>
          <cell r="AG34" t="str">
            <v xml:space="preserve">生產線別：無氰鹼滾電F線 (XL-001F)  </v>
          </cell>
        </row>
        <row r="35">
          <cell r="G35" t="str">
            <v>tiêu chuẩn khống chế để bổ sung</v>
          </cell>
          <cell r="I35" t="str">
            <v>6:15</v>
          </cell>
          <cell r="O35" t="str">
            <v>10:15</v>
          </cell>
          <cell r="U35" t="str">
            <v>14:15</v>
          </cell>
          <cell r="AA35" t="str">
            <v>18:15</v>
          </cell>
          <cell r="AG35" t="str">
            <v>22:15</v>
          </cell>
          <cell r="AM35" t="str">
            <v>02:15</v>
          </cell>
        </row>
        <row r="36">
          <cell r="A36" t="str">
            <v>MÃ</v>
          </cell>
          <cell r="B36" t="str">
            <v>MÃ MÁY</v>
          </cell>
          <cell r="C36" t="str">
            <v>Hạng mục kiểm tra nồng độ
化驗檢查項目</v>
          </cell>
          <cell r="D36" t="str">
            <v>Đơn vị
單位</v>
          </cell>
          <cell r="E36" t="str">
            <v>Phạm vi kiểm soát
範圍值</v>
          </cell>
          <cell r="F36" t="str">
            <v>Giới hạn kiểm soát
管控值</v>
          </cell>
          <cell r="I36" t="str">
            <v xml:space="preserve">濃度 </v>
          </cell>
          <cell r="J36" t="str">
            <v>補充 BS</v>
          </cell>
          <cell r="K36" t="str">
            <v>補充 BS</v>
          </cell>
          <cell r="O36" t="str">
            <v xml:space="preserve">濃度 </v>
          </cell>
          <cell r="P36" t="str">
            <v>補充 BS</v>
          </cell>
          <cell r="Q36" t="str">
            <v>補充 BS</v>
          </cell>
          <cell r="U36" t="str">
            <v xml:space="preserve">濃度 </v>
          </cell>
          <cell r="V36" t="str">
            <v>補充 BS</v>
          </cell>
          <cell r="W36" t="str">
            <v>補充 BS</v>
          </cell>
          <cell r="AA36" t="str">
            <v xml:space="preserve">濃度 </v>
          </cell>
          <cell r="AB36" t="str">
            <v>補充 BS</v>
          </cell>
          <cell r="AC36" t="str">
            <v>補充 BS</v>
          </cell>
          <cell r="AG36" t="str">
            <v xml:space="preserve">濃度 </v>
          </cell>
          <cell r="AH36" t="str">
            <v>補充 BS</v>
          </cell>
          <cell r="AI36" t="str">
            <v>補充 BS</v>
          </cell>
          <cell r="AM36" t="str">
            <v xml:space="preserve">濃度 </v>
          </cell>
          <cell r="AN36" t="str">
            <v>補充 BS</v>
          </cell>
          <cell r="AO36" t="str">
            <v>補充 BS</v>
          </cell>
        </row>
        <row r="37">
          <cell r="A37" t="str">
            <v>1F-XB1</v>
          </cell>
          <cell r="B37" t="str">
            <v>XL-001F</v>
          </cell>
          <cell r="C37" t="str">
            <v xml:space="preserve">Xà bông (1)脫脂 </v>
          </cell>
          <cell r="D37" t="str">
            <v>g/L</v>
          </cell>
          <cell r="E37" t="str">
            <v>60~80</v>
          </cell>
          <cell r="F37" t="str">
            <v>(70±5)</v>
          </cell>
          <cell r="G37">
            <v>70</v>
          </cell>
          <cell r="H37">
            <v>10.55</v>
          </cell>
          <cell r="I37">
            <v>68.469500000000011</v>
          </cell>
          <cell r="J37">
            <v>4.1216364999999717</v>
          </cell>
          <cell r="K37" t="str">
            <v>+</v>
          </cell>
          <cell r="L37">
            <v>4.1216364999999717</v>
          </cell>
          <cell r="M37" t="str">
            <v>kg</v>
          </cell>
          <cell r="N37">
            <v>10.3</v>
          </cell>
          <cell r="O37">
            <v>66.847000000000008</v>
          </cell>
          <cell r="P37">
            <v>8.4910289999999762</v>
          </cell>
          <cell r="Q37" t="str">
            <v>+</v>
          </cell>
          <cell r="R37">
            <v>8.4910289999999762</v>
          </cell>
          <cell r="S37" t="str">
            <v>kg</v>
          </cell>
          <cell r="T37">
            <v>10.5</v>
          </cell>
          <cell r="U37">
            <v>68.144999999999996</v>
          </cell>
          <cell r="V37">
            <v>4.9955150000000099</v>
          </cell>
          <cell r="W37" t="str">
            <v>+</v>
          </cell>
          <cell r="X37">
            <v>4.9955150000000099</v>
          </cell>
          <cell r="Y37" t="str">
            <v>kg</v>
          </cell>
          <cell r="Z37">
            <v>10.4</v>
          </cell>
          <cell r="AA37">
            <v>67.496000000000009</v>
          </cell>
          <cell r="AB37">
            <v>6.7432719999999744</v>
          </cell>
          <cell r="AC37" t="str">
            <v>+</v>
          </cell>
          <cell r="AD37">
            <v>6.7432719999999744</v>
          </cell>
          <cell r="AE37" t="str">
            <v>kg</v>
          </cell>
          <cell r="AF37">
            <v>0</v>
          </cell>
          <cell r="AG37">
            <v>0</v>
          </cell>
          <cell r="AH37">
            <v>188.51</v>
          </cell>
          <cell r="AI37" t="str">
            <v>+</v>
          </cell>
          <cell r="AJ37">
            <v>0</v>
          </cell>
          <cell r="AK37" t="str">
            <v>kg</v>
          </cell>
          <cell r="AL37">
            <v>10</v>
          </cell>
          <cell r="AM37">
            <v>64.900000000000006</v>
          </cell>
          <cell r="AN37">
            <v>13.734299999999985</v>
          </cell>
          <cell r="AO37" t="str">
            <v>+</v>
          </cell>
          <cell r="AP37">
            <v>13.734299999999985</v>
          </cell>
          <cell r="AQ37" t="str">
            <v>kg</v>
          </cell>
        </row>
        <row r="38">
          <cell r="A38" t="str">
            <v>1F-XB2</v>
          </cell>
          <cell r="B38" t="str">
            <v>XL-001F</v>
          </cell>
          <cell r="C38" t="str">
            <v xml:space="preserve">Xà bông (2)脫脂 </v>
          </cell>
          <cell r="D38" t="str">
            <v>g/L</v>
          </cell>
          <cell r="E38" t="str">
            <v>60~80</v>
          </cell>
          <cell r="F38" t="str">
            <v>(70±5)</v>
          </cell>
          <cell r="G38">
            <v>70</v>
          </cell>
          <cell r="H38">
            <v>12</v>
          </cell>
          <cell r="I38">
            <v>77.88</v>
          </cell>
          <cell r="J38">
            <v>-26.043399999999984</v>
          </cell>
          <cell r="K38" t="str">
            <v>+</v>
          </cell>
          <cell r="L38">
            <v>0</v>
          </cell>
          <cell r="M38" t="str">
            <v>kg</v>
          </cell>
          <cell r="N38">
            <v>12</v>
          </cell>
          <cell r="O38">
            <v>77.88</v>
          </cell>
          <cell r="P38">
            <v>-26.043399999999984</v>
          </cell>
          <cell r="Q38" t="str">
            <v>+</v>
          </cell>
          <cell r="R38">
            <v>0</v>
          </cell>
          <cell r="S38" t="str">
            <v>kg</v>
          </cell>
          <cell r="T38">
            <v>12</v>
          </cell>
          <cell r="U38">
            <v>77.88</v>
          </cell>
          <cell r="V38">
            <v>-26.043399999999984</v>
          </cell>
          <cell r="W38" t="str">
            <v>+</v>
          </cell>
          <cell r="X38">
            <v>0</v>
          </cell>
          <cell r="Y38" t="str">
            <v>kg</v>
          </cell>
          <cell r="Z38">
            <v>12.1</v>
          </cell>
          <cell r="AA38">
            <v>78.528999999999996</v>
          </cell>
          <cell r="AB38">
            <v>-28.188344999999988</v>
          </cell>
          <cell r="AC38" t="str">
            <v>+</v>
          </cell>
          <cell r="AD38">
            <v>0</v>
          </cell>
          <cell r="AE38" t="str">
            <v>kg</v>
          </cell>
          <cell r="AF38">
            <v>0</v>
          </cell>
          <cell r="AG38">
            <v>0</v>
          </cell>
          <cell r="AH38">
            <v>231.35</v>
          </cell>
          <cell r="AI38" t="str">
            <v>+</v>
          </cell>
          <cell r="AJ38">
            <v>0</v>
          </cell>
          <cell r="AK38" t="str">
            <v>kg</v>
          </cell>
          <cell r="AL38">
            <v>12.5</v>
          </cell>
          <cell r="AM38">
            <v>81.125</v>
          </cell>
          <cell r="AN38">
            <v>-36.768124999999998</v>
          </cell>
          <cell r="AO38" t="str">
            <v>+</v>
          </cell>
          <cell r="AP38">
            <v>0</v>
          </cell>
          <cell r="AQ38" t="str">
            <v>kg</v>
          </cell>
        </row>
        <row r="39">
          <cell r="A39" t="str">
            <v>1F-DG1</v>
          </cell>
          <cell r="B39" t="str">
            <v>XL-001F</v>
          </cell>
          <cell r="C39" t="str">
            <v xml:space="preserve">điện giải(1)+電解  </v>
          </cell>
          <cell r="D39" t="str">
            <v>g/L</v>
          </cell>
          <cell r="E39" t="str">
            <v>50~70</v>
          </cell>
          <cell r="F39" t="str">
            <v>(60±5)</v>
          </cell>
          <cell r="G39">
            <v>60</v>
          </cell>
          <cell r="H39">
            <v>15.3</v>
          </cell>
          <cell r="I39">
            <v>70.686000000000007</v>
          </cell>
          <cell r="J39">
            <v>-12.353016000000009</v>
          </cell>
          <cell r="K39" t="str">
            <v>+</v>
          </cell>
          <cell r="L39">
            <v>0</v>
          </cell>
          <cell r="M39" t="str">
            <v>kg</v>
          </cell>
          <cell r="N39">
            <v>15.5</v>
          </cell>
          <cell r="O39">
            <v>71.61</v>
          </cell>
          <cell r="P39">
            <v>-13.42116</v>
          </cell>
          <cell r="Q39" t="str">
            <v>+</v>
          </cell>
          <cell r="R39">
            <v>0</v>
          </cell>
          <cell r="S39" t="str">
            <v>kg</v>
          </cell>
          <cell r="T39">
            <v>15.3</v>
          </cell>
          <cell r="U39">
            <v>70.686000000000007</v>
          </cell>
          <cell r="V39">
            <v>-12.353016000000009</v>
          </cell>
          <cell r="W39" t="str">
            <v>+</v>
          </cell>
          <cell r="X39">
            <v>0</v>
          </cell>
          <cell r="Y39" t="str">
            <v>kg</v>
          </cell>
          <cell r="Z39">
            <v>14.6</v>
          </cell>
          <cell r="AA39">
            <v>67.451999999999998</v>
          </cell>
          <cell r="AB39">
            <v>-8.6145119999999995</v>
          </cell>
          <cell r="AC39" t="str">
            <v>+</v>
          </cell>
          <cell r="AD39">
            <v>0</v>
          </cell>
          <cell r="AE39" t="str">
            <v>kg</v>
          </cell>
          <cell r="AF39">
            <v>0</v>
          </cell>
          <cell r="AG39">
            <v>0</v>
          </cell>
          <cell r="AH39">
            <v>69.36</v>
          </cell>
          <cell r="AI39" t="str">
            <v>+</v>
          </cell>
          <cell r="AJ39">
            <v>0</v>
          </cell>
          <cell r="AK39" t="str">
            <v>kg</v>
          </cell>
          <cell r="AL39">
            <v>14.2</v>
          </cell>
          <cell r="AM39">
            <v>65.603999999999999</v>
          </cell>
          <cell r="AN39">
            <v>-6.4782239999999991</v>
          </cell>
          <cell r="AO39" t="str">
            <v>+</v>
          </cell>
          <cell r="AP39">
            <v>0</v>
          </cell>
          <cell r="AQ39" t="str">
            <v>kg</v>
          </cell>
        </row>
        <row r="40">
          <cell r="A40" t="str">
            <v>1F-DG2</v>
          </cell>
          <cell r="B40" t="str">
            <v>XL-001F</v>
          </cell>
          <cell r="C40" t="str">
            <v xml:space="preserve">điện giải (2)+電解  </v>
          </cell>
          <cell r="D40" t="str">
            <v>g/L</v>
          </cell>
          <cell r="E40" t="str">
            <v>50~70</v>
          </cell>
          <cell r="F40" t="str">
            <v>(60±5)</v>
          </cell>
          <cell r="G40">
            <v>60</v>
          </cell>
          <cell r="H40">
            <v>13.15</v>
          </cell>
          <cell r="I40">
            <v>60.753</v>
          </cell>
          <cell r="J40">
            <v>-1.0986270000000002</v>
          </cell>
          <cell r="K40" t="str">
            <v>+</v>
          </cell>
          <cell r="L40">
            <v>0</v>
          </cell>
          <cell r="M40" t="str">
            <v>kg</v>
          </cell>
          <cell r="N40">
            <v>13.45</v>
          </cell>
          <cell r="O40">
            <v>62.138999999999996</v>
          </cell>
          <cell r="P40">
            <v>-3.1208009999999939</v>
          </cell>
          <cell r="Q40" t="str">
            <v>+</v>
          </cell>
          <cell r="R40">
            <v>0</v>
          </cell>
          <cell r="S40" t="str">
            <v>kg</v>
          </cell>
          <cell r="T40">
            <v>13</v>
          </cell>
          <cell r="U40">
            <v>60.06</v>
          </cell>
          <cell r="V40">
            <v>-8.7540000000003323E-2</v>
          </cell>
          <cell r="W40" t="str">
            <v>+</v>
          </cell>
          <cell r="X40">
            <v>0</v>
          </cell>
          <cell r="Y40" t="str">
            <v>kg</v>
          </cell>
          <cell r="Z40">
            <v>12.2</v>
          </cell>
          <cell r="AA40">
            <v>56.363999999999997</v>
          </cell>
          <cell r="AB40">
            <v>5.3049240000000033</v>
          </cell>
          <cell r="AC40" t="str">
            <v>+</v>
          </cell>
          <cell r="AD40">
            <v>5.3049240000000033</v>
          </cell>
          <cell r="AE40" t="str">
            <v>kg</v>
          </cell>
          <cell r="AF40">
            <v>0</v>
          </cell>
          <cell r="AG40">
            <v>0</v>
          </cell>
          <cell r="AH40">
            <v>87.54</v>
          </cell>
          <cell r="AI40" t="str">
            <v>+</v>
          </cell>
          <cell r="AJ40">
            <v>0</v>
          </cell>
          <cell r="AK40" t="str">
            <v>kg</v>
          </cell>
          <cell r="AL40">
            <v>11.8</v>
          </cell>
          <cell r="AM40">
            <v>54.516000000000005</v>
          </cell>
          <cell r="AN40">
            <v>8.0011559999999911</v>
          </cell>
          <cell r="AO40" t="str">
            <v>+</v>
          </cell>
          <cell r="AP40">
            <v>8.0011559999999911</v>
          </cell>
          <cell r="AQ40" t="str">
            <v>kg</v>
          </cell>
        </row>
        <row r="41">
          <cell r="A41" t="str">
            <v>1F-NAOH</v>
          </cell>
          <cell r="B41" t="str">
            <v>XL-001F</v>
          </cell>
          <cell r="C41" t="str">
            <v>Nồng độ    NaOH
氫氧化鈉</v>
          </cell>
          <cell r="D41" t="str">
            <v>g/L</v>
          </cell>
          <cell r="E41" t="str">
            <v>130 - 150</v>
          </cell>
          <cell r="F41" t="str">
            <v>(140±10)</v>
          </cell>
          <cell r="G41">
            <v>140</v>
          </cell>
          <cell r="H41">
            <v>17.45</v>
          </cell>
          <cell r="I41">
            <v>139.6</v>
          </cell>
          <cell r="J41">
            <v>7.9804000000001132</v>
          </cell>
          <cell r="K41" t="str">
            <v>+</v>
          </cell>
          <cell r="L41">
            <v>7.9804000000001132</v>
          </cell>
          <cell r="M41" t="str">
            <v>kg</v>
          </cell>
          <cell r="N41">
            <v>17.25</v>
          </cell>
          <cell r="O41">
            <v>138</v>
          </cell>
          <cell r="P41">
            <v>39.902000000000001</v>
          </cell>
          <cell r="Q41" t="str">
            <v>+</v>
          </cell>
          <cell r="R41">
            <v>39.902000000000001</v>
          </cell>
          <cell r="S41" t="str">
            <v>kg</v>
          </cell>
          <cell r="T41">
            <v>17.55</v>
          </cell>
          <cell r="U41">
            <v>140.4</v>
          </cell>
          <cell r="V41">
            <v>-7.9804000000001132</v>
          </cell>
          <cell r="W41" t="str">
            <v>+</v>
          </cell>
          <cell r="X41">
            <v>0</v>
          </cell>
          <cell r="Y41" t="str">
            <v>kg</v>
          </cell>
          <cell r="Z41">
            <v>17.399999999999999</v>
          </cell>
          <cell r="AA41">
            <v>139.19999999999999</v>
          </cell>
          <cell r="AB41">
            <v>15.960800000000226</v>
          </cell>
          <cell r="AC41" t="str">
            <v>+</v>
          </cell>
          <cell r="AD41">
            <v>15.960800000000226</v>
          </cell>
          <cell r="AE41" t="str">
            <v>kg</v>
          </cell>
          <cell r="AF41">
            <v>0</v>
          </cell>
          <cell r="AG41">
            <v>0</v>
          </cell>
          <cell r="AH41">
            <v>2793.14</v>
          </cell>
          <cell r="AI41" t="str">
            <v>+</v>
          </cell>
          <cell r="AJ41">
            <v>0</v>
          </cell>
          <cell r="AK41" t="str">
            <v>kg</v>
          </cell>
          <cell r="AL41">
            <v>17.3</v>
          </cell>
          <cell r="AM41">
            <v>138.4</v>
          </cell>
          <cell r="AN41">
            <v>31.921599999999884</v>
          </cell>
          <cell r="AO41" t="str">
            <v>+</v>
          </cell>
          <cell r="AP41">
            <v>31.921599999999884</v>
          </cell>
          <cell r="AQ41" t="str">
            <v>kg</v>
          </cell>
        </row>
        <row r="42">
          <cell r="A42" t="str">
            <v>1F-ZN</v>
          </cell>
          <cell r="B42" t="str">
            <v>XL-001F</v>
          </cell>
          <cell r="C42" t="str">
            <v>Nồng độ Zn  鋅
(1 pcs Zn=25kg)</v>
          </cell>
          <cell r="D42" t="str">
            <v>g/L</v>
          </cell>
          <cell r="E42" t="str">
            <v>8~12</v>
          </cell>
          <cell r="F42" t="str">
            <v>(10±1)</v>
          </cell>
          <cell r="G42">
            <v>10</v>
          </cell>
          <cell r="H42">
            <v>10.199999999999999</v>
          </cell>
          <cell r="I42">
            <v>13.26</v>
          </cell>
          <cell r="J42">
            <v>-65.040259999999989</v>
          </cell>
          <cell r="K42" t="str">
            <v>+</v>
          </cell>
          <cell r="L42">
            <v>0</v>
          </cell>
          <cell r="M42" t="str">
            <v>kg</v>
          </cell>
          <cell r="N42">
            <v>9.6999999999999993</v>
          </cell>
          <cell r="O42">
            <v>12.61</v>
          </cell>
          <cell r="P42">
            <v>-52.072109999999988</v>
          </cell>
          <cell r="Q42" t="str">
            <v>+</v>
          </cell>
          <cell r="R42">
            <v>0</v>
          </cell>
          <cell r="S42" t="str">
            <v>kg</v>
          </cell>
          <cell r="T42">
            <v>9.5500000000000007</v>
          </cell>
          <cell r="U42">
            <v>12.415000000000001</v>
          </cell>
          <cell r="V42">
            <v>-48.181665000000017</v>
          </cell>
          <cell r="W42" t="str">
            <v>+</v>
          </cell>
          <cell r="X42">
            <v>0</v>
          </cell>
          <cell r="Y42" t="str">
            <v>kg</v>
          </cell>
          <cell r="Z42">
            <v>9.4</v>
          </cell>
          <cell r="AA42">
            <v>12.22</v>
          </cell>
          <cell r="AB42">
            <v>-44.291220000000017</v>
          </cell>
          <cell r="AC42" t="str">
            <v>+</v>
          </cell>
          <cell r="AD42">
            <v>0</v>
          </cell>
          <cell r="AE42" t="str">
            <v>kg</v>
          </cell>
          <cell r="AF42">
            <v>0</v>
          </cell>
          <cell r="AG42">
            <v>0</v>
          </cell>
          <cell r="AH42">
            <v>199.51</v>
          </cell>
          <cell r="AI42" t="str">
            <v>+</v>
          </cell>
          <cell r="AJ42">
            <v>0</v>
          </cell>
          <cell r="AK42" t="str">
            <v>kg</v>
          </cell>
          <cell r="AL42">
            <v>9.6999999999999993</v>
          </cell>
          <cell r="AM42">
            <v>12.61</v>
          </cell>
          <cell r="AN42">
            <v>-52.072109999999988</v>
          </cell>
          <cell r="AO42" t="str">
            <v>+</v>
          </cell>
          <cell r="AP42">
            <v>0</v>
          </cell>
          <cell r="AQ42" t="str">
            <v>kg</v>
          </cell>
        </row>
        <row r="43">
          <cell r="A43" t="str">
            <v>1F-CR3I</v>
          </cell>
          <cell r="B43" t="str">
            <v>XL-001F</v>
          </cell>
          <cell r="C43" t="str">
            <v>Nồng độ Cr2O3 三價鉻
LANTHANE 318</v>
          </cell>
          <cell r="D43" t="str">
            <v>%</v>
          </cell>
          <cell r="E43" t="str">
            <v xml:space="preserve">6~10 </v>
          </cell>
          <cell r="F43" t="str">
            <v>(8±0.5)</v>
          </cell>
          <cell r="G43">
            <v>8</v>
          </cell>
          <cell r="H43">
            <v>23.4</v>
          </cell>
          <cell r="I43">
            <v>8.8684799999999981</v>
          </cell>
          <cell r="J43">
            <v>-4.9937599999999893</v>
          </cell>
          <cell r="K43" t="str">
            <v>+</v>
          </cell>
          <cell r="L43">
            <v>0</v>
          </cell>
          <cell r="M43" t="str">
            <v>L</v>
          </cell>
          <cell r="N43">
            <v>23.2</v>
          </cell>
          <cell r="O43">
            <v>8.7837400000000017</v>
          </cell>
          <cell r="P43">
            <v>-4.5065050000000095</v>
          </cell>
          <cell r="Q43" t="str">
            <v>+</v>
          </cell>
          <cell r="R43">
            <v>0</v>
          </cell>
          <cell r="S43" t="str">
            <v>L</v>
          </cell>
          <cell r="T43">
            <v>22.5</v>
          </cell>
          <cell r="U43">
            <v>8.4871499999999997</v>
          </cell>
          <cell r="V43">
            <v>-2.8011124999999986</v>
          </cell>
          <cell r="W43" t="str">
            <v>+</v>
          </cell>
          <cell r="X43">
            <v>0</v>
          </cell>
          <cell r="Y43" t="str">
            <v>L</v>
          </cell>
          <cell r="Z43">
            <v>19.100000000000001</v>
          </cell>
          <cell r="AA43">
            <v>7.0465700000000018</v>
          </cell>
          <cell r="AB43">
            <v>5.48222249999999</v>
          </cell>
          <cell r="AC43" t="str">
            <v>+</v>
          </cell>
          <cell r="AD43">
            <v>5.48222249999999</v>
          </cell>
          <cell r="AE43" t="str">
            <v>L</v>
          </cell>
          <cell r="AF43">
            <v>0</v>
          </cell>
          <cell r="AG43">
            <v>-1.0461</v>
          </cell>
          <cell r="AH43">
            <v>52.015074999999996</v>
          </cell>
          <cell r="AI43" t="str">
            <v>+</v>
          </cell>
          <cell r="AJ43">
            <v>0</v>
          </cell>
          <cell r="AK43" t="str">
            <v>L</v>
          </cell>
          <cell r="AL43">
            <v>21.5</v>
          </cell>
          <cell r="AM43">
            <v>8.0634499999999996</v>
          </cell>
          <cell r="AN43">
            <v>-0.36483749999999743</v>
          </cell>
          <cell r="AO43" t="str">
            <v>+</v>
          </cell>
          <cell r="AP43">
            <v>0</v>
          </cell>
          <cell r="AQ43" t="str">
            <v>L</v>
          </cell>
        </row>
        <row r="44">
          <cell r="A44" t="str">
            <v>1F-CR3IPH</v>
          </cell>
          <cell r="B44" t="str">
            <v>XL-001F</v>
          </cell>
          <cell r="C44" t="str">
            <v>PH</v>
          </cell>
          <cell r="D44" t="str">
            <v>pH</v>
          </cell>
          <cell r="E44" t="str">
            <v>2~2.5</v>
          </cell>
          <cell r="F44" t="str">
            <v>(2.3±0.1 )</v>
          </cell>
          <cell r="I44">
            <v>2.2000000000000002</v>
          </cell>
          <cell r="O44">
            <v>2.2200000000000002</v>
          </cell>
          <cell r="U44">
            <v>2.2000000000000002</v>
          </cell>
          <cell r="AA44">
            <v>2.2000000000000002</v>
          </cell>
          <cell r="AG44">
            <v>0</v>
          </cell>
          <cell r="AM44">
            <v>2.2000000000000002</v>
          </cell>
        </row>
        <row r="45">
          <cell r="A45" t="str">
            <v>1F-HCL1</v>
          </cell>
          <cell r="B45" t="str">
            <v>XL-001F</v>
          </cell>
          <cell r="C45" t="str">
            <v>Nồng độ acid đặc
鹽酸 濃度</v>
          </cell>
          <cell r="D45" t="str">
            <v>%V/V</v>
          </cell>
          <cell r="E45" t="str">
            <v xml:space="preserve">30~60 </v>
          </cell>
          <cell r="F45" t="str">
            <v>(45±5)</v>
          </cell>
          <cell r="G45">
            <v>0.45</v>
          </cell>
          <cell r="H45">
            <v>4.0999999999999996</v>
          </cell>
          <cell r="I45">
            <v>0.46765624999999994</v>
          </cell>
          <cell r="J45">
            <v>-37.466562499999853</v>
          </cell>
          <cell r="K45" t="str">
            <v>+</v>
          </cell>
          <cell r="L45">
            <v>0</v>
          </cell>
          <cell r="M45" t="str">
            <v>L</v>
          </cell>
          <cell r="N45">
            <v>4.4000000000000004</v>
          </cell>
          <cell r="O45">
            <v>0.50187500000000007</v>
          </cell>
          <cell r="P45">
            <v>-110.07875000000013</v>
          </cell>
          <cell r="Q45" t="str">
            <v>+</v>
          </cell>
          <cell r="R45">
            <v>0</v>
          </cell>
          <cell r="S45" t="str">
            <v>L</v>
          </cell>
          <cell r="T45">
            <v>4.2</v>
          </cell>
          <cell r="U45">
            <v>0.47906250000000006</v>
          </cell>
          <cell r="V45">
            <v>-61.670625000000101</v>
          </cell>
          <cell r="W45" t="str">
            <v>+</v>
          </cell>
          <cell r="X45">
            <v>0</v>
          </cell>
          <cell r="Y45" t="str">
            <v>L</v>
          </cell>
          <cell r="Z45">
            <v>4.5</v>
          </cell>
          <cell r="AA45">
            <v>0.51328125000000002</v>
          </cell>
          <cell r="AB45">
            <v>-134.28281250000003</v>
          </cell>
          <cell r="AC45" t="str">
            <v>+</v>
          </cell>
          <cell r="AD45">
            <v>0</v>
          </cell>
          <cell r="AE45" t="str">
            <v>L</v>
          </cell>
          <cell r="AF45">
            <v>0</v>
          </cell>
          <cell r="AG45">
            <v>0</v>
          </cell>
          <cell r="AH45">
            <v>954.9</v>
          </cell>
          <cell r="AI45" t="str">
            <v>+</v>
          </cell>
          <cell r="AJ45">
            <v>0</v>
          </cell>
          <cell r="AK45" t="str">
            <v>L</v>
          </cell>
          <cell r="AL45">
            <v>4.4000000000000004</v>
          </cell>
          <cell r="AM45">
            <v>0.50187500000000007</v>
          </cell>
          <cell r="AN45">
            <v>-110.07875000000013</v>
          </cell>
          <cell r="AO45" t="str">
            <v>+</v>
          </cell>
          <cell r="AP45">
            <v>0</v>
          </cell>
          <cell r="AQ45" t="str">
            <v>L</v>
          </cell>
        </row>
        <row r="46">
          <cell r="A46" t="str">
            <v>1F-HCL2</v>
          </cell>
          <cell r="B46" t="str">
            <v>XL-001F</v>
          </cell>
          <cell r="C46" t="str">
            <v>Nồng độ acid loãng
稀酸 濃度</v>
          </cell>
          <cell r="D46" t="str">
            <v>%V/V</v>
          </cell>
          <cell r="E46" t="str">
            <v>15~30</v>
          </cell>
          <cell r="F46" t="str">
            <v>(22±5 )</v>
          </cell>
          <cell r="G46">
            <v>0.22</v>
          </cell>
          <cell r="H46">
            <v>2.4</v>
          </cell>
          <cell r="I46">
            <v>0.27374999999999999</v>
          </cell>
          <cell r="J46">
            <v>-32.894999999999996</v>
          </cell>
          <cell r="K46" t="str">
            <v>+</v>
          </cell>
          <cell r="L46">
            <v>0</v>
          </cell>
          <cell r="M46" t="str">
            <v>L</v>
          </cell>
          <cell r="N46">
            <v>2.2999999999999998</v>
          </cell>
          <cell r="O46">
            <v>0.26234374999999999</v>
          </cell>
          <cell r="P46">
            <v>-25.914374999999993</v>
          </cell>
          <cell r="Q46" t="str">
            <v>+</v>
          </cell>
          <cell r="R46">
            <v>0</v>
          </cell>
          <cell r="S46" t="str">
            <v>L</v>
          </cell>
          <cell r="T46">
            <v>2.4</v>
          </cell>
          <cell r="U46">
            <v>0.27374999999999999</v>
          </cell>
          <cell r="V46">
            <v>-32.894999999999996</v>
          </cell>
          <cell r="W46" t="str">
            <v>+</v>
          </cell>
          <cell r="X46">
            <v>0</v>
          </cell>
          <cell r="Y46" t="str">
            <v>L</v>
          </cell>
          <cell r="Z46">
            <v>2.4</v>
          </cell>
          <cell r="AA46">
            <v>0.27374999999999999</v>
          </cell>
          <cell r="AB46">
            <v>-32.894999999999996</v>
          </cell>
          <cell r="AC46" t="str">
            <v>+</v>
          </cell>
          <cell r="AD46">
            <v>0</v>
          </cell>
          <cell r="AE46" t="str">
            <v>L</v>
          </cell>
          <cell r="AF46">
            <v>0</v>
          </cell>
          <cell r="AG46">
            <v>0</v>
          </cell>
          <cell r="AH46">
            <v>134.64000000000001</v>
          </cell>
          <cell r="AI46" t="str">
            <v>+</v>
          </cell>
          <cell r="AJ46">
            <v>0</v>
          </cell>
          <cell r="AK46" t="str">
            <v>L</v>
          </cell>
          <cell r="AL46">
            <v>2.6</v>
          </cell>
          <cell r="AM46">
            <v>0.29656250000000001</v>
          </cell>
          <cell r="AN46">
            <v>-46.856250000000003</v>
          </cell>
          <cell r="AO46" t="str">
            <v>+</v>
          </cell>
          <cell r="AP46">
            <v>0</v>
          </cell>
          <cell r="AQ46" t="str">
            <v>L</v>
          </cell>
        </row>
        <row r="47">
          <cell r="A47" t="str">
            <v>1F-HCL3</v>
          </cell>
          <cell r="B47" t="str">
            <v>XL-001F</v>
          </cell>
          <cell r="C47" t="str">
            <v>Nồng độ HCl hoạt hóa
稀酸活化 濃度</v>
          </cell>
          <cell r="D47" t="str">
            <v>%V/V</v>
          </cell>
          <cell r="E47" t="str">
            <v>5~15</v>
          </cell>
          <cell r="F47" t="str">
            <v>(10±3)</v>
          </cell>
          <cell r="G47">
            <v>0.1</v>
          </cell>
          <cell r="H47">
            <v>5.5</v>
          </cell>
          <cell r="I47">
            <v>0.12546874999999999</v>
          </cell>
          <cell r="J47">
            <v>-14.644531249999991</v>
          </cell>
          <cell r="K47" t="str">
            <v>+</v>
          </cell>
          <cell r="L47">
            <v>0</v>
          </cell>
          <cell r="M47" t="str">
            <v>L</v>
          </cell>
          <cell r="N47">
            <v>5.5</v>
          </cell>
          <cell r="O47">
            <v>0.12546874999999999</v>
          </cell>
          <cell r="P47">
            <v>-14.644531249999991</v>
          </cell>
          <cell r="Q47" t="str">
            <v>+</v>
          </cell>
          <cell r="R47">
            <v>0</v>
          </cell>
          <cell r="S47" t="str">
            <v>L</v>
          </cell>
          <cell r="T47">
            <v>4.7</v>
          </cell>
          <cell r="U47">
            <v>0.10721875</v>
          </cell>
          <cell r="V47">
            <v>-4.1507812499999979</v>
          </cell>
          <cell r="W47" t="str">
            <v>+</v>
          </cell>
          <cell r="X47">
            <v>0</v>
          </cell>
          <cell r="Y47" t="str">
            <v>L</v>
          </cell>
          <cell r="Z47">
            <v>6.5</v>
          </cell>
          <cell r="AA47">
            <v>0.14828125</v>
          </cell>
          <cell r="AB47">
            <v>-27.76171875</v>
          </cell>
          <cell r="AC47" t="str">
            <v>+</v>
          </cell>
          <cell r="AD47">
            <v>0</v>
          </cell>
          <cell r="AE47" t="str">
            <v>L</v>
          </cell>
          <cell r="AF47">
            <v>0</v>
          </cell>
          <cell r="AG47">
            <v>0</v>
          </cell>
          <cell r="AH47">
            <v>57.5</v>
          </cell>
          <cell r="AI47" t="str">
            <v>+</v>
          </cell>
          <cell r="AJ47">
            <v>0</v>
          </cell>
          <cell r="AK47" t="str">
            <v>L</v>
          </cell>
          <cell r="AL47">
            <v>5.0999999999999996</v>
          </cell>
          <cell r="AM47">
            <v>0.11634374999999998</v>
          </cell>
          <cell r="AN47">
            <v>-9.3976562499999865</v>
          </cell>
          <cell r="AO47" t="str">
            <v>+</v>
          </cell>
          <cell r="AP47">
            <v>0</v>
          </cell>
          <cell r="AQ47" t="str">
            <v>L</v>
          </cell>
        </row>
        <row r="48">
          <cell r="A48" t="str">
            <v>1F-HNO3</v>
          </cell>
          <cell r="B48" t="str">
            <v>XL-001F</v>
          </cell>
          <cell r="C48" t="str">
            <v>Nồng độ  HNO3
硝酸濃度</v>
          </cell>
          <cell r="D48" t="str">
            <v>%</v>
          </cell>
          <cell r="E48" t="str">
            <v>0.5~1.5</v>
          </cell>
          <cell r="F48" t="str">
            <v>(1±0.2)</v>
          </cell>
          <cell r="G48">
            <v>0.01</v>
          </cell>
          <cell r="H48">
            <v>0.7</v>
          </cell>
          <cell r="I48">
            <v>8.8214000000000001E-3</v>
          </cell>
          <cell r="J48">
            <v>0.96101230769230772</v>
          </cell>
          <cell r="K48" t="str">
            <v>+</v>
          </cell>
          <cell r="L48">
            <v>0.96101230769230772</v>
          </cell>
          <cell r="M48" t="str">
            <v>L</v>
          </cell>
          <cell r="N48">
            <v>0.7</v>
          </cell>
          <cell r="O48">
            <v>8.8214000000000001E-3</v>
          </cell>
          <cell r="P48">
            <v>0.96101230769230772</v>
          </cell>
          <cell r="Q48" t="str">
            <v>+</v>
          </cell>
          <cell r="R48">
            <v>0.96101230769230772</v>
          </cell>
          <cell r="S48" t="str">
            <v>L</v>
          </cell>
          <cell r="T48">
            <v>0.9</v>
          </cell>
          <cell r="U48">
            <v>1.1341800000000003E-2</v>
          </cell>
          <cell r="V48">
            <v>-1.0940830769230789</v>
          </cell>
          <cell r="W48" t="str">
            <v>+</v>
          </cell>
          <cell r="X48">
            <v>0</v>
          </cell>
          <cell r="Y48" t="str">
            <v>L</v>
          </cell>
          <cell r="Z48">
            <v>0.7</v>
          </cell>
          <cell r="AA48">
            <v>8.8214000000000001E-3</v>
          </cell>
          <cell r="AB48">
            <v>0.96101230769230772</v>
          </cell>
          <cell r="AC48" t="str">
            <v>+</v>
          </cell>
          <cell r="AD48">
            <v>0.96101230769230772</v>
          </cell>
          <cell r="AE48" t="str">
            <v>L</v>
          </cell>
          <cell r="AF48">
            <v>0</v>
          </cell>
          <cell r="AG48">
            <v>0</v>
          </cell>
          <cell r="AH48">
            <v>8.1538461538461533</v>
          </cell>
          <cell r="AI48" t="str">
            <v>+</v>
          </cell>
          <cell r="AJ48">
            <v>0</v>
          </cell>
          <cell r="AK48" t="str">
            <v>L</v>
          </cell>
          <cell r="AL48">
            <v>0.6</v>
          </cell>
          <cell r="AM48">
            <v>7.5611999999999988E-3</v>
          </cell>
          <cell r="AN48">
            <v>1.988560000000001</v>
          </cell>
          <cell r="AO48" t="str">
            <v>+</v>
          </cell>
          <cell r="AP48">
            <v>1.988560000000001</v>
          </cell>
          <cell r="AQ48" t="str">
            <v>L</v>
          </cell>
        </row>
        <row r="49">
          <cell r="A49" t="str">
            <v>1F-CR3K</v>
          </cell>
          <cell r="B49" t="str">
            <v>XL-001F</v>
          </cell>
          <cell r="C49" t="str">
            <v>Nồng độ   Cr2O3 （K) 三價鉻
FINIDIP 124</v>
          </cell>
          <cell r="D49" t="str">
            <v>%</v>
          </cell>
          <cell r="E49" t="str">
            <v>5~8</v>
          </cell>
          <cell r="F49" t="str">
            <v>(6%±0.5)</v>
          </cell>
          <cell r="G49">
            <v>6</v>
          </cell>
          <cell r="H49">
            <v>7</v>
          </cell>
          <cell r="I49">
            <v>6.7000000000000011</v>
          </cell>
          <cell r="J49">
            <v>-4.2368421052631646</v>
          </cell>
          <cell r="K49" t="str">
            <v>+</v>
          </cell>
          <cell r="L49">
            <v>0</v>
          </cell>
          <cell r="M49" t="str">
            <v>L</v>
          </cell>
          <cell r="N49">
            <v>0</v>
          </cell>
          <cell r="O49" t="str">
            <v/>
          </cell>
          <cell r="P49" t="e">
            <v>#VALUE!</v>
          </cell>
          <cell r="Q49" t="str">
            <v>+</v>
          </cell>
          <cell r="R49" t="str">
            <v/>
          </cell>
          <cell r="S49" t="str">
            <v>L</v>
          </cell>
          <cell r="T49">
            <v>0</v>
          </cell>
          <cell r="U49" t="str">
            <v/>
          </cell>
          <cell r="V49" t="e">
            <v>#VALUE!</v>
          </cell>
          <cell r="W49" t="str">
            <v>+</v>
          </cell>
          <cell r="X49" t="str">
            <v/>
          </cell>
          <cell r="Y49" t="str">
            <v>L</v>
          </cell>
          <cell r="Z49">
            <v>7.9</v>
          </cell>
          <cell r="AA49">
            <v>7.42</v>
          </cell>
          <cell r="AB49">
            <v>-8.594736842105263</v>
          </cell>
          <cell r="AC49" t="str">
            <v>+</v>
          </cell>
          <cell r="AD49">
            <v>0</v>
          </cell>
          <cell r="AE49" t="str">
            <v>L</v>
          </cell>
          <cell r="AF49">
            <v>0</v>
          </cell>
          <cell r="AG49" t="str">
            <v/>
          </cell>
          <cell r="AH49" t="e">
            <v>#VALUE!</v>
          </cell>
          <cell r="AI49" t="str">
            <v>+</v>
          </cell>
          <cell r="AJ49" t="str">
            <v/>
          </cell>
          <cell r="AK49" t="str">
            <v>L</v>
          </cell>
          <cell r="AL49">
            <v>0</v>
          </cell>
          <cell r="AM49" t="str">
            <v/>
          </cell>
          <cell r="AN49" t="e">
            <v>#VALUE!</v>
          </cell>
          <cell r="AO49" t="str">
            <v>+</v>
          </cell>
          <cell r="AP49" t="str">
            <v/>
          </cell>
          <cell r="AQ49" t="str">
            <v>L</v>
          </cell>
        </row>
        <row r="50">
          <cell r="A50" t="str">
            <v>1F-CR3KPH</v>
          </cell>
          <cell r="B50" t="str">
            <v>XL-001F</v>
          </cell>
          <cell r="C50" t="str">
            <v>PH</v>
          </cell>
          <cell r="D50" t="str">
            <v>pH</v>
          </cell>
          <cell r="E50" t="str">
            <v>1.8~2.4</v>
          </cell>
          <cell r="F50" t="str">
            <v>(2.1±0.1 )</v>
          </cell>
          <cell r="I50">
            <v>1.9</v>
          </cell>
          <cell r="O50">
            <v>0</v>
          </cell>
          <cell r="U50">
            <v>0</v>
          </cell>
          <cell r="AA50">
            <v>1.8</v>
          </cell>
          <cell r="AG50">
            <v>0</v>
          </cell>
          <cell r="AM50">
            <v>0</v>
          </cell>
        </row>
        <row r="51">
          <cell r="A51" t="str">
            <v>Hạng mục kiểm tra nhiệt độ 檢查溫度</v>
          </cell>
        </row>
        <row r="52">
          <cell r="A52" t="str">
            <v>MÃ</v>
          </cell>
          <cell r="B52" t="str">
            <v>MÃ MÁY</v>
          </cell>
          <cell r="C52" t="str">
            <v>Hạng mục kiểm tra nhiệt độ
溫度檢查項目</v>
          </cell>
          <cell r="D52" t="str">
            <v>nhiệt độ
溫度</v>
          </cell>
          <cell r="E52" t="str">
            <v>Phạm vi kiểm soát
範圍值</v>
          </cell>
          <cell r="F52" t="str">
            <v>Giới hạn kiểm soát
管控值</v>
          </cell>
          <cell r="I52" t="str">
            <v>Nhiệt kế 
温度計</v>
          </cell>
          <cell r="L52" t="str">
            <v>Nhiệt tự động
自動温控</v>
          </cell>
          <cell r="O52" t="str">
            <v>Nhiệt kế 
温度計</v>
          </cell>
          <cell r="R52" t="str">
            <v>Nhiệt tự động
自動温控</v>
          </cell>
          <cell r="U52" t="str">
            <v>Nhiệt kế 
温度計</v>
          </cell>
          <cell r="X52" t="str">
            <v>Nhiệt tự động
自動温控</v>
          </cell>
          <cell r="AA52" t="str">
            <v>Nhiệt kế 
温度計</v>
          </cell>
          <cell r="AD52" t="str">
            <v>Nhiệt tự động
自動温控</v>
          </cell>
          <cell r="AG52" t="str">
            <v>Nhiệt kế 
温度計</v>
          </cell>
          <cell r="AJ52" t="str">
            <v>Nhiệt tự động
自動温控</v>
          </cell>
          <cell r="AM52" t="str">
            <v>Nhiệt kế 
温度計</v>
          </cell>
          <cell r="AP52" t="str">
            <v>Nhiệt tự động
自動温控</v>
          </cell>
        </row>
        <row r="53">
          <cell r="A53" t="str">
            <v>1F-TEMXB1</v>
          </cell>
          <cell r="B53" t="str">
            <v>XL-001F</v>
          </cell>
          <cell r="C53" t="str">
            <v>Nhiệt  độ xà bông nóng (1)
 熱脫脂溫度(1)</v>
          </cell>
          <cell r="D53" t="str">
            <v>0C</v>
          </cell>
          <cell r="E53" t="str">
            <v>50~70</v>
          </cell>
          <cell r="F53" t="str">
            <v>(60±3)</v>
          </cell>
          <cell r="I53">
            <v>63</v>
          </cell>
          <cell r="L53">
            <v>63</v>
          </cell>
          <cell r="O53">
            <v>62</v>
          </cell>
          <cell r="R53">
            <v>60</v>
          </cell>
          <cell r="U53">
            <v>61</v>
          </cell>
          <cell r="X53">
            <v>60</v>
          </cell>
          <cell r="AA53">
            <v>63</v>
          </cell>
          <cell r="AD53">
            <v>62</v>
          </cell>
          <cell r="AG53">
            <v>0</v>
          </cell>
          <cell r="AJ53">
            <v>0</v>
          </cell>
          <cell r="AM53">
            <v>64</v>
          </cell>
          <cell r="AP53">
            <v>63</v>
          </cell>
        </row>
        <row r="54">
          <cell r="A54" t="str">
            <v>1F-TEMXB2</v>
          </cell>
          <cell r="B54" t="str">
            <v>XL-001F</v>
          </cell>
          <cell r="C54" t="str">
            <v>Nhiệt  độ xà bông nóng (2)
 熱脫脂溫度(2)</v>
          </cell>
          <cell r="D54" t="str">
            <v>0C</v>
          </cell>
          <cell r="E54" t="str">
            <v>50~70</v>
          </cell>
          <cell r="F54" t="str">
            <v>(60±3)</v>
          </cell>
          <cell r="I54">
            <v>62</v>
          </cell>
          <cell r="L54">
            <v>61</v>
          </cell>
          <cell r="O54">
            <v>62</v>
          </cell>
          <cell r="R54">
            <v>62</v>
          </cell>
          <cell r="U54">
            <v>60</v>
          </cell>
          <cell r="X54">
            <v>60</v>
          </cell>
          <cell r="AA54">
            <v>62</v>
          </cell>
          <cell r="AD54">
            <v>61</v>
          </cell>
          <cell r="AG54">
            <v>0</v>
          </cell>
          <cell r="AJ54">
            <v>0</v>
          </cell>
          <cell r="AM54">
            <v>63</v>
          </cell>
          <cell r="AP54">
            <v>62</v>
          </cell>
        </row>
        <row r="55">
          <cell r="A55" t="str">
            <v>1F-TEMDG1</v>
          </cell>
          <cell r="B55" t="str">
            <v>XL-001F</v>
          </cell>
          <cell r="C55" t="str">
            <v>Nhiệt độ điện giải (1) 
電解1 溫度</v>
          </cell>
          <cell r="D55" t="str">
            <v>0C</v>
          </cell>
          <cell r="E55" t="str">
            <v>50~70</v>
          </cell>
          <cell r="F55" t="str">
            <v>(60±3)</v>
          </cell>
          <cell r="I55">
            <v>58</v>
          </cell>
          <cell r="L55">
            <v>58</v>
          </cell>
          <cell r="O55">
            <v>59</v>
          </cell>
          <cell r="R55">
            <v>58</v>
          </cell>
          <cell r="U55">
            <v>58</v>
          </cell>
          <cell r="X55">
            <v>57</v>
          </cell>
          <cell r="AA55">
            <v>59</v>
          </cell>
          <cell r="AD55">
            <v>58</v>
          </cell>
          <cell r="AG55">
            <v>0</v>
          </cell>
          <cell r="AJ55">
            <v>0</v>
          </cell>
          <cell r="AM55">
            <v>58</v>
          </cell>
          <cell r="AP55">
            <v>57</v>
          </cell>
        </row>
        <row r="56">
          <cell r="A56" t="str">
            <v>1F-TEMDG2</v>
          </cell>
          <cell r="B56" t="str">
            <v>XL-001F</v>
          </cell>
          <cell r="C56" t="str">
            <v>Nhiệt độ điện giải (2)
電解 2 溫度</v>
          </cell>
          <cell r="D56" t="str">
            <v>0C</v>
          </cell>
          <cell r="E56" t="str">
            <v>50~70</v>
          </cell>
          <cell r="F56" t="str">
            <v>(60±3)</v>
          </cell>
          <cell r="I56">
            <v>56</v>
          </cell>
          <cell r="L56">
            <v>56</v>
          </cell>
          <cell r="O56">
            <v>53</v>
          </cell>
          <cell r="R56">
            <v>52</v>
          </cell>
          <cell r="U56">
            <v>50</v>
          </cell>
          <cell r="X56">
            <v>48</v>
          </cell>
          <cell r="AA56">
            <v>52</v>
          </cell>
          <cell r="AD56">
            <v>50</v>
          </cell>
          <cell r="AG56">
            <v>0</v>
          </cell>
          <cell r="AJ56">
            <v>0</v>
          </cell>
          <cell r="AM56">
            <v>49</v>
          </cell>
          <cell r="AP56">
            <v>48</v>
          </cell>
        </row>
        <row r="57">
          <cell r="A57" t="str">
            <v>1F-TEMBX</v>
          </cell>
          <cell r="B57" t="str">
            <v>XL-001F</v>
          </cell>
          <cell r="C57" t="str">
            <v>Nhiệt độ bồn xi
鍍鋅槽溫度</v>
          </cell>
          <cell r="D57" t="str">
            <v>0C</v>
          </cell>
          <cell r="E57" t="str">
            <v>22~30</v>
          </cell>
          <cell r="F57" t="str">
            <v>(24±1)</v>
          </cell>
          <cell r="I57">
            <v>26</v>
          </cell>
          <cell r="L57">
            <v>27</v>
          </cell>
          <cell r="O57">
            <v>27</v>
          </cell>
          <cell r="R57">
            <v>27</v>
          </cell>
          <cell r="U57">
            <v>28</v>
          </cell>
          <cell r="X57">
            <v>28</v>
          </cell>
          <cell r="AA57">
            <v>29</v>
          </cell>
          <cell r="AD57">
            <v>30</v>
          </cell>
          <cell r="AG57">
            <v>0</v>
          </cell>
          <cell r="AJ57">
            <v>0</v>
          </cell>
          <cell r="AM57">
            <v>28</v>
          </cell>
          <cell r="AP57">
            <v>28</v>
          </cell>
        </row>
        <row r="58">
          <cell r="A58" t="str">
            <v>1F-TEMCR3I</v>
          </cell>
          <cell r="B58" t="str">
            <v>XL-001F</v>
          </cell>
          <cell r="C58" t="str">
            <v>Nhiệt độ bồn màu Cr2O3
三價鉻 溫度</v>
          </cell>
          <cell r="D58" t="str">
            <v>0C</v>
          </cell>
          <cell r="E58" t="str">
            <v>30-38</v>
          </cell>
          <cell r="F58" t="str">
            <v>(34±2)</v>
          </cell>
          <cell r="I58">
            <v>36</v>
          </cell>
          <cell r="L58">
            <v>35</v>
          </cell>
          <cell r="O58">
            <v>37</v>
          </cell>
          <cell r="R58">
            <v>36</v>
          </cell>
          <cell r="U58">
            <v>36</v>
          </cell>
          <cell r="X58">
            <v>36</v>
          </cell>
          <cell r="AA58">
            <v>36</v>
          </cell>
          <cell r="AD58">
            <v>35</v>
          </cell>
          <cell r="AG58">
            <v>0</v>
          </cell>
          <cell r="AJ58">
            <v>0</v>
          </cell>
          <cell r="AM58">
            <v>36</v>
          </cell>
          <cell r="AP58">
            <v>35</v>
          </cell>
        </row>
        <row r="59">
          <cell r="A59" t="str">
            <v>1F-TEMH2O</v>
          </cell>
          <cell r="B59" t="str">
            <v>XL-001F</v>
          </cell>
          <cell r="C59" t="str">
            <v xml:space="preserve">Nhiệt độ bồn nước nóng
熱水溫度 </v>
          </cell>
          <cell r="D59" t="str">
            <v>0C</v>
          </cell>
          <cell r="E59" t="str">
            <v>55~65</v>
          </cell>
          <cell r="F59" t="str">
            <v>(60±3)</v>
          </cell>
          <cell r="I59">
            <v>54</v>
          </cell>
          <cell r="L59">
            <v>53</v>
          </cell>
          <cell r="O59">
            <v>53</v>
          </cell>
          <cell r="R59">
            <v>52</v>
          </cell>
          <cell r="U59">
            <v>54</v>
          </cell>
          <cell r="X59">
            <v>52</v>
          </cell>
          <cell r="AA59">
            <v>57</v>
          </cell>
          <cell r="AD59">
            <v>56</v>
          </cell>
          <cell r="AG59">
            <v>0</v>
          </cell>
          <cell r="AJ59">
            <v>0</v>
          </cell>
          <cell r="AM59">
            <v>50</v>
          </cell>
          <cell r="AP59">
            <v>49</v>
          </cell>
        </row>
        <row r="60">
          <cell r="A60" t="str">
            <v>1F-TEMSAY</v>
          </cell>
          <cell r="B60" t="str">
            <v>XL-001F</v>
          </cell>
          <cell r="C60" t="str">
            <v>Sấy khô
烘乾</v>
          </cell>
          <cell r="D60" t="str">
            <v>0C</v>
          </cell>
          <cell r="E60" t="str">
            <v>65~75</v>
          </cell>
          <cell r="F60" t="str">
            <v>(70±3)</v>
          </cell>
          <cell r="L60">
            <v>75</v>
          </cell>
          <cell r="R60">
            <v>73</v>
          </cell>
          <cell r="X60">
            <v>75</v>
          </cell>
          <cell r="AD60">
            <v>73</v>
          </cell>
          <cell r="AJ60">
            <v>0</v>
          </cell>
          <cell r="AP60">
            <v>71</v>
          </cell>
        </row>
        <row r="61">
          <cell r="A61" t="str">
            <v>Hạng mục kiểm tra bơm thuốc tự động
藥液自動添加</v>
          </cell>
        </row>
        <row r="62">
          <cell r="A62" t="str">
            <v>1F-MEM</v>
          </cell>
          <cell r="B62" t="str">
            <v>XL-001F</v>
          </cell>
          <cell r="C62" t="str">
            <v>開缸劑
250 Base</v>
          </cell>
          <cell r="D62" t="str">
            <v>ml/1000AH</v>
          </cell>
          <cell r="E62" t="str">
            <v>100-200</v>
          </cell>
          <cell r="F62" t="str">
            <v>100-200</v>
          </cell>
          <cell r="I62">
            <v>195</v>
          </cell>
          <cell r="O62">
            <v>198</v>
          </cell>
          <cell r="U62">
            <v>190</v>
          </cell>
          <cell r="AA62">
            <v>195</v>
          </cell>
          <cell r="AG62">
            <v>0</v>
          </cell>
          <cell r="AM62">
            <v>195</v>
          </cell>
        </row>
        <row r="63">
          <cell r="A63" t="str">
            <v>1F-BONG</v>
          </cell>
          <cell r="B63" t="str">
            <v>XL-001F</v>
          </cell>
          <cell r="C63" t="str">
            <v>光亮劑
250 Brightener</v>
          </cell>
          <cell r="D63" t="str">
            <v>ml/1000AH</v>
          </cell>
          <cell r="E63" t="str">
            <v>20-50</v>
          </cell>
          <cell r="F63" t="str">
            <v>20-50</v>
          </cell>
          <cell r="I63">
            <v>40</v>
          </cell>
          <cell r="O63">
            <v>42</v>
          </cell>
          <cell r="T63">
            <v>42</v>
          </cell>
          <cell r="U63">
            <v>42</v>
          </cell>
          <cell r="AA63">
            <v>41</v>
          </cell>
          <cell r="AG63">
            <v>0</v>
          </cell>
          <cell r="AM63">
            <v>40</v>
          </cell>
        </row>
        <row r="65">
          <cell r="A65" t="str">
            <v>生產線別：無氰鹼吊電C線 (XT-000C)</v>
          </cell>
          <cell r="G65" t="str">
            <v>Kết quả kiểm tra 檢查結果</v>
          </cell>
          <cell r="AG65" t="str">
            <v>生產線別：無氰鹼吊電C線 (XT-000C)</v>
          </cell>
        </row>
        <row r="66">
          <cell r="G66" t="str">
            <v>tiêu chuẩn khống chế để bổ sung</v>
          </cell>
          <cell r="I66" t="str">
            <v>6:15</v>
          </cell>
          <cell r="O66" t="str">
            <v>10:15</v>
          </cell>
          <cell r="U66" t="str">
            <v>14:15</v>
          </cell>
          <cell r="AA66" t="str">
            <v>18:15</v>
          </cell>
          <cell r="AG66" t="str">
            <v>22:15</v>
          </cell>
          <cell r="AM66" t="str">
            <v>02:15</v>
          </cell>
        </row>
        <row r="67">
          <cell r="A67" t="str">
            <v>MÃ</v>
          </cell>
          <cell r="B67" t="str">
            <v>MÃ MÁY</v>
          </cell>
          <cell r="C67" t="str">
            <v>Hạng mục kiểm tra nồng độ
化驗檢查項目</v>
          </cell>
          <cell r="D67" t="str">
            <v>Đơn vị
單位</v>
          </cell>
          <cell r="E67" t="str">
            <v>Phạm vi kiểm soát
範圍值</v>
          </cell>
          <cell r="F67" t="str">
            <v>Giới hạn kiểm soát
管控值</v>
          </cell>
          <cell r="I67" t="str">
            <v xml:space="preserve">濃度 </v>
          </cell>
          <cell r="J67" t="str">
            <v>補充 BS</v>
          </cell>
          <cell r="K67" t="str">
            <v>補充 BS</v>
          </cell>
          <cell r="O67" t="str">
            <v xml:space="preserve">濃度 </v>
          </cell>
          <cell r="P67" t="str">
            <v>補充 BS</v>
          </cell>
          <cell r="Q67" t="str">
            <v>補充 BS</v>
          </cell>
          <cell r="U67" t="str">
            <v xml:space="preserve">濃度 </v>
          </cell>
          <cell r="V67" t="str">
            <v>補充 BS</v>
          </cell>
          <cell r="W67" t="str">
            <v>補充 BS</v>
          </cell>
          <cell r="AA67" t="str">
            <v xml:space="preserve">濃度 </v>
          </cell>
          <cell r="AB67" t="str">
            <v>補充 BS</v>
          </cell>
          <cell r="AC67" t="str">
            <v>補充 BS</v>
          </cell>
          <cell r="AG67" t="str">
            <v xml:space="preserve">濃度 </v>
          </cell>
          <cell r="AH67" t="str">
            <v>補充 BS</v>
          </cell>
          <cell r="AI67" t="str">
            <v>補充 BS</v>
          </cell>
          <cell r="AM67" t="str">
            <v xml:space="preserve">濃度 </v>
          </cell>
          <cell r="AN67" t="str">
            <v>補充 BS</v>
          </cell>
          <cell r="AO67" t="str">
            <v>補充 BS</v>
          </cell>
        </row>
        <row r="68">
          <cell r="A68" t="str">
            <v>XT-XB1</v>
          </cell>
          <cell r="B68" t="str">
            <v>XT-000C</v>
          </cell>
          <cell r="C68" t="str">
            <v xml:space="preserve"> Xà bông  脫脂 (2,3,4)</v>
          </cell>
          <cell r="D68" t="str">
            <v>g/L</v>
          </cell>
          <cell r="E68" t="str">
            <v>40~60</v>
          </cell>
          <cell r="F68" t="str">
            <v>(50±5)</v>
          </cell>
          <cell r="G68">
            <v>50</v>
          </cell>
          <cell r="H68">
            <v>0</v>
          </cell>
          <cell r="I68">
            <v>0</v>
          </cell>
          <cell r="J68">
            <v>775.85</v>
          </cell>
          <cell r="K68" t="str">
            <v>+</v>
          </cell>
          <cell r="L68">
            <v>0</v>
          </cell>
          <cell r="M68" t="str">
            <v>kg</v>
          </cell>
          <cell r="N68">
            <v>0</v>
          </cell>
          <cell r="O68">
            <v>0</v>
          </cell>
          <cell r="P68">
            <v>775.85</v>
          </cell>
          <cell r="Q68" t="str">
            <v>+</v>
          </cell>
          <cell r="R68">
            <v>0</v>
          </cell>
          <cell r="S68" t="str">
            <v>kg</v>
          </cell>
          <cell r="T68">
            <v>0</v>
          </cell>
          <cell r="U68">
            <v>0</v>
          </cell>
          <cell r="V68">
            <v>775.85</v>
          </cell>
          <cell r="W68" t="str">
            <v>+</v>
          </cell>
          <cell r="X68">
            <v>0</v>
          </cell>
          <cell r="Y68" t="str">
            <v>kg</v>
          </cell>
          <cell r="Z68">
            <v>0</v>
          </cell>
          <cell r="AA68">
            <v>0</v>
          </cell>
          <cell r="AB68">
            <v>775.85</v>
          </cell>
          <cell r="AC68" t="str">
            <v>+</v>
          </cell>
          <cell r="AD68">
            <v>0</v>
          </cell>
          <cell r="AE68" t="str">
            <v>kg</v>
          </cell>
          <cell r="AF68">
            <v>0</v>
          </cell>
          <cell r="AG68">
            <v>0</v>
          </cell>
          <cell r="AH68">
            <v>775.85</v>
          </cell>
          <cell r="AI68" t="str">
            <v>+</v>
          </cell>
          <cell r="AJ68">
            <v>0</v>
          </cell>
          <cell r="AK68" t="str">
            <v>kg</v>
          </cell>
          <cell r="AL68">
            <v>0</v>
          </cell>
          <cell r="AM68">
            <v>0</v>
          </cell>
          <cell r="AN68">
            <v>775.85</v>
          </cell>
          <cell r="AO68" t="str">
            <v>+</v>
          </cell>
          <cell r="AP68">
            <v>0</v>
          </cell>
          <cell r="AQ68" t="str">
            <v>kg</v>
          </cell>
        </row>
        <row r="69">
          <cell r="A69" t="str">
            <v>XT-XB2</v>
          </cell>
          <cell r="B69" t="str">
            <v>XT-000C</v>
          </cell>
          <cell r="C69" t="str">
            <v>Xà bông  脫脂  (5,6)</v>
          </cell>
          <cell r="D69" t="str">
            <v>g/L</v>
          </cell>
          <cell r="E69" t="str">
            <v>40~60</v>
          </cell>
          <cell r="F69" t="str">
            <v>(50±5)</v>
          </cell>
          <cell r="G69">
            <v>50</v>
          </cell>
          <cell r="H69">
            <v>0</v>
          </cell>
          <cell r="I69">
            <v>0</v>
          </cell>
          <cell r="J69">
            <v>573.75</v>
          </cell>
          <cell r="K69" t="str">
            <v>+</v>
          </cell>
          <cell r="L69">
            <v>0</v>
          </cell>
          <cell r="M69" t="str">
            <v>kg</v>
          </cell>
          <cell r="N69">
            <v>0</v>
          </cell>
          <cell r="O69">
            <v>0</v>
          </cell>
          <cell r="P69">
            <v>573.75</v>
          </cell>
          <cell r="Q69" t="str">
            <v>+</v>
          </cell>
          <cell r="R69">
            <v>0</v>
          </cell>
          <cell r="S69" t="str">
            <v>kg</v>
          </cell>
          <cell r="T69">
            <v>0</v>
          </cell>
          <cell r="U69">
            <v>0</v>
          </cell>
          <cell r="V69">
            <v>573.75</v>
          </cell>
          <cell r="W69" t="str">
            <v>+</v>
          </cell>
          <cell r="X69">
            <v>0</v>
          </cell>
          <cell r="Y69" t="str">
            <v>kg</v>
          </cell>
          <cell r="Z69">
            <v>0</v>
          </cell>
          <cell r="AA69">
            <v>0</v>
          </cell>
          <cell r="AB69">
            <v>573.75</v>
          </cell>
          <cell r="AC69" t="str">
            <v>+</v>
          </cell>
          <cell r="AD69">
            <v>0</v>
          </cell>
          <cell r="AE69" t="str">
            <v>kg</v>
          </cell>
          <cell r="AF69">
            <v>0</v>
          </cell>
          <cell r="AG69">
            <v>0</v>
          </cell>
          <cell r="AH69">
            <v>573.75</v>
          </cell>
          <cell r="AI69" t="str">
            <v>+</v>
          </cell>
          <cell r="AJ69">
            <v>0</v>
          </cell>
          <cell r="AK69" t="str">
            <v>kg</v>
          </cell>
          <cell r="AL69">
            <v>0</v>
          </cell>
          <cell r="AM69">
            <v>0</v>
          </cell>
          <cell r="AN69">
            <v>573.75</v>
          </cell>
          <cell r="AO69" t="str">
            <v>+</v>
          </cell>
          <cell r="AP69">
            <v>0</v>
          </cell>
          <cell r="AQ69" t="str">
            <v>kg</v>
          </cell>
        </row>
        <row r="70">
          <cell r="A70" t="str">
            <v>XT-DG1</v>
          </cell>
          <cell r="B70" t="str">
            <v>XT-000C</v>
          </cell>
          <cell r="C70" t="str">
            <v>Điện giải  電解 (8)</v>
          </cell>
          <cell r="D70" t="str">
            <v>g/L</v>
          </cell>
          <cell r="E70" t="str">
            <v>50~70</v>
          </cell>
          <cell r="F70" t="str">
            <v>(60±5)</v>
          </cell>
          <cell r="G70">
            <v>60</v>
          </cell>
          <cell r="H70">
            <v>0</v>
          </cell>
          <cell r="I70">
            <v>0</v>
          </cell>
          <cell r="J70">
            <v>492</v>
          </cell>
          <cell r="K70" t="str">
            <v>+</v>
          </cell>
          <cell r="L70">
            <v>0</v>
          </cell>
          <cell r="M70" t="str">
            <v>kg</v>
          </cell>
          <cell r="N70">
            <v>0</v>
          </cell>
          <cell r="O70">
            <v>0</v>
          </cell>
          <cell r="P70">
            <v>492</v>
          </cell>
          <cell r="Q70" t="str">
            <v>+</v>
          </cell>
          <cell r="R70">
            <v>0</v>
          </cell>
          <cell r="S70" t="str">
            <v>kg</v>
          </cell>
          <cell r="T70">
            <v>0</v>
          </cell>
          <cell r="U70">
            <v>0</v>
          </cell>
          <cell r="V70">
            <v>492</v>
          </cell>
          <cell r="W70" t="str">
            <v>+</v>
          </cell>
          <cell r="X70">
            <v>0</v>
          </cell>
          <cell r="Y70" t="str">
            <v>kg</v>
          </cell>
          <cell r="Z70">
            <v>0</v>
          </cell>
          <cell r="AA70">
            <v>0</v>
          </cell>
          <cell r="AB70">
            <v>492</v>
          </cell>
          <cell r="AC70" t="str">
            <v>+</v>
          </cell>
          <cell r="AD70">
            <v>0</v>
          </cell>
          <cell r="AE70" t="str">
            <v>kg</v>
          </cell>
          <cell r="AF70">
            <v>0</v>
          </cell>
          <cell r="AG70">
            <v>0</v>
          </cell>
          <cell r="AH70">
            <v>492</v>
          </cell>
          <cell r="AI70" t="str">
            <v>+</v>
          </cell>
          <cell r="AJ70">
            <v>0</v>
          </cell>
          <cell r="AK70" t="str">
            <v>kg</v>
          </cell>
          <cell r="AL70">
            <v>0</v>
          </cell>
          <cell r="AM70">
            <v>0</v>
          </cell>
          <cell r="AN70">
            <v>492</v>
          </cell>
          <cell r="AO70" t="str">
            <v>+</v>
          </cell>
          <cell r="AP70">
            <v>0</v>
          </cell>
          <cell r="AQ70" t="str">
            <v>kg</v>
          </cell>
        </row>
        <row r="71">
          <cell r="A71" t="str">
            <v>XT-DG2</v>
          </cell>
          <cell r="B71" t="str">
            <v>XT-000C</v>
          </cell>
          <cell r="C71" t="str">
            <v>Điện giải  電解  (20,21)</v>
          </cell>
          <cell r="D71" t="str">
            <v>g/L</v>
          </cell>
          <cell r="E71" t="str">
            <v>50~70</v>
          </cell>
          <cell r="F71" t="str">
            <v>(60±5)</v>
          </cell>
          <cell r="G71">
            <v>60</v>
          </cell>
          <cell r="H71">
            <v>0</v>
          </cell>
          <cell r="I71">
            <v>0</v>
          </cell>
          <cell r="J71">
            <v>520.08000000000004</v>
          </cell>
          <cell r="K71" t="str">
            <v>+</v>
          </cell>
          <cell r="L71">
            <v>0</v>
          </cell>
          <cell r="M71" t="str">
            <v>kg</v>
          </cell>
          <cell r="N71">
            <v>0</v>
          </cell>
          <cell r="O71">
            <v>0</v>
          </cell>
          <cell r="P71">
            <v>520.08000000000004</v>
          </cell>
          <cell r="Q71" t="str">
            <v>+</v>
          </cell>
          <cell r="R71">
            <v>0</v>
          </cell>
          <cell r="S71" t="str">
            <v>kg</v>
          </cell>
          <cell r="T71">
            <v>0</v>
          </cell>
          <cell r="U71">
            <v>0</v>
          </cell>
          <cell r="V71">
            <v>520.08000000000004</v>
          </cell>
          <cell r="W71" t="str">
            <v>+</v>
          </cell>
          <cell r="X71">
            <v>0</v>
          </cell>
          <cell r="Y71" t="str">
            <v>kg</v>
          </cell>
          <cell r="Z71">
            <v>0</v>
          </cell>
          <cell r="AA71">
            <v>0</v>
          </cell>
          <cell r="AB71">
            <v>520.08000000000004</v>
          </cell>
          <cell r="AC71" t="str">
            <v>+</v>
          </cell>
          <cell r="AD71">
            <v>0</v>
          </cell>
          <cell r="AE71" t="str">
            <v>kg</v>
          </cell>
          <cell r="AF71">
            <v>0</v>
          </cell>
          <cell r="AG71">
            <v>0</v>
          </cell>
          <cell r="AH71">
            <v>520.08000000000004</v>
          </cell>
          <cell r="AI71" t="str">
            <v>+</v>
          </cell>
          <cell r="AJ71">
            <v>0</v>
          </cell>
          <cell r="AK71" t="str">
            <v>kg</v>
          </cell>
          <cell r="AL71">
            <v>0</v>
          </cell>
          <cell r="AM71">
            <v>0</v>
          </cell>
          <cell r="AN71">
            <v>520.08000000000004</v>
          </cell>
          <cell r="AO71" t="str">
            <v>+</v>
          </cell>
          <cell r="AP71">
            <v>0</v>
          </cell>
          <cell r="AQ71" t="str">
            <v>kg</v>
          </cell>
        </row>
        <row r="72">
          <cell r="A72" t="str">
            <v>XT-NAOH</v>
          </cell>
          <cell r="B72" t="str">
            <v>XT-000C</v>
          </cell>
          <cell r="C72" t="str">
            <v>NaOH (26-37)
氫氧化鈉</v>
          </cell>
          <cell r="D72" t="str">
            <v>g/L</v>
          </cell>
          <cell r="E72" t="str">
            <v>135~ 145</v>
          </cell>
          <cell r="F72" t="str">
            <v>(140±5)</v>
          </cell>
          <cell r="G72">
            <v>140</v>
          </cell>
          <cell r="H72">
            <v>0</v>
          </cell>
          <cell r="I72">
            <v>0</v>
          </cell>
          <cell r="J72">
            <v>7429.24</v>
          </cell>
          <cell r="K72" t="str">
            <v>+</v>
          </cell>
          <cell r="L72">
            <v>0</v>
          </cell>
          <cell r="M72" t="str">
            <v>kg</v>
          </cell>
          <cell r="N72">
            <v>0</v>
          </cell>
          <cell r="O72">
            <v>0</v>
          </cell>
          <cell r="P72">
            <v>7429.24</v>
          </cell>
          <cell r="Q72" t="str">
            <v>+</v>
          </cell>
          <cell r="R72">
            <v>0</v>
          </cell>
          <cell r="S72" t="str">
            <v>kg</v>
          </cell>
          <cell r="T72">
            <v>0</v>
          </cell>
          <cell r="U72">
            <v>0</v>
          </cell>
          <cell r="V72">
            <v>7429.24</v>
          </cell>
          <cell r="W72" t="str">
            <v>+</v>
          </cell>
          <cell r="X72">
            <v>0</v>
          </cell>
          <cell r="Y72" t="str">
            <v>kg</v>
          </cell>
          <cell r="Z72">
            <v>0</v>
          </cell>
          <cell r="AA72">
            <v>0</v>
          </cell>
          <cell r="AB72">
            <v>7429.24</v>
          </cell>
          <cell r="AC72" t="str">
            <v>+</v>
          </cell>
          <cell r="AD72">
            <v>0</v>
          </cell>
          <cell r="AE72" t="str">
            <v>kg</v>
          </cell>
          <cell r="AF72">
            <v>0</v>
          </cell>
          <cell r="AG72">
            <v>0</v>
          </cell>
          <cell r="AH72">
            <v>7429.24</v>
          </cell>
          <cell r="AI72" t="str">
            <v>+</v>
          </cell>
          <cell r="AJ72">
            <v>0</v>
          </cell>
          <cell r="AK72" t="str">
            <v>kg</v>
          </cell>
          <cell r="AL72">
            <v>0</v>
          </cell>
          <cell r="AM72">
            <v>0</v>
          </cell>
          <cell r="AN72">
            <v>7429.24</v>
          </cell>
          <cell r="AO72" t="str">
            <v>+</v>
          </cell>
          <cell r="AP72">
            <v>0</v>
          </cell>
          <cell r="AQ72" t="str">
            <v>kg</v>
          </cell>
        </row>
        <row r="73">
          <cell r="A73" t="str">
            <v>XT-ZN</v>
          </cell>
          <cell r="B73" t="str">
            <v>XT-000C</v>
          </cell>
          <cell r="C73" t="str">
            <v>Zn  鋅 (26-37)
(1 pcs Zn=25kg)</v>
          </cell>
          <cell r="D73" t="str">
            <v>g/L</v>
          </cell>
          <cell r="E73" t="str">
            <v>6~8</v>
          </cell>
          <cell r="F73" t="str">
            <v>(7±0.5)</v>
          </cell>
          <cell r="G73">
            <v>7</v>
          </cell>
          <cell r="H73">
            <v>0</v>
          </cell>
          <cell r="I73">
            <v>0</v>
          </cell>
          <cell r="J73">
            <v>371.46199999999999</v>
          </cell>
          <cell r="K73" t="str">
            <v>+</v>
          </cell>
          <cell r="L73">
            <v>0</v>
          </cell>
          <cell r="M73" t="str">
            <v>kg</v>
          </cell>
          <cell r="N73">
            <v>0</v>
          </cell>
          <cell r="O73">
            <v>0</v>
          </cell>
          <cell r="P73">
            <v>371.46199999999999</v>
          </cell>
          <cell r="Q73" t="str">
            <v>+</v>
          </cell>
          <cell r="R73">
            <v>0</v>
          </cell>
          <cell r="S73" t="str">
            <v>kg</v>
          </cell>
          <cell r="T73">
            <v>0</v>
          </cell>
          <cell r="U73">
            <v>0</v>
          </cell>
          <cell r="V73">
            <v>371.46199999999999</v>
          </cell>
          <cell r="W73" t="str">
            <v>+</v>
          </cell>
          <cell r="X73">
            <v>0</v>
          </cell>
          <cell r="Y73" t="str">
            <v>kg</v>
          </cell>
          <cell r="Z73">
            <v>0</v>
          </cell>
          <cell r="AA73">
            <v>0</v>
          </cell>
          <cell r="AB73">
            <v>371.46199999999999</v>
          </cell>
          <cell r="AC73" t="str">
            <v>+</v>
          </cell>
          <cell r="AD73">
            <v>0</v>
          </cell>
          <cell r="AE73" t="str">
            <v>kg</v>
          </cell>
          <cell r="AF73">
            <v>0</v>
          </cell>
          <cell r="AG73">
            <v>0</v>
          </cell>
          <cell r="AH73">
            <v>371.46199999999999</v>
          </cell>
          <cell r="AI73" t="str">
            <v>+</v>
          </cell>
          <cell r="AJ73">
            <v>0</v>
          </cell>
          <cell r="AK73" t="str">
            <v>kg</v>
          </cell>
          <cell r="AL73">
            <v>0</v>
          </cell>
          <cell r="AM73">
            <v>0</v>
          </cell>
          <cell r="AN73">
            <v>371.46199999999999</v>
          </cell>
          <cell r="AO73" t="str">
            <v>+</v>
          </cell>
          <cell r="AP73">
            <v>0</v>
          </cell>
          <cell r="AQ73" t="str">
            <v>kg</v>
          </cell>
        </row>
        <row r="74">
          <cell r="A74" t="str">
            <v>XT-CR3I</v>
          </cell>
          <cell r="B74" t="str">
            <v>XT-000C</v>
          </cell>
          <cell r="C74" t="str">
            <v>Nồng độ Cr2O3 三價鉻(46)
LANTHANE 318 (HALO)</v>
          </cell>
          <cell r="D74" t="str">
            <v>%</v>
          </cell>
          <cell r="E74" t="str">
            <v>5~8</v>
          </cell>
          <cell r="F74" t="str">
            <v>(6±0.5)</v>
          </cell>
          <cell r="G74">
            <v>6</v>
          </cell>
          <cell r="H74">
            <v>0</v>
          </cell>
          <cell r="I74">
            <v>-1.0461</v>
          </cell>
          <cell r="J74">
            <v>236.74896000000001</v>
          </cell>
          <cell r="K74" t="str">
            <v>+</v>
          </cell>
          <cell r="L74">
            <v>0</v>
          </cell>
          <cell r="M74" t="str">
            <v>L</v>
          </cell>
          <cell r="N74">
            <v>0</v>
          </cell>
          <cell r="O74">
            <v>-1.0461</v>
          </cell>
          <cell r="P74">
            <v>236.74896000000001</v>
          </cell>
          <cell r="Q74" t="str">
            <v>+</v>
          </cell>
          <cell r="R74">
            <v>0</v>
          </cell>
          <cell r="S74" t="str">
            <v>L</v>
          </cell>
          <cell r="T74">
            <v>0</v>
          </cell>
          <cell r="U74">
            <v>-1.0461</v>
          </cell>
          <cell r="V74">
            <v>236.74896000000001</v>
          </cell>
          <cell r="W74" t="str">
            <v>+</v>
          </cell>
          <cell r="X74">
            <v>0</v>
          </cell>
          <cell r="Y74" t="str">
            <v>L</v>
          </cell>
          <cell r="Z74">
            <v>0</v>
          </cell>
          <cell r="AA74">
            <v>-1.0461</v>
          </cell>
          <cell r="AB74">
            <v>236.74896000000001</v>
          </cell>
          <cell r="AC74" t="str">
            <v>+</v>
          </cell>
          <cell r="AD74">
            <v>0</v>
          </cell>
          <cell r="AE74" t="str">
            <v>L</v>
          </cell>
          <cell r="AF74">
            <v>0</v>
          </cell>
          <cell r="AG74">
            <v>-1.0461</v>
          </cell>
          <cell r="AH74">
            <v>236.74896000000001</v>
          </cell>
          <cell r="AI74" t="str">
            <v>+</v>
          </cell>
          <cell r="AJ74">
            <v>0</v>
          </cell>
          <cell r="AK74" t="str">
            <v>L</v>
          </cell>
          <cell r="AL74">
            <v>0</v>
          </cell>
          <cell r="AM74">
            <v>-1.0461</v>
          </cell>
          <cell r="AN74">
            <v>236.74896000000001</v>
          </cell>
          <cell r="AO74" t="str">
            <v>+</v>
          </cell>
          <cell r="AP74">
            <v>0</v>
          </cell>
          <cell r="AQ74" t="str">
            <v>L</v>
          </cell>
        </row>
        <row r="75">
          <cell r="A75" t="str">
            <v>XT-CR3IPH</v>
          </cell>
          <cell r="B75" t="str">
            <v>XT-000C</v>
          </cell>
          <cell r="C75" t="str">
            <v>PH</v>
          </cell>
          <cell r="D75" t="str">
            <v>pH</v>
          </cell>
          <cell r="E75" t="str">
            <v>2.0~2.4</v>
          </cell>
          <cell r="F75" t="str">
            <v>(2.2±0.2 )</v>
          </cell>
          <cell r="I75">
            <v>0</v>
          </cell>
          <cell r="L75">
            <v>0</v>
          </cell>
          <cell r="O75">
            <v>0</v>
          </cell>
          <cell r="R75">
            <v>0</v>
          </cell>
          <cell r="U75">
            <v>0</v>
          </cell>
          <cell r="X75">
            <v>0</v>
          </cell>
          <cell r="AA75">
            <v>0</v>
          </cell>
          <cell r="AD75">
            <v>0</v>
          </cell>
          <cell r="AG75">
            <v>0</v>
          </cell>
          <cell r="AJ75">
            <v>0</v>
          </cell>
          <cell r="AM75">
            <v>0</v>
          </cell>
          <cell r="AP75">
            <v>0</v>
          </cell>
        </row>
        <row r="76">
          <cell r="A76" t="str">
            <v>XT-HCL1</v>
          </cell>
          <cell r="B76" t="str">
            <v>XT-000C</v>
          </cell>
          <cell r="C76" t="str">
            <v>Nồng độ acid đặc (13,14)
鹽酸 濃度</v>
          </cell>
          <cell r="D76" t="str">
            <v>%V/V</v>
          </cell>
          <cell r="E76" t="str">
            <v>40~50</v>
          </cell>
          <cell r="F76" t="str">
            <v>(45±5)</v>
          </cell>
          <cell r="G76">
            <v>0.45</v>
          </cell>
          <cell r="H76">
            <v>0</v>
          </cell>
          <cell r="I76">
            <v>0</v>
          </cell>
          <cell r="J76">
            <v>3025.35</v>
          </cell>
          <cell r="K76" t="str">
            <v>+</v>
          </cell>
          <cell r="L76">
            <v>0</v>
          </cell>
          <cell r="M76" t="str">
            <v>L</v>
          </cell>
          <cell r="N76">
            <v>0</v>
          </cell>
          <cell r="O76">
            <v>0</v>
          </cell>
          <cell r="P76">
            <v>3025.35</v>
          </cell>
          <cell r="Q76" t="str">
            <v>+</v>
          </cell>
          <cell r="R76">
            <v>0</v>
          </cell>
          <cell r="S76" t="str">
            <v>L</v>
          </cell>
          <cell r="T76">
            <v>0</v>
          </cell>
          <cell r="U76">
            <v>0</v>
          </cell>
          <cell r="V76">
            <v>3025.35</v>
          </cell>
          <cell r="W76" t="str">
            <v>+</v>
          </cell>
          <cell r="X76">
            <v>0</v>
          </cell>
          <cell r="Y76" t="str">
            <v>L</v>
          </cell>
          <cell r="Z76">
            <v>0</v>
          </cell>
          <cell r="AA76">
            <v>0</v>
          </cell>
          <cell r="AB76">
            <v>3025.35</v>
          </cell>
          <cell r="AC76" t="str">
            <v>+</v>
          </cell>
          <cell r="AD76">
            <v>0</v>
          </cell>
          <cell r="AE76" t="str">
            <v>L</v>
          </cell>
          <cell r="AF76">
            <v>0</v>
          </cell>
          <cell r="AG76">
            <v>0</v>
          </cell>
          <cell r="AH76">
            <v>3025.35</v>
          </cell>
          <cell r="AI76" t="str">
            <v>+</v>
          </cell>
          <cell r="AJ76">
            <v>0</v>
          </cell>
          <cell r="AK76" t="str">
            <v>L</v>
          </cell>
          <cell r="AL76">
            <v>0</v>
          </cell>
          <cell r="AM76">
            <v>0</v>
          </cell>
          <cell r="AN76">
            <v>3025.35</v>
          </cell>
          <cell r="AO76" t="str">
            <v>+</v>
          </cell>
          <cell r="AP76">
            <v>0</v>
          </cell>
          <cell r="AQ76" t="str">
            <v>L</v>
          </cell>
        </row>
        <row r="77">
          <cell r="A77" t="str">
            <v>XT-HCL2</v>
          </cell>
          <cell r="B77" t="str">
            <v>XT-000C</v>
          </cell>
          <cell r="C77" t="str">
            <v>Nồng độ acid đặc (15,16,17)
鹽酸 濃度</v>
          </cell>
          <cell r="D77" t="str">
            <v>%V/V</v>
          </cell>
          <cell r="E77" t="str">
            <v>40~50</v>
          </cell>
          <cell r="F77" t="str">
            <v>(45±5)</v>
          </cell>
          <cell r="G77">
            <v>0.45</v>
          </cell>
          <cell r="H77">
            <v>0</v>
          </cell>
          <cell r="I77">
            <v>0</v>
          </cell>
          <cell r="J77">
            <v>4729.05</v>
          </cell>
          <cell r="K77" t="str">
            <v>+</v>
          </cell>
          <cell r="L77">
            <v>0</v>
          </cell>
          <cell r="M77" t="str">
            <v>L</v>
          </cell>
          <cell r="N77">
            <v>0</v>
          </cell>
          <cell r="O77">
            <v>0</v>
          </cell>
          <cell r="P77">
            <v>4729.05</v>
          </cell>
          <cell r="Q77" t="str">
            <v>+</v>
          </cell>
          <cell r="R77">
            <v>0</v>
          </cell>
          <cell r="S77" t="str">
            <v>L</v>
          </cell>
          <cell r="T77">
            <v>0</v>
          </cell>
          <cell r="U77">
            <v>0</v>
          </cell>
          <cell r="V77">
            <v>4729.05</v>
          </cell>
          <cell r="W77" t="str">
            <v>+</v>
          </cell>
          <cell r="X77">
            <v>0</v>
          </cell>
          <cell r="Y77" t="str">
            <v>L</v>
          </cell>
          <cell r="Z77">
            <v>0</v>
          </cell>
          <cell r="AA77">
            <v>0</v>
          </cell>
          <cell r="AB77">
            <v>4729.05</v>
          </cell>
          <cell r="AC77" t="str">
            <v>+</v>
          </cell>
          <cell r="AD77">
            <v>0</v>
          </cell>
          <cell r="AE77" t="str">
            <v>L</v>
          </cell>
          <cell r="AF77">
            <v>0</v>
          </cell>
          <cell r="AG77">
            <v>0</v>
          </cell>
          <cell r="AH77">
            <v>4729.05</v>
          </cell>
          <cell r="AI77" t="str">
            <v>+</v>
          </cell>
          <cell r="AJ77">
            <v>0</v>
          </cell>
          <cell r="AK77" t="str">
            <v>L</v>
          </cell>
          <cell r="AL77">
            <v>0</v>
          </cell>
          <cell r="AM77">
            <v>0</v>
          </cell>
          <cell r="AN77">
            <v>4729.05</v>
          </cell>
          <cell r="AO77" t="str">
            <v>+</v>
          </cell>
          <cell r="AP77">
            <v>0</v>
          </cell>
          <cell r="AQ77" t="str">
            <v>L</v>
          </cell>
        </row>
        <row r="78">
          <cell r="A78" t="str">
            <v>XT-HCL3</v>
          </cell>
          <cell r="B78" t="str">
            <v>XT-000C</v>
          </cell>
          <cell r="C78" t="str">
            <v>Nồng độ acid loãng (12)
稀酸 濃度</v>
          </cell>
          <cell r="D78" t="str">
            <v>%V/V</v>
          </cell>
          <cell r="E78" t="str">
            <v>20~40</v>
          </cell>
          <cell r="F78" t="str">
            <v>(30±5)</v>
          </cell>
          <cell r="G78">
            <v>0.3</v>
          </cell>
          <cell r="H78">
            <v>0</v>
          </cell>
          <cell r="I78">
            <v>0</v>
          </cell>
          <cell r="J78">
            <v>970.19999999999993</v>
          </cell>
          <cell r="K78" t="str">
            <v>+</v>
          </cell>
          <cell r="L78">
            <v>0</v>
          </cell>
          <cell r="M78" t="str">
            <v>L</v>
          </cell>
          <cell r="N78">
            <v>0</v>
          </cell>
          <cell r="O78">
            <v>0</v>
          </cell>
          <cell r="P78">
            <v>970.19999999999993</v>
          </cell>
          <cell r="Q78" t="str">
            <v>+</v>
          </cell>
          <cell r="R78">
            <v>0</v>
          </cell>
          <cell r="S78" t="str">
            <v>L</v>
          </cell>
          <cell r="T78">
            <v>0</v>
          </cell>
          <cell r="U78">
            <v>0</v>
          </cell>
          <cell r="V78">
            <v>970.19999999999993</v>
          </cell>
          <cell r="W78" t="str">
            <v>+</v>
          </cell>
          <cell r="X78">
            <v>0</v>
          </cell>
          <cell r="Y78" t="str">
            <v>L</v>
          </cell>
          <cell r="Z78">
            <v>0</v>
          </cell>
          <cell r="AA78">
            <v>0</v>
          </cell>
          <cell r="AB78">
            <v>970.19999999999993</v>
          </cell>
          <cell r="AC78" t="str">
            <v>+</v>
          </cell>
          <cell r="AD78">
            <v>0</v>
          </cell>
          <cell r="AE78" t="str">
            <v>L</v>
          </cell>
          <cell r="AF78">
            <v>0</v>
          </cell>
          <cell r="AG78">
            <v>0</v>
          </cell>
          <cell r="AH78">
            <v>970.19999999999993</v>
          </cell>
          <cell r="AI78" t="str">
            <v>+</v>
          </cell>
          <cell r="AJ78">
            <v>0</v>
          </cell>
          <cell r="AK78" t="str">
            <v>L</v>
          </cell>
          <cell r="AL78">
            <v>0</v>
          </cell>
          <cell r="AM78">
            <v>0</v>
          </cell>
          <cell r="AN78">
            <v>970.19999999999993</v>
          </cell>
          <cell r="AO78" t="str">
            <v>+</v>
          </cell>
          <cell r="AP78">
            <v>0</v>
          </cell>
          <cell r="AQ78" t="str">
            <v>L</v>
          </cell>
        </row>
        <row r="79">
          <cell r="A79" t="str">
            <v>XT-HNO3</v>
          </cell>
          <cell r="B79" t="str">
            <v>XT-000C</v>
          </cell>
          <cell r="C79" t="str">
            <v>Nồng độ HNO3  (42)
硝酸濃度</v>
          </cell>
          <cell r="D79" t="str">
            <v>%V/V</v>
          </cell>
          <cell r="E79" t="str">
            <v>0.5~1.5</v>
          </cell>
          <cell r="F79" t="str">
            <v>(1±0.4)</v>
          </cell>
          <cell r="G79">
            <v>0.01</v>
          </cell>
          <cell r="H79">
            <v>0</v>
          </cell>
          <cell r="I79">
            <v>0</v>
          </cell>
          <cell r="J79">
            <v>28.080000000000002</v>
          </cell>
          <cell r="K79" t="str">
            <v>+</v>
          </cell>
          <cell r="L79">
            <v>0</v>
          </cell>
          <cell r="M79" t="str">
            <v>L</v>
          </cell>
          <cell r="N79">
            <v>0</v>
          </cell>
          <cell r="O79">
            <v>0</v>
          </cell>
          <cell r="P79">
            <v>28.080000000000002</v>
          </cell>
          <cell r="Q79" t="str">
            <v>+</v>
          </cell>
          <cell r="R79">
            <v>0</v>
          </cell>
          <cell r="S79" t="str">
            <v>L</v>
          </cell>
          <cell r="T79">
            <v>0</v>
          </cell>
          <cell r="U79">
            <v>0</v>
          </cell>
          <cell r="V79">
            <v>28.080000000000002</v>
          </cell>
          <cell r="W79" t="str">
            <v>+</v>
          </cell>
          <cell r="X79">
            <v>0</v>
          </cell>
          <cell r="Y79" t="str">
            <v>L</v>
          </cell>
          <cell r="Z79">
            <v>0</v>
          </cell>
          <cell r="AA79">
            <v>0</v>
          </cell>
          <cell r="AB79">
            <v>28.080000000000002</v>
          </cell>
          <cell r="AC79" t="str">
            <v>+</v>
          </cell>
          <cell r="AD79">
            <v>0</v>
          </cell>
          <cell r="AE79" t="str">
            <v>L</v>
          </cell>
          <cell r="AF79">
            <v>0</v>
          </cell>
          <cell r="AG79">
            <v>0</v>
          </cell>
          <cell r="AH79">
            <v>28.080000000000002</v>
          </cell>
          <cell r="AI79" t="str">
            <v>+</v>
          </cell>
          <cell r="AJ79">
            <v>0</v>
          </cell>
          <cell r="AK79" t="str">
            <v>L</v>
          </cell>
          <cell r="AL79">
            <v>0</v>
          </cell>
          <cell r="AM79">
            <v>0</v>
          </cell>
          <cell r="AN79">
            <v>28.080000000000002</v>
          </cell>
          <cell r="AO79" t="str">
            <v>+</v>
          </cell>
          <cell r="AP79">
            <v>0</v>
          </cell>
          <cell r="AQ79" t="str">
            <v>L</v>
          </cell>
        </row>
        <row r="80">
          <cell r="A80" t="str">
            <v>XT-CR3K</v>
          </cell>
          <cell r="B80" t="str">
            <v>XT-000C</v>
          </cell>
          <cell r="C80" t="str">
            <v xml:space="preserve">  Cr2O3 （K) (49)
三價鉻</v>
          </cell>
          <cell r="D80" t="str">
            <v>%</v>
          </cell>
          <cell r="E80" t="str">
            <v>3~9</v>
          </cell>
          <cell r="F80" t="str">
            <v>(6±1)</v>
          </cell>
          <cell r="G80">
            <v>6</v>
          </cell>
          <cell r="H80">
            <v>0</v>
          </cell>
          <cell r="I80" t="str">
            <v/>
          </cell>
          <cell r="J80" t="e">
            <v>#VALUE!</v>
          </cell>
          <cell r="K80" t="str">
            <v>+</v>
          </cell>
          <cell r="L80" t="str">
            <v/>
          </cell>
          <cell r="M80" t="str">
            <v>L</v>
          </cell>
          <cell r="N80">
            <v>0</v>
          </cell>
          <cell r="O80" t="str">
            <v/>
          </cell>
          <cell r="P80" t="e">
            <v>#VALUE!</v>
          </cell>
          <cell r="Q80" t="str">
            <v>+</v>
          </cell>
          <cell r="R80" t="str">
            <v/>
          </cell>
          <cell r="S80" t="str">
            <v>L</v>
          </cell>
          <cell r="T80">
            <v>0</v>
          </cell>
          <cell r="U80" t="str">
            <v/>
          </cell>
          <cell r="V80" t="e">
            <v>#VALUE!</v>
          </cell>
          <cell r="W80" t="str">
            <v>+</v>
          </cell>
          <cell r="X80" t="str">
            <v/>
          </cell>
          <cell r="Y80" t="str">
            <v>L</v>
          </cell>
          <cell r="Z80">
            <v>0</v>
          </cell>
          <cell r="AA80" t="str">
            <v/>
          </cell>
          <cell r="AB80" t="e">
            <v>#VALUE!</v>
          </cell>
          <cell r="AC80" t="str">
            <v>+</v>
          </cell>
          <cell r="AD80" t="str">
            <v/>
          </cell>
          <cell r="AE80" t="str">
            <v>L</v>
          </cell>
          <cell r="AF80">
            <v>0</v>
          </cell>
          <cell r="AG80" t="str">
            <v/>
          </cell>
          <cell r="AH80" t="e">
            <v>#VALUE!</v>
          </cell>
          <cell r="AI80" t="str">
            <v>+</v>
          </cell>
          <cell r="AJ80" t="str">
            <v/>
          </cell>
          <cell r="AK80" t="str">
            <v>L</v>
          </cell>
          <cell r="AL80">
            <v>0</v>
          </cell>
          <cell r="AM80" t="str">
            <v/>
          </cell>
          <cell r="AN80" t="e">
            <v>#VALUE!</v>
          </cell>
          <cell r="AO80" t="str">
            <v>+</v>
          </cell>
          <cell r="AP80" t="str">
            <v/>
          </cell>
          <cell r="AQ80" t="str">
            <v>L</v>
          </cell>
        </row>
        <row r="81">
          <cell r="A81" t="str">
            <v>XT-CR3KPH</v>
          </cell>
          <cell r="B81" t="str">
            <v>XT-000C</v>
          </cell>
          <cell r="C81" t="str">
            <v>PH</v>
          </cell>
          <cell r="D81" t="str">
            <v>pH</v>
          </cell>
          <cell r="E81" t="str">
            <v>1.8~2.4</v>
          </cell>
          <cell r="F81" t="str">
            <v>(2.0±0.1)</v>
          </cell>
          <cell r="I81">
            <v>0</v>
          </cell>
          <cell r="O81">
            <v>0</v>
          </cell>
          <cell r="U81">
            <v>0</v>
          </cell>
          <cell r="AA81">
            <v>0</v>
          </cell>
          <cell r="AG81">
            <v>0</v>
          </cell>
          <cell r="AM81">
            <v>0</v>
          </cell>
        </row>
        <row r="82">
          <cell r="C82" t="str">
            <v>Nồng độ Cr2O3 
三價鉻( JASCO 45)</v>
          </cell>
          <cell r="D82" t="str">
            <v>%</v>
          </cell>
          <cell r="E82" t="str">
            <v>8~16 %</v>
          </cell>
          <cell r="F82" t="str">
            <v>(12±2%)</v>
          </cell>
          <cell r="G82">
            <v>12</v>
          </cell>
          <cell r="H82">
            <v>0</v>
          </cell>
          <cell r="I82" t="str">
            <v/>
          </cell>
          <cell r="J82" t="e">
            <v>#VALUE!</v>
          </cell>
          <cell r="K82" t="str">
            <v>+</v>
          </cell>
          <cell r="L82" t="str">
            <v/>
          </cell>
          <cell r="M82" t="str">
            <v>L</v>
          </cell>
          <cell r="N82">
            <v>0</v>
          </cell>
          <cell r="O82" t="str">
            <v/>
          </cell>
          <cell r="P82" t="e">
            <v>#VALUE!</v>
          </cell>
          <cell r="Q82" t="str">
            <v>+</v>
          </cell>
          <cell r="R82" t="str">
            <v/>
          </cell>
          <cell r="S82" t="str">
            <v>L</v>
          </cell>
          <cell r="T82">
            <v>0</v>
          </cell>
          <cell r="U82" t="str">
            <v/>
          </cell>
          <cell r="V82" t="e">
            <v>#VALUE!</v>
          </cell>
          <cell r="W82" t="str">
            <v>+</v>
          </cell>
          <cell r="X82" t="str">
            <v/>
          </cell>
          <cell r="Y82" t="str">
            <v>L</v>
          </cell>
          <cell r="Z82">
            <v>0</v>
          </cell>
          <cell r="AA82" t="str">
            <v/>
          </cell>
          <cell r="AB82" t="e">
            <v>#VALUE!</v>
          </cell>
          <cell r="AC82" t="str">
            <v>+</v>
          </cell>
          <cell r="AD82" t="str">
            <v/>
          </cell>
          <cell r="AE82" t="str">
            <v>L</v>
          </cell>
          <cell r="AF82">
            <v>0</v>
          </cell>
          <cell r="AG82" t="str">
            <v/>
          </cell>
          <cell r="AH82" t="e">
            <v>#VALUE!</v>
          </cell>
          <cell r="AI82" t="str">
            <v>+</v>
          </cell>
          <cell r="AJ82" t="str">
            <v/>
          </cell>
          <cell r="AK82" t="str">
            <v>L</v>
          </cell>
          <cell r="AL82">
            <v>0</v>
          </cell>
          <cell r="AM82" t="str">
            <v/>
          </cell>
          <cell r="AN82" t="e">
            <v>#VALUE!</v>
          </cell>
          <cell r="AO82" t="str">
            <v>+</v>
          </cell>
          <cell r="AP82" t="str">
            <v/>
          </cell>
          <cell r="AQ82" t="str">
            <v>L</v>
          </cell>
        </row>
        <row r="83">
          <cell r="C83" t="str">
            <v>PH</v>
          </cell>
          <cell r="D83" t="str">
            <v>pH</v>
          </cell>
          <cell r="E83" t="str">
            <v>1.8~2.4</v>
          </cell>
          <cell r="F83" t="str">
            <v>(2.0 ±0.2 )</v>
          </cell>
          <cell r="I83">
            <v>0</v>
          </cell>
          <cell r="O83">
            <v>0</v>
          </cell>
          <cell r="U83">
            <v>0</v>
          </cell>
          <cell r="AA83">
            <v>0</v>
          </cell>
          <cell r="AG83">
            <v>0</v>
          </cell>
          <cell r="AM83">
            <v>0</v>
          </cell>
        </row>
        <row r="84">
          <cell r="A84" t="str">
            <v>XTNI-ZN</v>
          </cell>
          <cell r="B84" t="str">
            <v>XT-000C</v>
          </cell>
          <cell r="C84" t="str">
            <v>Zn-Niken Plating-          Zn</v>
          </cell>
          <cell r="D84" t="str">
            <v>g/L</v>
          </cell>
          <cell r="E84" t="str">
            <v>5~6</v>
          </cell>
          <cell r="F84" t="str">
            <v>(5.5± 0.5L)</v>
          </cell>
          <cell r="G84">
            <v>5.5</v>
          </cell>
          <cell r="H84">
            <v>0</v>
          </cell>
          <cell r="I84" t="str">
            <v/>
          </cell>
          <cell r="J84" t="e">
            <v>#VALUE!</v>
          </cell>
          <cell r="K84" t="str">
            <v>+</v>
          </cell>
          <cell r="L84" t="str">
            <v/>
          </cell>
          <cell r="M84" t="str">
            <v>kg</v>
          </cell>
          <cell r="N84">
            <v>0</v>
          </cell>
          <cell r="T84">
            <v>0</v>
          </cell>
          <cell r="U84" t="str">
            <v/>
          </cell>
          <cell r="V84" t="e">
            <v>#VALUE!</v>
          </cell>
          <cell r="W84" t="str">
            <v>+</v>
          </cell>
          <cell r="X84" t="str">
            <v/>
          </cell>
          <cell r="Y84" t="str">
            <v>kg</v>
          </cell>
          <cell r="Z84">
            <v>0</v>
          </cell>
          <cell r="AA84" t="str">
            <v/>
          </cell>
          <cell r="AB84" t="e">
            <v>#VALUE!</v>
          </cell>
          <cell r="AC84" t="str">
            <v>+</v>
          </cell>
          <cell r="AD84" t="str">
            <v/>
          </cell>
          <cell r="AE84" t="str">
            <v>kg</v>
          </cell>
          <cell r="AL84">
            <v>0</v>
          </cell>
          <cell r="AM84" t="str">
            <v/>
          </cell>
          <cell r="AN84" t="e">
            <v>#VALUE!</v>
          </cell>
          <cell r="AO84" t="str">
            <v>+</v>
          </cell>
          <cell r="AP84" t="str">
            <v/>
          </cell>
          <cell r="AQ84" t="str">
            <v>kg</v>
          </cell>
        </row>
        <row r="85">
          <cell r="A85" t="str">
            <v>XTNI-NI</v>
          </cell>
          <cell r="B85" t="str">
            <v>XT-000C</v>
          </cell>
          <cell r="C85" t="str">
            <v>Zn-Niken Plating-         Ni</v>
          </cell>
          <cell r="D85" t="str">
            <v>g/L</v>
          </cell>
          <cell r="E85" t="str">
            <v>1.7~1.9g/L
(1.8 ± 0.1g/L)</v>
          </cell>
          <cell r="F85" t="str">
            <v>1.7~1.9g/L
(1.8 ± 0.1g/L)</v>
          </cell>
          <cell r="G85">
            <v>1.8</v>
          </cell>
          <cell r="H85">
            <v>0</v>
          </cell>
          <cell r="I85">
            <v>0</v>
          </cell>
          <cell r="J85">
            <v>14.4</v>
          </cell>
          <cell r="K85" t="str">
            <v>+</v>
          </cell>
          <cell r="L85" t="str">
            <v/>
          </cell>
          <cell r="M85" t="str">
            <v>L</v>
          </cell>
          <cell r="N85">
            <v>0</v>
          </cell>
          <cell r="T85">
            <v>0</v>
          </cell>
          <cell r="U85">
            <v>0</v>
          </cell>
          <cell r="V85">
            <v>14.4</v>
          </cell>
          <cell r="W85" t="str">
            <v>+</v>
          </cell>
          <cell r="X85" t="str">
            <v/>
          </cell>
          <cell r="Y85" t="str">
            <v>L</v>
          </cell>
          <cell r="Z85">
            <v>0</v>
          </cell>
          <cell r="AA85">
            <v>0</v>
          </cell>
          <cell r="AB85">
            <v>14.4</v>
          </cell>
          <cell r="AC85" t="str">
            <v>+</v>
          </cell>
          <cell r="AD85" t="str">
            <v/>
          </cell>
          <cell r="AE85" t="str">
            <v>L</v>
          </cell>
          <cell r="AL85">
            <v>0</v>
          </cell>
          <cell r="AM85">
            <v>0</v>
          </cell>
          <cell r="AN85">
            <v>14.4</v>
          </cell>
          <cell r="AO85" t="str">
            <v>+</v>
          </cell>
          <cell r="AP85" t="str">
            <v/>
          </cell>
          <cell r="AQ85" t="str">
            <v>L</v>
          </cell>
        </row>
        <row r="86">
          <cell r="A86" t="str">
            <v>XTNI-NAOH</v>
          </cell>
          <cell r="B86" t="str">
            <v>XT-000C</v>
          </cell>
          <cell r="C86" t="str">
            <v xml:space="preserve">Zn-Niken Plating-        NaOH </v>
          </cell>
          <cell r="D86" t="str">
            <v>g/L</v>
          </cell>
          <cell r="E86" t="str">
            <v>120~130</v>
          </cell>
          <cell r="F86" t="str">
            <v>(125 ± 5)</v>
          </cell>
          <cell r="G86">
            <v>125</v>
          </cell>
          <cell r="H86">
            <v>0</v>
          </cell>
          <cell r="I86">
            <v>0</v>
          </cell>
          <cell r="J86">
            <v>1000</v>
          </cell>
          <cell r="K86" t="str">
            <v>+</v>
          </cell>
          <cell r="L86" t="str">
            <v/>
          </cell>
          <cell r="M86" t="str">
            <v>kg</v>
          </cell>
          <cell r="N86">
            <v>0</v>
          </cell>
          <cell r="T86">
            <v>0</v>
          </cell>
          <cell r="U86">
            <v>0</v>
          </cell>
          <cell r="V86">
            <v>1000</v>
          </cell>
          <cell r="W86" t="str">
            <v>+</v>
          </cell>
          <cell r="X86" t="str">
            <v/>
          </cell>
          <cell r="Y86" t="str">
            <v>kg</v>
          </cell>
          <cell r="Z86">
            <v>0</v>
          </cell>
          <cell r="AA86">
            <v>0</v>
          </cell>
          <cell r="AB86">
            <v>1000</v>
          </cell>
          <cell r="AC86" t="str">
            <v>+</v>
          </cell>
          <cell r="AD86" t="str">
            <v/>
          </cell>
          <cell r="AE86" t="str">
            <v>kg</v>
          </cell>
          <cell r="AL86">
            <v>0</v>
          </cell>
          <cell r="AM86">
            <v>0</v>
          </cell>
          <cell r="AN86">
            <v>1000</v>
          </cell>
          <cell r="AO86" t="str">
            <v>+</v>
          </cell>
          <cell r="AP86" t="str">
            <v/>
          </cell>
          <cell r="AQ86" t="str">
            <v>kg</v>
          </cell>
        </row>
        <row r="87">
          <cell r="A87" t="str">
            <v>XTNI-HT</v>
          </cell>
          <cell r="B87" t="str">
            <v>XT-000C</v>
          </cell>
          <cell r="C87" t="str">
            <v>Zn-Niken Plating-       208HT</v>
          </cell>
          <cell r="D87" t="str">
            <v>g/L</v>
          </cell>
          <cell r="E87" t="str">
            <v>125~135g/L
(130g/L)</v>
          </cell>
          <cell r="F87" t="str">
            <v>125~135g/L
(130g/L)</v>
          </cell>
          <cell r="G87">
            <v>130</v>
          </cell>
          <cell r="H87">
            <v>0</v>
          </cell>
          <cell r="I87" t="str">
            <v/>
          </cell>
          <cell r="J87" t="e">
            <v>#VALUE!</v>
          </cell>
          <cell r="K87" t="str">
            <v>+</v>
          </cell>
          <cell r="L87" t="str">
            <v/>
          </cell>
          <cell r="M87" t="str">
            <v>L</v>
          </cell>
          <cell r="N87">
            <v>0</v>
          </cell>
          <cell r="T87">
            <v>0</v>
          </cell>
          <cell r="U87" t="str">
            <v/>
          </cell>
          <cell r="V87" t="e">
            <v>#VALUE!</v>
          </cell>
          <cell r="W87" t="str">
            <v>+</v>
          </cell>
          <cell r="X87" t="str">
            <v/>
          </cell>
          <cell r="Y87" t="str">
            <v>L</v>
          </cell>
          <cell r="Z87">
            <v>0</v>
          </cell>
          <cell r="AA87" t="str">
            <v/>
          </cell>
          <cell r="AB87" t="e">
            <v>#VALUE!</v>
          </cell>
          <cell r="AC87" t="str">
            <v>+</v>
          </cell>
          <cell r="AD87" t="str">
            <v/>
          </cell>
          <cell r="AE87" t="str">
            <v>L</v>
          </cell>
          <cell r="AL87">
            <v>0</v>
          </cell>
          <cell r="AM87" t="str">
            <v/>
          </cell>
          <cell r="AN87" t="e">
            <v>#VALUE!</v>
          </cell>
          <cell r="AO87" t="str">
            <v>+</v>
          </cell>
          <cell r="AP87" t="str">
            <v/>
          </cell>
          <cell r="AQ87" t="str">
            <v>L</v>
          </cell>
        </row>
        <row r="88">
          <cell r="A88" t="str">
            <v>XTNI-CR3PH</v>
          </cell>
          <cell r="B88" t="str">
            <v>XT-000C</v>
          </cell>
          <cell r="C88" t="str">
            <v>Cr2O3   三價鉻Ni-       PH</v>
          </cell>
          <cell r="D88" t="str">
            <v>PH</v>
          </cell>
          <cell r="E88" t="str">
            <v>3.0-4.5</v>
          </cell>
          <cell r="F88" t="str">
            <v>(4.3±0.2)</v>
          </cell>
          <cell r="I88">
            <v>0</v>
          </cell>
          <cell r="U88">
            <v>0</v>
          </cell>
          <cell r="AA88">
            <v>0</v>
          </cell>
          <cell r="AM88">
            <v>0</v>
          </cell>
        </row>
        <row r="89">
          <cell r="A89" t="str">
            <v>Hạng mục kiểm tra nhiệt độ 檢查溫度</v>
          </cell>
        </row>
        <row r="90">
          <cell r="A90" t="str">
            <v>MÃ</v>
          </cell>
          <cell r="B90" t="str">
            <v>MÃ MÁY</v>
          </cell>
          <cell r="C90" t="str">
            <v>Hạng mục kiểm tra nhiệt độ
溫度檢查項目</v>
          </cell>
          <cell r="D90" t="str">
            <v>nhiệt độ
溫度</v>
          </cell>
          <cell r="E90" t="str">
            <v>Phạm vi kiểm soát
範圍值</v>
          </cell>
          <cell r="F90" t="str">
            <v>Giới hạn kiểm soát
管控值</v>
          </cell>
          <cell r="I90" t="str">
            <v>Nhiệt kế 
温度計</v>
          </cell>
          <cell r="L90" t="str">
            <v>Nhiệt tự động
自動温控</v>
          </cell>
          <cell r="O90" t="str">
            <v>Nhiệt kế 
温度計</v>
          </cell>
          <cell r="R90" t="str">
            <v>Nhiệt tự động
自動温控</v>
          </cell>
          <cell r="U90" t="str">
            <v>Nhiệt kế 
温度計</v>
          </cell>
          <cell r="X90" t="str">
            <v>Nhiệt tự động
自動温控</v>
          </cell>
          <cell r="AA90" t="str">
            <v>Nhiệt kế 
温度計</v>
          </cell>
          <cell r="AD90" t="str">
            <v>Nhiệt tự động
自動温控</v>
          </cell>
          <cell r="AG90" t="str">
            <v>Nhiệt kế 
温度計</v>
          </cell>
          <cell r="AJ90" t="str">
            <v>Nhiệt tự động
自動温控</v>
          </cell>
          <cell r="AM90" t="str">
            <v>Nhiệt kế 
温度計</v>
          </cell>
          <cell r="AP90" t="str">
            <v>Nhiệt tự động
自動温控</v>
          </cell>
        </row>
        <row r="91">
          <cell r="A91" t="str">
            <v>XT-TEMXB1</v>
          </cell>
          <cell r="B91" t="str">
            <v>XT-000C</v>
          </cell>
          <cell r="C91" t="str">
            <v>Nhiệt  độ xà bông nóng (1)
 熱脫脂溫度(1)</v>
          </cell>
          <cell r="D91" t="str">
            <v>0C</v>
          </cell>
          <cell r="E91" t="str">
            <v>65~75</v>
          </cell>
          <cell r="F91" t="str">
            <v>(70±3)</v>
          </cell>
          <cell r="I91">
            <v>0</v>
          </cell>
          <cell r="L91">
            <v>0</v>
          </cell>
          <cell r="O91">
            <v>0</v>
          </cell>
          <cell r="R91">
            <v>0</v>
          </cell>
          <cell r="U91">
            <v>0</v>
          </cell>
          <cell r="X91">
            <v>0</v>
          </cell>
          <cell r="AA91">
            <v>0</v>
          </cell>
          <cell r="AD91">
            <v>0</v>
          </cell>
          <cell r="AG91">
            <v>0</v>
          </cell>
          <cell r="AJ91">
            <v>0</v>
          </cell>
          <cell r="AM91">
            <v>0</v>
          </cell>
          <cell r="AP91">
            <v>0</v>
          </cell>
        </row>
        <row r="92">
          <cell r="A92" t="str">
            <v>XT-TEMXB2</v>
          </cell>
          <cell r="B92" t="str">
            <v>XT-000C</v>
          </cell>
          <cell r="C92" t="str">
            <v>Nhiệt  độ xà bông nóng (2)
 熱脫脂溫度(2)</v>
          </cell>
          <cell r="D92" t="str">
            <v>0C</v>
          </cell>
          <cell r="E92" t="str">
            <v>65~75</v>
          </cell>
          <cell r="F92" t="str">
            <v>(70±3)</v>
          </cell>
          <cell r="I92">
            <v>0</v>
          </cell>
          <cell r="L92">
            <v>0</v>
          </cell>
          <cell r="O92">
            <v>0</v>
          </cell>
          <cell r="R92">
            <v>0</v>
          </cell>
          <cell r="U92">
            <v>0</v>
          </cell>
          <cell r="X92">
            <v>0</v>
          </cell>
          <cell r="AA92">
            <v>0</v>
          </cell>
          <cell r="AD92">
            <v>0</v>
          </cell>
          <cell r="AG92">
            <v>0</v>
          </cell>
          <cell r="AJ92">
            <v>0</v>
          </cell>
          <cell r="AM92">
            <v>0</v>
          </cell>
          <cell r="AP92">
            <v>0</v>
          </cell>
        </row>
        <row r="93">
          <cell r="A93" t="str">
            <v>XT-TEMDG1</v>
          </cell>
          <cell r="B93" t="str">
            <v>XT-000C</v>
          </cell>
          <cell r="C93" t="str">
            <v>Nhiệt độ điện giải (1) 
電解1 溫度</v>
          </cell>
          <cell r="D93" t="str">
            <v>0C</v>
          </cell>
          <cell r="E93" t="str">
            <v>60~70</v>
          </cell>
          <cell r="F93" t="str">
            <v>(65±3)</v>
          </cell>
          <cell r="I93">
            <v>0</v>
          </cell>
          <cell r="L93">
            <v>0</v>
          </cell>
          <cell r="O93">
            <v>0</v>
          </cell>
          <cell r="R93">
            <v>0</v>
          </cell>
          <cell r="U93">
            <v>0</v>
          </cell>
          <cell r="X93">
            <v>0</v>
          </cell>
          <cell r="AA93">
            <v>0</v>
          </cell>
          <cell r="AD93">
            <v>0</v>
          </cell>
          <cell r="AG93">
            <v>0</v>
          </cell>
          <cell r="AJ93">
            <v>0</v>
          </cell>
          <cell r="AM93">
            <v>0</v>
          </cell>
          <cell r="AP93">
            <v>0</v>
          </cell>
        </row>
        <row r="94">
          <cell r="A94" t="str">
            <v>XT-TEMDG2</v>
          </cell>
          <cell r="B94" t="str">
            <v>XT-000C</v>
          </cell>
          <cell r="C94" t="str">
            <v>Nhiệt độ điện giải (2)
電解 2 溫度</v>
          </cell>
          <cell r="D94" t="str">
            <v>0C</v>
          </cell>
          <cell r="E94" t="str">
            <v>60~70</v>
          </cell>
          <cell r="F94" t="str">
            <v>(65±3)</v>
          </cell>
          <cell r="I94">
            <v>0</v>
          </cell>
          <cell r="L94">
            <v>0</v>
          </cell>
          <cell r="O94">
            <v>0</v>
          </cell>
          <cell r="R94">
            <v>0</v>
          </cell>
          <cell r="U94">
            <v>0</v>
          </cell>
          <cell r="X94">
            <v>0</v>
          </cell>
          <cell r="AA94">
            <v>0</v>
          </cell>
          <cell r="AD94">
            <v>0</v>
          </cell>
          <cell r="AG94">
            <v>0</v>
          </cell>
          <cell r="AJ94">
            <v>0</v>
          </cell>
          <cell r="AM94">
            <v>0</v>
          </cell>
          <cell r="AP94">
            <v>0</v>
          </cell>
        </row>
        <row r="95">
          <cell r="A95" t="str">
            <v>XT-TEMBX</v>
          </cell>
          <cell r="B95" t="str">
            <v>XT-000C</v>
          </cell>
          <cell r="C95" t="str">
            <v>Nhiệt độ bồn xi
鍍鋅槽溫度</v>
          </cell>
          <cell r="D95" t="str">
            <v>0C</v>
          </cell>
          <cell r="E95" t="str">
            <v>24~26</v>
          </cell>
          <cell r="F95" t="str">
            <v>(25)</v>
          </cell>
          <cell r="I95">
            <v>0</v>
          </cell>
          <cell r="L95">
            <v>0</v>
          </cell>
          <cell r="O95">
            <v>0</v>
          </cell>
          <cell r="R95">
            <v>0</v>
          </cell>
          <cell r="U95">
            <v>0</v>
          </cell>
          <cell r="X95">
            <v>0</v>
          </cell>
          <cell r="AA95">
            <v>0</v>
          </cell>
          <cell r="AD95">
            <v>0</v>
          </cell>
          <cell r="AG95">
            <v>0</v>
          </cell>
          <cell r="AJ95">
            <v>0</v>
          </cell>
          <cell r="AM95">
            <v>0</v>
          </cell>
          <cell r="AP95">
            <v>0</v>
          </cell>
        </row>
        <row r="96">
          <cell r="A96" t="str">
            <v>XT-TEMCR3I</v>
          </cell>
          <cell r="B96" t="str">
            <v>XT-000C</v>
          </cell>
          <cell r="C96" t="str">
            <v>Nhiệt độ bồn màu Cr2O3 (I)
三價鉻 溫度  HALO</v>
          </cell>
          <cell r="D96" t="str">
            <v>0C</v>
          </cell>
          <cell r="E96" t="str">
            <v>34~36</v>
          </cell>
          <cell r="F96" t="str">
            <v>(35±1)</v>
          </cell>
          <cell r="I96">
            <v>0</v>
          </cell>
          <cell r="L96">
            <v>0</v>
          </cell>
          <cell r="O96">
            <v>0</v>
          </cell>
          <cell r="R96">
            <v>0</v>
          </cell>
          <cell r="U96">
            <v>0</v>
          </cell>
          <cell r="X96">
            <v>0</v>
          </cell>
          <cell r="AA96">
            <v>0</v>
          </cell>
          <cell r="AD96">
            <v>0</v>
          </cell>
          <cell r="AG96">
            <v>0</v>
          </cell>
          <cell r="AJ96">
            <v>0</v>
          </cell>
          <cell r="AM96">
            <v>0</v>
          </cell>
          <cell r="AP96">
            <v>0</v>
          </cell>
        </row>
        <row r="97">
          <cell r="A97" t="str">
            <v>XT-TEMH2O</v>
          </cell>
          <cell r="B97" t="str">
            <v>XT-000C</v>
          </cell>
          <cell r="C97" t="str">
            <v xml:space="preserve">Nhiệt độ bồn nước nóng
熱水溫度 </v>
          </cell>
          <cell r="D97" t="str">
            <v>0C</v>
          </cell>
          <cell r="E97" t="str">
            <v>55~65</v>
          </cell>
          <cell r="F97" t="str">
            <v>(60±3)</v>
          </cell>
          <cell r="I97">
            <v>0</v>
          </cell>
          <cell r="L97">
            <v>0</v>
          </cell>
          <cell r="O97">
            <v>0</v>
          </cell>
          <cell r="R97">
            <v>0</v>
          </cell>
          <cell r="U97">
            <v>0</v>
          </cell>
          <cell r="X97">
            <v>0</v>
          </cell>
          <cell r="AA97">
            <v>0</v>
          </cell>
          <cell r="AD97">
            <v>0</v>
          </cell>
          <cell r="AG97">
            <v>0</v>
          </cell>
          <cell r="AJ97">
            <v>0</v>
          </cell>
          <cell r="AM97">
            <v>0</v>
          </cell>
          <cell r="AP97">
            <v>0</v>
          </cell>
        </row>
        <row r="98">
          <cell r="A98" t="str">
            <v>XT-TEMSAY</v>
          </cell>
          <cell r="B98" t="str">
            <v>XT-000C</v>
          </cell>
          <cell r="C98" t="str">
            <v>Sấy khô
烘乾</v>
          </cell>
          <cell r="D98" t="str">
            <v>0C</v>
          </cell>
          <cell r="E98" t="str">
            <v>65~75</v>
          </cell>
          <cell r="F98" t="str">
            <v>(70±3)</v>
          </cell>
          <cell r="I98" t="str">
            <v>\</v>
          </cell>
          <cell r="L98">
            <v>0</v>
          </cell>
          <cell r="O98" t="str">
            <v>\</v>
          </cell>
          <cell r="R98">
            <v>0</v>
          </cell>
          <cell r="U98" t="str">
            <v>\</v>
          </cell>
          <cell r="X98">
            <v>0</v>
          </cell>
          <cell r="AA98" t="str">
            <v>\</v>
          </cell>
          <cell r="AD98">
            <v>0</v>
          </cell>
          <cell r="AG98" t="str">
            <v>\</v>
          </cell>
          <cell r="AJ98">
            <v>0</v>
          </cell>
          <cell r="AM98" t="str">
            <v>\</v>
          </cell>
        </row>
        <row r="99">
          <cell r="C99" t="str">
            <v>Nhiệt độ sóng siêu âm
超音波水洗槽 (23)</v>
          </cell>
          <cell r="D99" t="str">
            <v>0C</v>
          </cell>
          <cell r="E99" t="str">
            <v>40~60</v>
          </cell>
          <cell r="F99" t="str">
            <v>(50±10)</v>
          </cell>
          <cell r="I99">
            <v>0</v>
          </cell>
          <cell r="L99">
            <v>0</v>
          </cell>
          <cell r="O99">
            <v>0</v>
          </cell>
          <cell r="R99">
            <v>0</v>
          </cell>
          <cell r="U99">
            <v>0</v>
          </cell>
          <cell r="X99">
            <v>0</v>
          </cell>
          <cell r="AA99">
            <v>0</v>
          </cell>
          <cell r="AD99">
            <v>0</v>
          </cell>
          <cell r="AG99">
            <v>0</v>
          </cell>
          <cell r="AJ99">
            <v>0</v>
          </cell>
          <cell r="AM99">
            <v>0</v>
          </cell>
          <cell r="AP99">
            <v>0</v>
          </cell>
        </row>
        <row r="100">
          <cell r="C100" t="str">
            <v>Nhiệt độ nước nóng siêm âm
超音波熱水洗槽(39)</v>
          </cell>
          <cell r="D100" t="str">
            <v>0C</v>
          </cell>
          <cell r="E100" t="str">
            <v>50~70</v>
          </cell>
          <cell r="F100" t="str">
            <v>(60±5)</v>
          </cell>
          <cell r="I100">
            <v>0</v>
          </cell>
          <cell r="L100">
            <v>0</v>
          </cell>
          <cell r="O100">
            <v>0</v>
          </cell>
          <cell r="R100">
            <v>0</v>
          </cell>
          <cell r="U100">
            <v>0</v>
          </cell>
          <cell r="X100">
            <v>0</v>
          </cell>
          <cell r="AA100">
            <v>0</v>
          </cell>
          <cell r="AD100">
            <v>0</v>
          </cell>
          <cell r="AG100">
            <v>0</v>
          </cell>
          <cell r="AJ100">
            <v>0</v>
          </cell>
          <cell r="AM100">
            <v>0</v>
          </cell>
          <cell r="AP100">
            <v>0</v>
          </cell>
        </row>
        <row r="101">
          <cell r="C101" t="str">
            <v>Nhiệt độ bồn màu Cr2O3 (K)
三價鉻 溫度</v>
          </cell>
          <cell r="D101" t="str">
            <v>0C</v>
          </cell>
          <cell r="E101" t="str">
            <v>20~30</v>
          </cell>
          <cell r="F101" t="str">
            <v>20~30</v>
          </cell>
          <cell r="I101">
            <v>0</v>
          </cell>
          <cell r="L101">
            <v>0</v>
          </cell>
          <cell r="U101">
            <v>0</v>
          </cell>
          <cell r="X101">
            <v>0</v>
          </cell>
          <cell r="AA101">
            <v>0</v>
          </cell>
          <cell r="AD101">
            <v>0</v>
          </cell>
          <cell r="AM101">
            <v>0</v>
          </cell>
          <cell r="AP101">
            <v>0</v>
          </cell>
        </row>
        <row r="102">
          <cell r="C102" t="str">
            <v>Nhiệt độ bồn màu Cr2O3 (I)
三價鉻 溫度 JASCO</v>
          </cell>
          <cell r="D102" t="str">
            <v>0C</v>
          </cell>
          <cell r="E102" t="str">
            <v>35~45</v>
          </cell>
          <cell r="F102" t="str">
            <v>(40±3)</v>
          </cell>
          <cell r="I102">
            <v>0</v>
          </cell>
          <cell r="L102">
            <v>0</v>
          </cell>
          <cell r="O102">
            <v>0</v>
          </cell>
          <cell r="R102">
            <v>0</v>
          </cell>
          <cell r="U102">
            <v>0</v>
          </cell>
          <cell r="X102">
            <v>0</v>
          </cell>
          <cell r="AA102">
            <v>0</v>
          </cell>
          <cell r="AD102">
            <v>0</v>
          </cell>
          <cell r="AG102">
            <v>0</v>
          </cell>
          <cell r="AJ102">
            <v>0</v>
          </cell>
          <cell r="AM102">
            <v>0</v>
          </cell>
          <cell r="AP102">
            <v>0</v>
          </cell>
        </row>
        <row r="103">
          <cell r="A103" t="str">
            <v>XTNI-TEMBX</v>
          </cell>
          <cell r="B103" t="str">
            <v>XT-000C</v>
          </cell>
          <cell r="C103" t="str">
            <v>Nhiệt độ bồn xi Zn-Niken
 Zn-Niken 鍍鋅槽溫度</v>
          </cell>
          <cell r="D103" t="str">
            <v>0C</v>
          </cell>
          <cell r="E103" t="str">
            <v>24~28</v>
          </cell>
          <cell r="F103" t="str">
            <v>(26±2)</v>
          </cell>
          <cell r="I103">
            <v>0</v>
          </cell>
          <cell r="L103">
            <v>0</v>
          </cell>
          <cell r="O103">
            <v>0</v>
          </cell>
          <cell r="R103">
            <v>0</v>
          </cell>
          <cell r="U103">
            <v>0</v>
          </cell>
          <cell r="X103">
            <v>0</v>
          </cell>
          <cell r="AA103">
            <v>0</v>
          </cell>
          <cell r="AD103">
            <v>0</v>
          </cell>
          <cell r="AG103">
            <v>0</v>
          </cell>
          <cell r="AJ103">
            <v>0</v>
          </cell>
          <cell r="AM103">
            <v>0</v>
          </cell>
          <cell r="AP103">
            <v>0</v>
          </cell>
        </row>
        <row r="104">
          <cell r="A104" t="str">
            <v>XTNI-TEMSIEUAM</v>
          </cell>
          <cell r="B104" t="str">
            <v>XT-000C</v>
          </cell>
          <cell r="C104" t="str">
            <v>Nhiệt độ nước nóng siêm âm
超音波熱水洗槽(39)</v>
          </cell>
          <cell r="D104" t="str">
            <v>0C</v>
          </cell>
          <cell r="E104" t="str">
            <v>40~60</v>
          </cell>
          <cell r="F104" t="str">
            <v>(50±10)</v>
          </cell>
          <cell r="I104">
            <v>0</v>
          </cell>
          <cell r="L104">
            <v>0</v>
          </cell>
          <cell r="O104">
            <v>0</v>
          </cell>
          <cell r="R104">
            <v>0</v>
          </cell>
          <cell r="U104">
            <v>0</v>
          </cell>
          <cell r="X104">
            <v>0</v>
          </cell>
          <cell r="AA104">
            <v>0</v>
          </cell>
          <cell r="AD104">
            <v>0</v>
          </cell>
          <cell r="AG104">
            <v>0</v>
          </cell>
          <cell r="AJ104">
            <v>0</v>
          </cell>
          <cell r="AM104">
            <v>0</v>
          </cell>
          <cell r="AP104">
            <v>0</v>
          </cell>
        </row>
        <row r="105">
          <cell r="A105" t="str">
            <v>XT-TEMCR3NI</v>
          </cell>
          <cell r="B105" t="str">
            <v>XT-000C</v>
          </cell>
          <cell r="C105" t="str">
            <v>Nhiệt độ bồn màu Cr2O3 (Niken)
三價鉻 溫度</v>
          </cell>
          <cell r="D105" t="str">
            <v>0C</v>
          </cell>
          <cell r="E105" t="str">
            <v>20~30</v>
          </cell>
          <cell r="F105" t="str">
            <v>(25±5)</v>
          </cell>
          <cell r="I105">
            <v>0</v>
          </cell>
          <cell r="L105">
            <v>0</v>
          </cell>
          <cell r="O105">
            <v>0</v>
          </cell>
          <cell r="R105">
            <v>0</v>
          </cell>
          <cell r="U105">
            <v>0</v>
          </cell>
          <cell r="X105">
            <v>0</v>
          </cell>
          <cell r="AA105">
            <v>0</v>
          </cell>
          <cell r="AD105">
            <v>0</v>
          </cell>
          <cell r="AG105">
            <v>0</v>
          </cell>
          <cell r="AJ105">
            <v>0</v>
          </cell>
          <cell r="AM105">
            <v>0</v>
          </cell>
          <cell r="AP105">
            <v>0</v>
          </cell>
        </row>
        <row r="106">
          <cell r="A106" t="str">
            <v>Hạng mục kiểm tra bơm thuốc tự động
藥液自動添加</v>
          </cell>
        </row>
        <row r="107">
          <cell r="A107" t="str">
            <v>XT-BONG</v>
          </cell>
          <cell r="B107" t="str">
            <v>XT-000C</v>
          </cell>
          <cell r="C107" t="str">
            <v>chất bóng (250 brightener)
光亮劑</v>
          </cell>
          <cell r="D107" t="str">
            <v>ml/KAH</v>
          </cell>
          <cell r="E107" t="str">
            <v>30~50 
(40)</v>
          </cell>
          <cell r="F107" t="str">
            <v>30~50 
(40)</v>
          </cell>
          <cell r="I107">
            <v>0</v>
          </cell>
          <cell r="O107">
            <v>0</v>
          </cell>
          <cell r="U107">
            <v>0</v>
          </cell>
          <cell r="AA107">
            <v>0</v>
          </cell>
          <cell r="AG107">
            <v>0</v>
          </cell>
          <cell r="AM107">
            <v>0</v>
          </cell>
        </row>
        <row r="108">
          <cell r="A108" t="str">
            <v>XT-MEM</v>
          </cell>
          <cell r="B108" t="str">
            <v>XT-000C</v>
          </cell>
          <cell r="C108" t="str">
            <v>chất mềm (250 base)
開缸劑</v>
          </cell>
          <cell r="D108" t="str">
            <v>ml/KAH</v>
          </cell>
          <cell r="E108" t="str">
            <v>160~220
(180)</v>
          </cell>
          <cell r="F108" t="str">
            <v>160~220
(180)</v>
          </cell>
          <cell r="I108">
            <v>0</v>
          </cell>
          <cell r="O108">
            <v>0</v>
          </cell>
          <cell r="U108">
            <v>0</v>
          </cell>
          <cell r="AA108">
            <v>0</v>
          </cell>
          <cell r="AG108">
            <v>0</v>
          </cell>
          <cell r="AM108">
            <v>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t="str">
            <v>RLE-HCL1</v>
          </cell>
          <cell r="B6" t="str">
            <v>Rua acid (1) 鹽酸洗槽</v>
          </cell>
          <cell r="D6" t="str">
            <v>%</v>
          </cell>
          <cell r="E6" t="str">
            <v>10~15%  (12.5%)</v>
          </cell>
          <cell r="F6">
            <v>12.5</v>
          </cell>
          <cell r="G6">
            <v>0</v>
          </cell>
          <cell r="H6">
            <v>0</v>
          </cell>
          <cell r="I6">
            <v>292.1875</v>
          </cell>
          <cell r="J6" t="str">
            <v>+</v>
          </cell>
          <cell r="K6">
            <v>0</v>
          </cell>
          <cell r="L6" t="str">
            <v>L</v>
          </cell>
          <cell r="M6">
            <v>0</v>
          </cell>
          <cell r="N6">
            <v>0</v>
          </cell>
          <cell r="O6">
            <v>292.1875</v>
          </cell>
          <cell r="P6" t="str">
            <v>+</v>
          </cell>
          <cell r="Q6">
            <v>0</v>
          </cell>
          <cell r="R6" t="str">
            <v>L</v>
          </cell>
          <cell r="S6">
            <v>0</v>
          </cell>
          <cell r="T6">
            <v>0</v>
          </cell>
          <cell r="U6">
            <v>292.1875</v>
          </cell>
          <cell r="V6" t="str">
            <v>+</v>
          </cell>
          <cell r="W6">
            <v>0</v>
          </cell>
          <cell r="X6" t="str">
            <v>L</v>
          </cell>
          <cell r="Y6">
            <v>0</v>
          </cell>
          <cell r="Z6">
            <v>0</v>
          </cell>
          <cell r="AA6">
            <v>292.1875</v>
          </cell>
          <cell r="AB6" t="str">
            <v>+</v>
          </cell>
          <cell r="AC6">
            <v>0</v>
          </cell>
          <cell r="AD6" t="str">
            <v>L</v>
          </cell>
          <cell r="AE6">
            <v>0</v>
          </cell>
          <cell r="AF6">
            <v>0</v>
          </cell>
          <cell r="AG6">
            <v>292.1875</v>
          </cell>
          <cell r="AH6" t="str">
            <v>+</v>
          </cell>
          <cell r="AI6">
            <v>0</v>
          </cell>
          <cell r="AJ6" t="str">
            <v>L</v>
          </cell>
          <cell r="AK6">
            <v>0</v>
          </cell>
          <cell r="AL6">
            <v>0</v>
          </cell>
          <cell r="AM6">
            <v>292.1875</v>
          </cell>
          <cell r="AN6" t="str">
            <v>+</v>
          </cell>
          <cell r="AO6">
            <v>0</v>
          </cell>
          <cell r="AP6" t="str">
            <v>L</v>
          </cell>
          <cell r="AQ6" t="str">
            <v>CR-000E</v>
          </cell>
        </row>
        <row r="7">
          <cell r="A7" t="str">
            <v>RLE-HCL2</v>
          </cell>
          <cell r="B7" t="str">
            <v>Rua acid (2) 鹽酸洗槽</v>
          </cell>
          <cell r="D7" t="str">
            <v>%</v>
          </cell>
          <cell r="E7" t="str">
            <v>10~15%  (12.5%)</v>
          </cell>
          <cell r="F7">
            <v>12.5</v>
          </cell>
          <cell r="G7">
            <v>0</v>
          </cell>
          <cell r="H7">
            <v>0</v>
          </cell>
          <cell r="I7">
            <v>292.1875</v>
          </cell>
          <cell r="J7" t="str">
            <v>+</v>
          </cell>
          <cell r="K7">
            <v>292.1875</v>
          </cell>
          <cell r="L7" t="str">
            <v>L</v>
          </cell>
          <cell r="M7">
            <v>0</v>
          </cell>
          <cell r="N7">
            <v>0</v>
          </cell>
          <cell r="O7">
            <v>292.1875</v>
          </cell>
          <cell r="P7" t="str">
            <v>+</v>
          </cell>
          <cell r="Q7">
            <v>292.1875</v>
          </cell>
          <cell r="R7" t="str">
            <v>L</v>
          </cell>
          <cell r="S7">
            <v>0</v>
          </cell>
          <cell r="T7">
            <v>0</v>
          </cell>
          <cell r="U7">
            <v>292.1875</v>
          </cell>
          <cell r="V7" t="str">
            <v>+</v>
          </cell>
          <cell r="W7">
            <v>292.1875</v>
          </cell>
          <cell r="X7" t="str">
            <v>L</v>
          </cell>
          <cell r="Y7">
            <v>0</v>
          </cell>
          <cell r="Z7">
            <v>0</v>
          </cell>
          <cell r="AA7">
            <v>292.1875</v>
          </cell>
          <cell r="AB7" t="str">
            <v>+</v>
          </cell>
          <cell r="AC7">
            <v>292.1875</v>
          </cell>
          <cell r="AD7" t="str">
            <v>L</v>
          </cell>
          <cell r="AE7">
            <v>0</v>
          </cell>
          <cell r="AF7">
            <v>0</v>
          </cell>
          <cell r="AG7">
            <v>292.1875</v>
          </cell>
          <cell r="AH7" t="str">
            <v>+</v>
          </cell>
          <cell r="AI7">
            <v>292.1875</v>
          </cell>
          <cell r="AJ7" t="str">
            <v>L</v>
          </cell>
          <cell r="AK7">
            <v>0</v>
          </cell>
          <cell r="AL7">
            <v>0</v>
          </cell>
          <cell r="AM7">
            <v>292.1875</v>
          </cell>
          <cell r="AN7" t="str">
            <v>+</v>
          </cell>
          <cell r="AO7">
            <v>292.1875</v>
          </cell>
          <cell r="AP7" t="str">
            <v>L</v>
          </cell>
          <cell r="AQ7" t="str">
            <v>CR-000E</v>
          </cell>
        </row>
        <row r="8">
          <cell r="A8" t="str">
            <v>RLE-PP1TA</v>
          </cell>
          <cell r="B8" t="str">
            <v>Muối axit Phosphoric  (TA)
磷酸鹽</v>
          </cell>
          <cell r="C8">
            <v>3</v>
          </cell>
          <cell r="D8" t="str">
            <v>Point</v>
          </cell>
          <cell r="E8" t="str">
            <v>Tổng chua TA  全酸
40~60 (50)</v>
          </cell>
          <cell r="F8">
            <v>50</v>
          </cell>
          <cell r="G8">
            <v>0</v>
          </cell>
          <cell r="H8">
            <v>0</v>
          </cell>
          <cell r="I8">
            <v>69.400000000000006</v>
          </cell>
          <cell r="J8" t="str">
            <v>+</v>
          </cell>
          <cell r="K8">
            <v>0</v>
          </cell>
          <cell r="L8" t="str">
            <v>kg</v>
          </cell>
          <cell r="M8">
            <v>0</v>
          </cell>
          <cell r="N8">
            <v>0</v>
          </cell>
          <cell r="O8">
            <v>69.400000000000006</v>
          </cell>
          <cell r="P8" t="str">
            <v>+</v>
          </cell>
          <cell r="Q8">
            <v>0</v>
          </cell>
          <cell r="R8" t="str">
            <v>kg</v>
          </cell>
          <cell r="S8">
            <v>0</v>
          </cell>
          <cell r="T8">
            <v>0</v>
          </cell>
          <cell r="U8">
            <v>69.400000000000006</v>
          </cell>
          <cell r="V8" t="str">
            <v>+</v>
          </cell>
          <cell r="W8">
            <v>0</v>
          </cell>
          <cell r="X8" t="str">
            <v>kg</v>
          </cell>
          <cell r="Y8">
            <v>0</v>
          </cell>
          <cell r="Z8">
            <v>0</v>
          </cell>
          <cell r="AA8">
            <v>69.400000000000006</v>
          </cell>
          <cell r="AB8" t="str">
            <v>+</v>
          </cell>
          <cell r="AC8">
            <v>0</v>
          </cell>
          <cell r="AD8" t="str">
            <v>kg</v>
          </cell>
          <cell r="AE8">
            <v>0</v>
          </cell>
          <cell r="AF8">
            <v>0</v>
          </cell>
          <cell r="AG8">
            <v>69.400000000000006</v>
          </cell>
          <cell r="AH8" t="str">
            <v>+</v>
          </cell>
          <cell r="AI8">
            <v>0</v>
          </cell>
          <cell r="AJ8" t="str">
            <v>kg</v>
          </cell>
          <cell r="AK8">
            <v>0</v>
          </cell>
          <cell r="AL8">
            <v>0</v>
          </cell>
          <cell r="AM8">
            <v>69.400000000000006</v>
          </cell>
          <cell r="AN8" t="str">
            <v>+</v>
          </cell>
          <cell r="AO8">
            <v>0</v>
          </cell>
          <cell r="AP8" t="str">
            <v>kg</v>
          </cell>
          <cell r="AQ8" t="str">
            <v>CR-000E</v>
          </cell>
        </row>
        <row r="9">
          <cell r="A9" t="str">
            <v>RLE-PP1AX</v>
          </cell>
          <cell r="B9" t="str">
            <v>Muối axit Phosphoric  (tỷ lệ axit)
磷酸鹽</v>
          </cell>
          <cell r="D9" t="str">
            <v>Point</v>
          </cell>
          <cell r="E9" t="str">
            <v>tỷ lệ axit  酸比 
5.2~7.8 (6.5)</v>
          </cell>
          <cell r="F9">
            <v>6.5</v>
          </cell>
          <cell r="G9">
            <v>0</v>
          </cell>
          <cell r="H9">
            <v>0</v>
          </cell>
          <cell r="I9">
            <v>4.5110000000000001</v>
          </cell>
          <cell r="K9">
            <v>0</v>
          </cell>
          <cell r="L9" t="str">
            <v>kg</v>
          </cell>
          <cell r="M9">
            <v>0</v>
          </cell>
          <cell r="N9">
            <v>0</v>
          </cell>
          <cell r="O9">
            <v>4.5110000000000001</v>
          </cell>
          <cell r="Q9">
            <v>0</v>
          </cell>
          <cell r="R9" t="str">
            <v>kg</v>
          </cell>
          <cell r="S9">
            <v>0</v>
          </cell>
          <cell r="T9">
            <v>0</v>
          </cell>
          <cell r="U9">
            <v>4.5110000000000001</v>
          </cell>
          <cell r="W9">
            <v>0</v>
          </cell>
          <cell r="X9" t="str">
            <v>kg</v>
          </cell>
          <cell r="Y9">
            <v>0</v>
          </cell>
          <cell r="Z9">
            <v>0</v>
          </cell>
          <cell r="AA9">
            <v>4.5110000000000001</v>
          </cell>
          <cell r="AC9">
            <v>0</v>
          </cell>
          <cell r="AD9" t="str">
            <v>kg</v>
          </cell>
          <cell r="AE9">
            <v>0</v>
          </cell>
          <cell r="AF9">
            <v>0</v>
          </cell>
          <cell r="AG9">
            <v>4.5110000000000001</v>
          </cell>
          <cell r="AI9">
            <v>0</v>
          </cell>
          <cell r="AJ9" t="str">
            <v>kg</v>
          </cell>
          <cell r="AK9">
            <v>0</v>
          </cell>
          <cell r="AL9">
            <v>0</v>
          </cell>
          <cell r="AM9">
            <v>4.5110000000000001</v>
          </cell>
          <cell r="AO9">
            <v>0</v>
          </cell>
          <cell r="AP9" t="str">
            <v>kg</v>
          </cell>
          <cell r="AQ9" t="str">
            <v>CR-000E</v>
          </cell>
        </row>
        <row r="10">
          <cell r="A10" t="str">
            <v>RLE-PP1PL</v>
          </cell>
          <cell r="B10" t="str">
            <v>Muối axit Phosphoric (Fe phân ly) 
磷酸鹽</v>
          </cell>
          <cell r="D10" t="str">
            <v>Point</v>
          </cell>
          <cell r="E10" t="str">
            <v xml:space="preserve">Fe phân ly &lt;0.4
 鐵離子&lt;0.4
</v>
          </cell>
          <cell r="F10">
            <v>0.4</v>
          </cell>
          <cell r="G10">
            <v>0</v>
          </cell>
          <cell r="H10">
            <v>0</v>
          </cell>
          <cell r="I10">
            <v>2</v>
          </cell>
          <cell r="M10">
            <v>0</v>
          </cell>
          <cell r="N10">
            <v>0</v>
          </cell>
          <cell r="O10">
            <v>2</v>
          </cell>
          <cell r="S10">
            <v>0</v>
          </cell>
          <cell r="T10">
            <v>0</v>
          </cell>
          <cell r="U10">
            <v>2</v>
          </cell>
          <cell r="Y10">
            <v>0</v>
          </cell>
          <cell r="Z10">
            <v>0</v>
          </cell>
          <cell r="AA10">
            <v>2</v>
          </cell>
          <cell r="AE10">
            <v>0</v>
          </cell>
          <cell r="AF10">
            <v>0</v>
          </cell>
          <cell r="AG10">
            <v>2</v>
          </cell>
          <cell r="AK10">
            <v>0</v>
          </cell>
          <cell r="AL10">
            <v>0</v>
          </cell>
          <cell r="AM10">
            <v>2</v>
          </cell>
          <cell r="AQ10" t="str">
            <v>CR-000E</v>
          </cell>
        </row>
        <row r="11">
          <cell r="A11" t="str">
            <v>RLE-PP2TA</v>
          </cell>
          <cell r="B11" t="str">
            <v>Muối axit Phosphoric  (TA)
磷酸鹽</v>
          </cell>
          <cell r="C11">
            <v>4</v>
          </cell>
          <cell r="D11" t="str">
            <v>Point</v>
          </cell>
          <cell r="E11" t="str">
            <v>Tổng chua TA  全酸
40~60 (50)</v>
          </cell>
          <cell r="F11">
            <v>50</v>
          </cell>
          <cell r="G11">
            <v>0</v>
          </cell>
          <cell r="H11">
            <v>0</v>
          </cell>
          <cell r="I11">
            <v>69.400000000000006</v>
          </cell>
          <cell r="J11" t="str">
            <v>+</v>
          </cell>
          <cell r="K11">
            <v>0</v>
          </cell>
          <cell r="L11" t="str">
            <v>kg</v>
          </cell>
          <cell r="M11">
            <v>0</v>
          </cell>
          <cell r="N11">
            <v>0</v>
          </cell>
          <cell r="O11">
            <v>69.400000000000006</v>
          </cell>
          <cell r="P11" t="str">
            <v>+</v>
          </cell>
          <cell r="Q11">
            <v>0</v>
          </cell>
          <cell r="R11" t="str">
            <v>kg</v>
          </cell>
          <cell r="S11">
            <v>0</v>
          </cell>
          <cell r="T11">
            <v>0</v>
          </cell>
          <cell r="U11">
            <v>69.400000000000006</v>
          </cell>
          <cell r="V11" t="str">
            <v>+</v>
          </cell>
          <cell r="W11">
            <v>0</v>
          </cell>
          <cell r="X11" t="str">
            <v>kg</v>
          </cell>
          <cell r="Y11">
            <v>0</v>
          </cell>
          <cell r="Z11">
            <v>0</v>
          </cell>
          <cell r="AA11">
            <v>69.400000000000006</v>
          </cell>
          <cell r="AB11" t="str">
            <v>+</v>
          </cell>
          <cell r="AC11">
            <v>0</v>
          </cell>
          <cell r="AD11" t="str">
            <v>kg</v>
          </cell>
          <cell r="AE11">
            <v>0</v>
          </cell>
          <cell r="AF11">
            <v>0</v>
          </cell>
          <cell r="AG11">
            <v>69.400000000000006</v>
          </cell>
          <cell r="AH11" t="str">
            <v>+</v>
          </cell>
          <cell r="AI11">
            <v>0</v>
          </cell>
          <cell r="AJ11" t="str">
            <v>kg</v>
          </cell>
          <cell r="AK11">
            <v>0</v>
          </cell>
          <cell r="AL11">
            <v>0</v>
          </cell>
          <cell r="AM11">
            <v>69.400000000000006</v>
          </cell>
          <cell r="AN11" t="str">
            <v>+</v>
          </cell>
          <cell r="AO11">
            <v>0</v>
          </cell>
          <cell r="AP11" t="str">
            <v>kg</v>
          </cell>
          <cell r="AQ11" t="str">
            <v>CR-000E</v>
          </cell>
        </row>
        <row r="12">
          <cell r="A12" t="str">
            <v>RLE-PP2AX</v>
          </cell>
          <cell r="B12" t="str">
            <v>Muối axit Phosphoric  (tỷ lệ axit)
磷酸鹽</v>
          </cell>
          <cell r="D12" t="str">
            <v>Point</v>
          </cell>
          <cell r="E12" t="str">
            <v>tỷ lệ axit  酸比 
5.2~7.8 (6.5)</v>
          </cell>
          <cell r="F12">
            <v>6.5</v>
          </cell>
          <cell r="G12">
            <v>0</v>
          </cell>
          <cell r="H12">
            <v>0</v>
          </cell>
          <cell r="I12">
            <v>4.5110000000000001</v>
          </cell>
          <cell r="K12">
            <v>0</v>
          </cell>
          <cell r="L12" t="str">
            <v>kg</v>
          </cell>
          <cell r="M12">
            <v>0</v>
          </cell>
          <cell r="N12">
            <v>0</v>
          </cell>
          <cell r="O12">
            <v>4.5110000000000001</v>
          </cell>
          <cell r="Q12">
            <v>0</v>
          </cell>
          <cell r="R12" t="str">
            <v>kg</v>
          </cell>
          <cell r="S12">
            <v>0</v>
          </cell>
          <cell r="T12">
            <v>0</v>
          </cell>
          <cell r="U12">
            <v>4.5110000000000001</v>
          </cell>
          <cell r="W12">
            <v>0</v>
          </cell>
          <cell r="X12" t="str">
            <v>kg</v>
          </cell>
          <cell r="Y12">
            <v>0</v>
          </cell>
          <cell r="Z12">
            <v>0</v>
          </cell>
          <cell r="AA12">
            <v>4.5110000000000001</v>
          </cell>
          <cell r="AC12">
            <v>0</v>
          </cell>
          <cell r="AD12" t="str">
            <v>kg</v>
          </cell>
          <cell r="AE12">
            <v>0</v>
          </cell>
          <cell r="AF12">
            <v>0</v>
          </cell>
          <cell r="AG12">
            <v>4.5110000000000001</v>
          </cell>
          <cell r="AI12">
            <v>0</v>
          </cell>
          <cell r="AJ12" t="str">
            <v>kg</v>
          </cell>
          <cell r="AK12">
            <v>0</v>
          </cell>
          <cell r="AL12">
            <v>0</v>
          </cell>
          <cell r="AM12">
            <v>4.5110000000000001</v>
          </cell>
          <cell r="AO12">
            <v>0</v>
          </cell>
          <cell r="AP12" t="str">
            <v>kg</v>
          </cell>
          <cell r="AQ12" t="str">
            <v>CR-000E</v>
          </cell>
        </row>
        <row r="13">
          <cell r="A13" t="str">
            <v>RLE-PP2PL</v>
          </cell>
          <cell r="B13" t="str">
            <v>Muối axit Phosphoric (Fe phân ly) 
磷酸鹽</v>
          </cell>
          <cell r="D13" t="str">
            <v>Point</v>
          </cell>
          <cell r="E13" t="str">
            <v xml:space="preserve">Fe phân ly &lt;0.4
 鐵離子&lt;0.4
</v>
          </cell>
          <cell r="F13">
            <v>0.4</v>
          </cell>
          <cell r="G13">
            <v>0</v>
          </cell>
          <cell r="H13">
            <v>0</v>
          </cell>
          <cell r="I13">
            <v>2</v>
          </cell>
          <cell r="M13">
            <v>0</v>
          </cell>
          <cell r="N13">
            <v>0</v>
          </cell>
          <cell r="O13">
            <v>2</v>
          </cell>
          <cell r="S13">
            <v>0</v>
          </cell>
          <cell r="T13">
            <v>0</v>
          </cell>
          <cell r="U13">
            <v>2</v>
          </cell>
          <cell r="Y13">
            <v>0</v>
          </cell>
          <cell r="Z13">
            <v>0</v>
          </cell>
          <cell r="AA13">
            <v>2</v>
          </cell>
          <cell r="AE13">
            <v>0</v>
          </cell>
          <cell r="AF13">
            <v>0</v>
          </cell>
          <cell r="AG13">
            <v>2</v>
          </cell>
          <cell r="AK13">
            <v>0</v>
          </cell>
          <cell r="AL13">
            <v>0</v>
          </cell>
          <cell r="AM13">
            <v>2</v>
          </cell>
          <cell r="AQ13" t="str">
            <v>CR-000E</v>
          </cell>
        </row>
        <row r="14">
          <cell r="A14" t="str">
            <v>RLE-XB</v>
          </cell>
          <cell r="B14" t="str">
            <v>Xà bông bôi trơn
潤滑皂</v>
          </cell>
          <cell r="D14" t="str">
            <v>Point</v>
          </cell>
          <cell r="E14" t="str">
            <v>0.8~1.2</v>
          </cell>
          <cell r="F14">
            <v>1</v>
          </cell>
          <cell r="G14">
            <v>0</v>
          </cell>
          <cell r="H14">
            <v>0</v>
          </cell>
          <cell r="I14">
            <v>4.3680000000000003</v>
          </cell>
          <cell r="J14" t="str">
            <v>+</v>
          </cell>
          <cell r="K14">
            <v>0</v>
          </cell>
          <cell r="L14" t="str">
            <v>kg</v>
          </cell>
          <cell r="M14">
            <v>0</v>
          </cell>
          <cell r="N14">
            <v>0</v>
          </cell>
          <cell r="O14">
            <v>4.3680000000000003</v>
          </cell>
          <cell r="P14" t="str">
            <v>+</v>
          </cell>
          <cell r="Q14">
            <v>0</v>
          </cell>
          <cell r="R14" t="str">
            <v>kg</v>
          </cell>
          <cell r="S14">
            <v>0</v>
          </cell>
          <cell r="T14">
            <v>0</v>
          </cell>
          <cell r="U14">
            <v>4.3680000000000003</v>
          </cell>
          <cell r="V14" t="str">
            <v>+</v>
          </cell>
          <cell r="W14">
            <v>0</v>
          </cell>
          <cell r="X14" t="str">
            <v>kg</v>
          </cell>
          <cell r="Y14">
            <v>0</v>
          </cell>
          <cell r="Z14">
            <v>0</v>
          </cell>
          <cell r="AA14">
            <v>4.3680000000000003</v>
          </cell>
          <cell r="AB14" t="str">
            <v>+</v>
          </cell>
          <cell r="AC14">
            <v>0</v>
          </cell>
          <cell r="AD14" t="str">
            <v>kg</v>
          </cell>
          <cell r="AE14">
            <v>0</v>
          </cell>
          <cell r="AF14">
            <v>0</v>
          </cell>
          <cell r="AG14">
            <v>4.3680000000000003</v>
          </cell>
          <cell r="AH14" t="str">
            <v>+</v>
          </cell>
          <cell r="AI14">
            <v>0</v>
          </cell>
          <cell r="AJ14" t="str">
            <v>kg</v>
          </cell>
          <cell r="AK14">
            <v>0</v>
          </cell>
          <cell r="AL14">
            <v>0</v>
          </cell>
          <cell r="AM14">
            <v>4.3680000000000003</v>
          </cell>
          <cell r="AN14" t="str">
            <v>+</v>
          </cell>
          <cell r="AO14">
            <v>0</v>
          </cell>
          <cell r="AP14" t="str">
            <v>kg</v>
          </cell>
          <cell r="AQ14" t="str">
            <v>CR-000E</v>
          </cell>
        </row>
        <row r="15">
          <cell r="A15" t="str">
            <v>RLE-XBPH</v>
          </cell>
          <cell r="B15" t="str">
            <v>pH</v>
          </cell>
          <cell r="D15" t="str">
            <v>pH</v>
          </cell>
          <cell r="E15" t="str">
            <v>8~10</v>
          </cell>
          <cell r="F15">
            <v>9.5</v>
          </cell>
          <cell r="G15">
            <v>0</v>
          </cell>
          <cell r="H15">
            <v>0</v>
          </cell>
          <cell r="M15">
            <v>0</v>
          </cell>
          <cell r="N15">
            <v>0</v>
          </cell>
          <cell r="S15">
            <v>0</v>
          </cell>
          <cell r="T15">
            <v>0</v>
          </cell>
          <cell r="Y15">
            <v>0</v>
          </cell>
          <cell r="Z15">
            <v>0</v>
          </cell>
          <cell r="AE15">
            <v>0</v>
          </cell>
          <cell r="AF15">
            <v>0</v>
          </cell>
          <cell r="AK15">
            <v>0</v>
          </cell>
          <cell r="AL15">
            <v>0</v>
          </cell>
          <cell r="AQ15" t="str">
            <v>CR-000E</v>
          </cell>
        </row>
        <row r="16">
          <cell r="A16" t="str">
            <v>Hạng mục kiểm tra nhiệt độ 檢查溫度</v>
          </cell>
        </row>
        <row r="17">
          <cell r="A17" t="str">
            <v>MÃ</v>
          </cell>
          <cell r="B17" t="str">
            <v>Hạng mục kiểm tra nhiệt độ
溫度檢查項目</v>
          </cell>
          <cell r="D17" t="str">
            <v>nhiệt độ
溫度</v>
          </cell>
          <cell r="E17" t="str">
            <v>Tiêu chuẩn
控制範圍</v>
          </cell>
          <cell r="H17" t="str">
            <v>Nhiệt kế 
温度計</v>
          </cell>
          <cell r="K17" t="str">
            <v>Nhiệt tự động
自動温控</v>
          </cell>
          <cell r="N17" t="str">
            <v>Nhiệt kế 
温度計</v>
          </cell>
          <cell r="Q17" t="str">
            <v>Nhiệt tự động
自動温控</v>
          </cell>
          <cell r="T17" t="str">
            <v>Nhiệt kế 
温度計</v>
          </cell>
          <cell r="W17" t="str">
            <v>Nhiệt tự động
自動温控</v>
          </cell>
          <cell r="Z17" t="str">
            <v>Nhiệt kế 
温度計</v>
          </cell>
          <cell r="AC17" t="str">
            <v>Nhiệt tự động
自動温控</v>
          </cell>
          <cell r="AF17" t="str">
            <v>Nhiệt kế 
温度計</v>
          </cell>
          <cell r="AI17" t="str">
            <v>Nhiệt tự động
自動温控</v>
          </cell>
          <cell r="AL17" t="str">
            <v>Nhiệt kế 
温度計</v>
          </cell>
          <cell r="AO17" t="str">
            <v>Nhiệt tự động
自動温控</v>
          </cell>
        </row>
        <row r="18">
          <cell r="A18" t="str">
            <v>RLE-TEMPP1</v>
          </cell>
          <cell r="B18" t="str">
            <v>Muối axit Phosphoric (1)
磷酸鹽</v>
          </cell>
          <cell r="D18" t="str">
            <v>0C</v>
          </cell>
          <cell r="E18" t="str">
            <v>65~85OC</v>
          </cell>
          <cell r="H18">
            <v>0</v>
          </cell>
          <cell r="K18">
            <v>0</v>
          </cell>
          <cell r="N18">
            <v>0</v>
          </cell>
          <cell r="Q18">
            <v>0</v>
          </cell>
          <cell r="T18">
            <v>0</v>
          </cell>
          <cell r="W18">
            <v>0</v>
          </cell>
          <cell r="Z18">
            <v>0</v>
          </cell>
          <cell r="AC18">
            <v>0</v>
          </cell>
          <cell r="AF18">
            <v>0</v>
          </cell>
          <cell r="AI18">
            <v>0</v>
          </cell>
          <cell r="AL18">
            <v>0</v>
          </cell>
          <cell r="AO18">
            <v>0</v>
          </cell>
          <cell r="AQ18" t="str">
            <v>CR-000E</v>
          </cell>
        </row>
        <row r="19">
          <cell r="A19" t="str">
            <v>RLE-TEMPP2</v>
          </cell>
          <cell r="B19" t="str">
            <v>Muối axit Phosphoric (2)
磷酸鹽</v>
          </cell>
          <cell r="D19" t="str">
            <v>0C</v>
          </cell>
          <cell r="E19" t="str">
            <v>65~85OC</v>
          </cell>
          <cell r="H19">
            <v>0</v>
          </cell>
          <cell r="K19">
            <v>0</v>
          </cell>
          <cell r="N19">
            <v>0</v>
          </cell>
          <cell r="Q19">
            <v>0</v>
          </cell>
          <cell r="T19">
            <v>0</v>
          </cell>
          <cell r="W19">
            <v>0</v>
          </cell>
          <cell r="Z19">
            <v>0</v>
          </cell>
          <cell r="AC19">
            <v>0</v>
          </cell>
          <cell r="AF19">
            <v>0</v>
          </cell>
          <cell r="AI19">
            <v>0</v>
          </cell>
          <cell r="AL19">
            <v>0</v>
          </cell>
          <cell r="AO19">
            <v>0</v>
          </cell>
          <cell r="AQ19" t="str">
            <v>CR-000E</v>
          </cell>
        </row>
        <row r="20">
          <cell r="A20" t="str">
            <v>RLE-TEMXB</v>
          </cell>
          <cell r="B20" t="str">
            <v>Xà bông bôi trơn
潤滑皂</v>
          </cell>
          <cell r="D20" t="str">
            <v>0C</v>
          </cell>
          <cell r="E20" t="str">
            <v>80~90OC</v>
          </cell>
          <cell r="H20">
            <v>0</v>
          </cell>
          <cell r="K20">
            <v>0</v>
          </cell>
          <cell r="N20">
            <v>0</v>
          </cell>
          <cell r="Q20">
            <v>0</v>
          </cell>
          <cell r="T20">
            <v>0</v>
          </cell>
          <cell r="W20">
            <v>0</v>
          </cell>
          <cell r="Z20">
            <v>0</v>
          </cell>
          <cell r="AC20">
            <v>0</v>
          </cell>
          <cell r="AF20">
            <v>0</v>
          </cell>
          <cell r="AI20">
            <v>0</v>
          </cell>
          <cell r="AL20">
            <v>0</v>
          </cell>
          <cell r="AO20">
            <v>0</v>
          </cell>
          <cell r="AQ20" t="str">
            <v>CR-000E</v>
          </cell>
        </row>
        <row r="22">
          <cell r="A22" t="str">
            <v>生產線別：洗料G 線 (rửa liệu máy G)</v>
          </cell>
          <cell r="F22" t="str">
            <v>Kết quả kiểm tra 檢查結果</v>
          </cell>
          <cell r="H22" t="str">
            <v>Kết quả kiểm tra 檢查結果</v>
          </cell>
        </row>
        <row r="23">
          <cell r="B23" t="str">
            <v>Hạng mục kiểm tra nồng dộ
化驗檢查項目</v>
          </cell>
          <cell r="D23" t="str">
            <v>Đơn vị
單位</v>
          </cell>
          <cell r="E23" t="str">
            <v>Tiêu chuẩn
控制範圍</v>
          </cell>
          <cell r="H23" t="str">
            <v>8:00</v>
          </cell>
          <cell r="N23" t="str">
            <v>12:30</v>
          </cell>
          <cell r="T23" t="str">
            <v>16:00</v>
          </cell>
          <cell r="Z23" t="str">
            <v>20:00</v>
          </cell>
          <cell r="AF23" t="str">
            <v>01:00</v>
          </cell>
          <cell r="AL23" t="str">
            <v>04:00</v>
          </cell>
        </row>
        <row r="24">
          <cell r="A24" t="str">
            <v>MÃ</v>
          </cell>
          <cell r="F24" t="str">
            <v>t/chuan</v>
          </cell>
          <cell r="H24" t="str">
            <v>濃度 g/L</v>
          </cell>
          <cell r="I24" t="str">
            <v>補充 BS</v>
          </cell>
          <cell r="J24" t="str">
            <v>補充 BS</v>
          </cell>
          <cell r="N24" t="str">
            <v>濃度 g/L</v>
          </cell>
          <cell r="O24" t="str">
            <v>補充 BS</v>
          </cell>
          <cell r="P24" t="str">
            <v>補充 BS</v>
          </cell>
          <cell r="T24" t="str">
            <v>濃度 g/L</v>
          </cell>
          <cell r="U24" t="str">
            <v>補充 BS</v>
          </cell>
          <cell r="V24" t="str">
            <v>補充 BS</v>
          </cell>
          <cell r="Z24" t="str">
            <v>濃度 g/L</v>
          </cell>
          <cell r="AA24" t="str">
            <v>補充 BS</v>
          </cell>
          <cell r="AB24" t="str">
            <v>補充 BS</v>
          </cell>
          <cell r="AF24" t="str">
            <v>濃度 g/L</v>
          </cell>
          <cell r="AG24" t="str">
            <v>補充 BS</v>
          </cell>
          <cell r="AH24" t="str">
            <v>補充 BS</v>
          </cell>
          <cell r="AL24" t="str">
            <v>濃度 g/L</v>
          </cell>
          <cell r="AM24" t="str">
            <v>補充 BS</v>
          </cell>
          <cell r="AN24" t="str">
            <v>補充 BS</v>
          </cell>
        </row>
        <row r="25">
          <cell r="A25" t="str">
            <v>RLG-KD</v>
          </cell>
          <cell r="B25" t="str">
            <v>Khử dầu
脫脂</v>
          </cell>
          <cell r="D25" t="str">
            <v>Point</v>
          </cell>
          <cell r="E25" t="str">
            <v>30 – 50 (40)</v>
          </cell>
          <cell r="F25">
            <v>40</v>
          </cell>
          <cell r="G25">
            <v>3.9</v>
          </cell>
          <cell r="H25">
            <v>39</v>
          </cell>
          <cell r="I25">
            <v>2.33</v>
          </cell>
          <cell r="J25" t="str">
            <v>+</v>
          </cell>
          <cell r="K25">
            <v>2.33</v>
          </cell>
          <cell r="L25" t="str">
            <v>kg</v>
          </cell>
          <cell r="M25">
            <v>3.7</v>
          </cell>
          <cell r="N25">
            <v>37</v>
          </cell>
          <cell r="O25">
            <v>6.99</v>
          </cell>
          <cell r="P25" t="str">
            <v>+</v>
          </cell>
          <cell r="Q25">
            <v>6.99</v>
          </cell>
          <cell r="R25" t="str">
            <v>kg</v>
          </cell>
          <cell r="S25">
            <v>3.8</v>
          </cell>
          <cell r="T25">
            <v>38</v>
          </cell>
          <cell r="U25">
            <v>4.66</v>
          </cell>
          <cell r="V25" t="str">
            <v>+</v>
          </cell>
          <cell r="W25">
            <v>4.66</v>
          </cell>
          <cell r="X25" t="str">
            <v>kg</v>
          </cell>
          <cell r="Y25">
            <v>4.2</v>
          </cell>
          <cell r="Z25">
            <v>42</v>
          </cell>
          <cell r="AA25">
            <v>-4.66</v>
          </cell>
          <cell r="AB25" t="str">
            <v>+</v>
          </cell>
          <cell r="AC25">
            <v>0</v>
          </cell>
          <cell r="AD25" t="str">
            <v>kg</v>
          </cell>
          <cell r="AE25">
            <v>3.9</v>
          </cell>
          <cell r="AF25">
            <v>39</v>
          </cell>
          <cell r="AG25">
            <v>2.33</v>
          </cell>
          <cell r="AH25" t="str">
            <v>+</v>
          </cell>
          <cell r="AI25">
            <v>2.33</v>
          </cell>
          <cell r="AJ25" t="str">
            <v>kg</v>
          </cell>
          <cell r="AK25">
            <v>3.8</v>
          </cell>
          <cell r="AL25">
            <v>38</v>
          </cell>
          <cell r="AM25">
            <v>4.66</v>
          </cell>
          <cell r="AN25" t="str">
            <v>+</v>
          </cell>
          <cell r="AO25">
            <v>4.66</v>
          </cell>
          <cell r="AP25" t="str">
            <v>kg</v>
          </cell>
          <cell r="AQ25" t="str">
            <v>CR-000C</v>
          </cell>
        </row>
        <row r="26">
          <cell r="A26" t="str">
            <v>RLG-HCL1</v>
          </cell>
          <cell r="B26" t="str">
            <v>Rua acid  鹽酸洗槽</v>
          </cell>
          <cell r="D26" t="str">
            <v>%</v>
          </cell>
          <cell r="E26" t="str">
            <v>10~15%  (12.5%)</v>
          </cell>
          <cell r="F26">
            <v>12.5</v>
          </cell>
          <cell r="G26">
            <v>3.5</v>
          </cell>
          <cell r="H26">
            <v>12.775</v>
          </cell>
          <cell r="I26">
            <v>-22.386718750000028</v>
          </cell>
          <cell r="J26" t="str">
            <v>+</v>
          </cell>
          <cell r="K26">
            <v>0</v>
          </cell>
          <cell r="L26" t="str">
            <v>L</v>
          </cell>
          <cell r="M26">
            <v>2.9</v>
          </cell>
          <cell r="N26">
            <v>10.584999999999999</v>
          </cell>
          <cell r="O26">
            <v>155.89296875000008</v>
          </cell>
          <cell r="P26" t="str">
            <v>+</v>
          </cell>
          <cell r="Q26">
            <v>155.89296875000008</v>
          </cell>
          <cell r="R26" t="str">
            <v>L</v>
          </cell>
          <cell r="S26">
            <v>2.8</v>
          </cell>
          <cell r="T26">
            <v>10.219999999999999</v>
          </cell>
          <cell r="U26">
            <v>185.6062500000001</v>
          </cell>
          <cell r="V26" t="str">
            <v>+</v>
          </cell>
          <cell r="W26">
            <v>185.6062500000001</v>
          </cell>
          <cell r="X26" t="str">
            <v>L</v>
          </cell>
          <cell r="Y26">
            <v>3.7</v>
          </cell>
          <cell r="Z26">
            <v>13.505000000000001</v>
          </cell>
          <cell r="AA26">
            <v>-81.81328125000006</v>
          </cell>
          <cell r="AB26" t="str">
            <v>+</v>
          </cell>
          <cell r="AC26">
            <v>0</v>
          </cell>
          <cell r="AD26" t="str">
            <v>L</v>
          </cell>
          <cell r="AE26">
            <v>3.2</v>
          </cell>
          <cell r="AF26">
            <v>11.680000000000001</v>
          </cell>
          <cell r="AG26">
            <v>66.753124999999883</v>
          </cell>
          <cell r="AH26" t="str">
            <v>+</v>
          </cell>
          <cell r="AI26">
            <v>66.753124999999883</v>
          </cell>
          <cell r="AJ26" t="str">
            <v>L</v>
          </cell>
          <cell r="AK26">
            <v>3.1</v>
          </cell>
          <cell r="AL26">
            <v>11.315000000000001</v>
          </cell>
          <cell r="AM26">
            <v>96.466406249999892</v>
          </cell>
          <cell r="AN26" t="str">
            <v>+</v>
          </cell>
          <cell r="AO26">
            <v>96.466406249999892</v>
          </cell>
          <cell r="AP26" t="str">
            <v>L</v>
          </cell>
          <cell r="AQ26" t="str">
            <v>CR-000C</v>
          </cell>
        </row>
        <row r="27">
          <cell r="A27" t="str">
            <v>RLG-PPTA</v>
          </cell>
          <cell r="B27" t="str">
            <v>Muối axit Phosphoric  (TA)
磷酸鹽</v>
          </cell>
          <cell r="D27" t="str">
            <v>Point</v>
          </cell>
          <cell r="E27" t="str">
            <v>Tổng chua TA  全酸
40~60 (50)</v>
          </cell>
          <cell r="F27">
            <v>50</v>
          </cell>
          <cell r="G27">
            <v>5.6</v>
          </cell>
          <cell r="H27">
            <v>56</v>
          </cell>
          <cell r="I27">
            <v>-29.61</v>
          </cell>
          <cell r="J27" t="str">
            <v>+</v>
          </cell>
          <cell r="K27">
            <v>0</v>
          </cell>
          <cell r="L27" t="str">
            <v>kg</v>
          </cell>
          <cell r="M27">
            <v>5.7</v>
          </cell>
          <cell r="N27">
            <v>57</v>
          </cell>
          <cell r="O27">
            <v>-34.545000000000002</v>
          </cell>
          <cell r="P27" t="str">
            <v>+</v>
          </cell>
          <cell r="Q27">
            <v>0</v>
          </cell>
          <cell r="R27" t="str">
            <v>kg</v>
          </cell>
          <cell r="S27">
            <v>5.0999999999999996</v>
          </cell>
          <cell r="T27">
            <v>51</v>
          </cell>
          <cell r="U27">
            <v>-4.9349999999999996</v>
          </cell>
          <cell r="V27" t="str">
            <v>+</v>
          </cell>
          <cell r="W27">
            <v>0</v>
          </cell>
          <cell r="X27" t="str">
            <v>kg</v>
          </cell>
          <cell r="Y27">
            <v>5</v>
          </cell>
          <cell r="Z27">
            <v>50</v>
          </cell>
          <cell r="AA27">
            <v>0</v>
          </cell>
          <cell r="AB27" t="str">
            <v>+</v>
          </cell>
          <cell r="AC27">
            <v>0</v>
          </cell>
          <cell r="AD27" t="str">
            <v>kg</v>
          </cell>
          <cell r="AE27">
            <v>5</v>
          </cell>
          <cell r="AF27">
            <v>50</v>
          </cell>
          <cell r="AG27">
            <v>0</v>
          </cell>
          <cell r="AH27" t="str">
            <v>+</v>
          </cell>
          <cell r="AI27">
            <v>0</v>
          </cell>
          <cell r="AJ27" t="str">
            <v>kg</v>
          </cell>
          <cell r="AK27">
            <v>5</v>
          </cell>
          <cell r="AL27">
            <v>50</v>
          </cell>
          <cell r="AM27">
            <v>0</v>
          </cell>
          <cell r="AN27" t="str">
            <v>+</v>
          </cell>
          <cell r="AO27">
            <v>0</v>
          </cell>
          <cell r="AP27" t="str">
            <v>kg</v>
          </cell>
          <cell r="AQ27" t="str">
            <v>CR-000C</v>
          </cell>
        </row>
        <row r="28">
          <cell r="A28" t="str">
            <v>RLG-PPAX</v>
          </cell>
          <cell r="B28" t="str">
            <v>Muối axit Phosphoric  (tỷ lệ axit)
磷酸鹽</v>
          </cell>
          <cell r="D28" t="str">
            <v>Point</v>
          </cell>
          <cell r="E28" t="str">
            <v>tỷ lệ axit  酸比 
5.2~7.8 (6.5)</v>
          </cell>
          <cell r="F28">
            <v>6.5</v>
          </cell>
          <cell r="G28">
            <v>7.6</v>
          </cell>
          <cell r="H28">
            <v>7.3684210526315796</v>
          </cell>
          <cell r="I28">
            <v>-4.2856578947368451</v>
          </cell>
          <cell r="K28">
            <v>0</v>
          </cell>
          <cell r="L28" t="str">
            <v>kg</v>
          </cell>
          <cell r="M28">
            <v>6.3</v>
          </cell>
          <cell r="N28">
            <v>9.0476190476190474</v>
          </cell>
          <cell r="O28">
            <v>-12.5725</v>
          </cell>
          <cell r="Q28">
            <v>0</v>
          </cell>
          <cell r="R28" t="str">
            <v>kg</v>
          </cell>
          <cell r="S28">
            <v>4.7</v>
          </cell>
          <cell r="T28">
            <v>10.851063829787234</v>
          </cell>
          <cell r="U28">
            <v>-21.4725</v>
          </cell>
          <cell r="W28">
            <v>0</v>
          </cell>
          <cell r="X28" t="str">
            <v>kg</v>
          </cell>
          <cell r="Y28">
            <v>7</v>
          </cell>
          <cell r="Z28">
            <v>7.1428571428571432</v>
          </cell>
          <cell r="AA28">
            <v>-3.1725000000000017</v>
          </cell>
          <cell r="AC28">
            <v>0</v>
          </cell>
          <cell r="AD28" t="str">
            <v>kg</v>
          </cell>
          <cell r="AE28">
            <v>5.4</v>
          </cell>
          <cell r="AF28">
            <v>9.2592592592592595</v>
          </cell>
          <cell r="AG28">
            <v>-13.616944444444446</v>
          </cell>
          <cell r="AI28">
            <v>0</v>
          </cell>
          <cell r="AJ28" t="str">
            <v>kg</v>
          </cell>
          <cell r="AK28">
            <v>6</v>
          </cell>
          <cell r="AL28">
            <v>8.3333333333333339</v>
          </cell>
          <cell r="AM28">
            <v>-9.047500000000003</v>
          </cell>
          <cell r="AO28">
            <v>0</v>
          </cell>
          <cell r="AP28" t="str">
            <v>kg</v>
          </cell>
          <cell r="AQ28" t="str">
            <v>CR-000C</v>
          </cell>
        </row>
        <row r="29">
          <cell r="A29" t="str">
            <v>RLG-PPPL</v>
          </cell>
          <cell r="B29" t="str">
            <v>Muối axit Phosphoric (Fe phân ly) 
磷酸鹽</v>
          </cell>
          <cell r="D29" t="str">
            <v>Point</v>
          </cell>
          <cell r="E29" t="str">
            <v xml:space="preserve">Fe phân ly &lt;0.4
 鐵離子&lt;0.4
</v>
          </cell>
          <cell r="F29">
            <v>0.4</v>
          </cell>
          <cell r="G29">
            <v>0.26</v>
          </cell>
          <cell r="H29">
            <v>0.26</v>
          </cell>
          <cell r="M29">
            <v>0.72</v>
          </cell>
          <cell r="N29">
            <v>0.72</v>
          </cell>
          <cell r="S29">
            <v>1.32</v>
          </cell>
          <cell r="T29">
            <v>1.32</v>
          </cell>
          <cell r="Y29">
            <v>0.34</v>
          </cell>
          <cell r="Z29">
            <v>0.34</v>
          </cell>
          <cell r="AE29">
            <v>0.9</v>
          </cell>
          <cell r="AF29">
            <v>0.9</v>
          </cell>
          <cell r="AK29">
            <v>0.9</v>
          </cell>
          <cell r="AL29">
            <v>0.9</v>
          </cell>
          <cell r="AQ29" t="str">
            <v>CR-000C</v>
          </cell>
        </row>
        <row r="30">
          <cell r="A30" t="str">
            <v>RLG-XB</v>
          </cell>
          <cell r="B30" t="str">
            <v>Xà bông bôi trơn
潤滑皂</v>
          </cell>
          <cell r="D30" t="str">
            <v>Point</v>
          </cell>
          <cell r="E30" t="str">
            <v>0.8~1.2</v>
          </cell>
          <cell r="F30">
            <v>1</v>
          </cell>
          <cell r="G30">
            <v>0.95</v>
          </cell>
          <cell r="H30">
            <v>0.95</v>
          </cell>
          <cell r="I30">
            <v>6.1700000000000053E-2</v>
          </cell>
          <cell r="J30" t="str">
            <v>+</v>
          </cell>
          <cell r="K30">
            <v>6.1700000000000053E-2</v>
          </cell>
          <cell r="L30" t="str">
            <v>kg</v>
          </cell>
          <cell r="M30">
            <v>0.9</v>
          </cell>
          <cell r="N30">
            <v>0.9</v>
          </cell>
          <cell r="O30">
            <v>0.12339999999999998</v>
          </cell>
          <cell r="P30" t="str">
            <v>+</v>
          </cell>
          <cell r="Q30">
            <v>0.12339999999999998</v>
          </cell>
          <cell r="R30" t="str">
            <v>kg</v>
          </cell>
          <cell r="S30">
            <v>0.95</v>
          </cell>
          <cell r="T30">
            <v>0.95</v>
          </cell>
          <cell r="U30">
            <v>6.1700000000000053E-2</v>
          </cell>
          <cell r="V30" t="str">
            <v>+</v>
          </cell>
          <cell r="W30">
            <v>6.1700000000000053E-2</v>
          </cell>
          <cell r="X30" t="str">
            <v>kg</v>
          </cell>
          <cell r="Y30">
            <v>0.9</v>
          </cell>
          <cell r="Z30">
            <v>0.9</v>
          </cell>
          <cell r="AA30">
            <v>0.12339999999999998</v>
          </cell>
          <cell r="AB30" t="str">
            <v>+</v>
          </cell>
          <cell r="AC30">
            <v>0.12339999999999998</v>
          </cell>
          <cell r="AD30" t="str">
            <v>kg</v>
          </cell>
          <cell r="AE30">
            <v>0.9</v>
          </cell>
          <cell r="AF30">
            <v>0.9</v>
          </cell>
          <cell r="AG30">
            <v>0.12339999999999998</v>
          </cell>
          <cell r="AH30" t="str">
            <v>+</v>
          </cell>
          <cell r="AI30">
            <v>0.12339999999999998</v>
          </cell>
          <cell r="AJ30" t="str">
            <v>kg</v>
          </cell>
          <cell r="AK30">
            <v>8</v>
          </cell>
          <cell r="AL30">
            <v>8</v>
          </cell>
          <cell r="AM30">
            <v>-8.6379999999999999</v>
          </cell>
          <cell r="AN30" t="str">
            <v>+</v>
          </cell>
          <cell r="AO30">
            <v>0</v>
          </cell>
          <cell r="AP30" t="str">
            <v>kg</v>
          </cell>
          <cell r="AQ30" t="str">
            <v>CR-000C</v>
          </cell>
        </row>
        <row r="31">
          <cell r="A31" t="str">
            <v>RLG-XBPH</v>
          </cell>
          <cell r="B31" t="str">
            <v>pH</v>
          </cell>
          <cell r="D31" t="str">
            <v>pH</v>
          </cell>
          <cell r="E31" t="str">
            <v>8~10</v>
          </cell>
          <cell r="F31">
            <v>9.5</v>
          </cell>
          <cell r="G31">
            <v>10</v>
          </cell>
          <cell r="H31">
            <v>10</v>
          </cell>
          <cell r="M31">
            <v>9.5</v>
          </cell>
          <cell r="N31">
            <v>9.5</v>
          </cell>
          <cell r="S31">
            <v>9.5</v>
          </cell>
          <cell r="T31">
            <v>9.5</v>
          </cell>
          <cell r="Y31">
            <v>9.5</v>
          </cell>
          <cell r="Z31">
            <v>9.5</v>
          </cell>
          <cell r="AE31">
            <v>9</v>
          </cell>
          <cell r="AF31">
            <v>9</v>
          </cell>
          <cell r="AK31">
            <v>0</v>
          </cell>
          <cell r="AL31">
            <v>0</v>
          </cell>
          <cell r="AQ31" t="str">
            <v>CR-000C</v>
          </cell>
        </row>
        <row r="32">
          <cell r="A32" t="str">
            <v>Hạng mục kiểm tra nhiệt độ 檢查溫度</v>
          </cell>
        </row>
        <row r="33">
          <cell r="A33" t="str">
            <v>MÃ</v>
          </cell>
          <cell r="B33" t="str">
            <v>Hạng mục kiểm tra nhiệt độ
溫度檢查項目</v>
          </cell>
          <cell r="D33" t="str">
            <v>nhiệt độ
溫度</v>
          </cell>
          <cell r="E33" t="str">
            <v>Tiêu chuẩn
控制範圍</v>
          </cell>
          <cell r="H33" t="str">
            <v>Nhiệt kế 
温度計</v>
          </cell>
          <cell r="K33" t="str">
            <v>Nhiệt tự động
自動温控</v>
          </cell>
          <cell r="N33" t="str">
            <v>Nhiệt kế 
温度計</v>
          </cell>
          <cell r="Q33" t="str">
            <v>Nhiệt tự động
自動温控</v>
          </cell>
          <cell r="T33" t="str">
            <v>Nhiệt kế 
温度計</v>
          </cell>
          <cell r="W33" t="str">
            <v>Nhiệt tự động
自動温控</v>
          </cell>
          <cell r="Z33" t="str">
            <v>Nhiệt kế 
温度計</v>
          </cell>
          <cell r="AC33" t="str">
            <v>Nhiệt tự động
自動温控</v>
          </cell>
          <cell r="AF33" t="str">
            <v>Nhiệt kế 
温度計</v>
          </cell>
          <cell r="AI33" t="str">
            <v>Nhiệt tự động
自動温控</v>
          </cell>
          <cell r="AL33" t="str">
            <v>Nhiệt kế 
温度計</v>
          </cell>
          <cell r="AO33" t="str">
            <v>Nhiệt tự động
自動温控</v>
          </cell>
        </row>
        <row r="34">
          <cell r="A34" t="str">
            <v>RLG-TEMKD</v>
          </cell>
          <cell r="B34" t="str">
            <v>Khử dầu 
脫脂</v>
          </cell>
          <cell r="D34" t="str">
            <v>0C</v>
          </cell>
          <cell r="E34" t="str">
            <v>55~65OC</v>
          </cell>
          <cell r="H34">
            <v>0</v>
          </cell>
          <cell r="K34">
            <v>64</v>
          </cell>
          <cell r="N34">
            <v>0</v>
          </cell>
          <cell r="Q34">
            <v>65</v>
          </cell>
          <cell r="T34">
            <v>0</v>
          </cell>
          <cell r="W34">
            <v>64</v>
          </cell>
          <cell r="Z34">
            <v>0</v>
          </cell>
          <cell r="AC34">
            <v>66</v>
          </cell>
          <cell r="AF34">
            <v>0</v>
          </cell>
          <cell r="AI34">
            <v>64</v>
          </cell>
          <cell r="AL34">
            <v>0</v>
          </cell>
          <cell r="AO34">
            <v>63</v>
          </cell>
          <cell r="AQ34" t="str">
            <v>CR-000C</v>
          </cell>
        </row>
        <row r="35">
          <cell r="A35" t="str">
            <v>RLG-TEMPP</v>
          </cell>
          <cell r="B35" t="str">
            <v>Muối axit Phosphoric 
磷酸鹽</v>
          </cell>
          <cell r="D35" t="str">
            <v>0C</v>
          </cell>
          <cell r="E35" t="str">
            <v>65~85OC</v>
          </cell>
          <cell r="H35">
            <v>0</v>
          </cell>
          <cell r="K35">
            <v>67</v>
          </cell>
          <cell r="N35">
            <v>0</v>
          </cell>
          <cell r="Q35">
            <v>70</v>
          </cell>
          <cell r="T35">
            <v>0</v>
          </cell>
          <cell r="W35">
            <v>69</v>
          </cell>
          <cell r="Z35">
            <v>0</v>
          </cell>
          <cell r="AC35">
            <v>69</v>
          </cell>
          <cell r="AF35">
            <v>0</v>
          </cell>
          <cell r="AI35">
            <v>69</v>
          </cell>
          <cell r="AL35">
            <v>0</v>
          </cell>
          <cell r="AO35">
            <v>68</v>
          </cell>
          <cell r="AQ35" t="str">
            <v>CR-000C</v>
          </cell>
        </row>
        <row r="36">
          <cell r="A36" t="str">
            <v>RLG-XB</v>
          </cell>
          <cell r="B36" t="str">
            <v>xaø boâng boâi trôn 
潤滑皂</v>
          </cell>
          <cell r="D36" t="str">
            <v>0C</v>
          </cell>
          <cell r="E36" t="str">
            <v>80~90OC</v>
          </cell>
          <cell r="H36">
            <v>0</v>
          </cell>
          <cell r="K36">
            <v>86</v>
          </cell>
          <cell r="N36">
            <v>0</v>
          </cell>
          <cell r="Q36">
            <v>83</v>
          </cell>
          <cell r="T36">
            <v>0</v>
          </cell>
          <cell r="W36">
            <v>83</v>
          </cell>
          <cell r="Z36">
            <v>0</v>
          </cell>
          <cell r="AC36">
            <v>86</v>
          </cell>
          <cell r="AF36">
            <v>0</v>
          </cell>
          <cell r="AI36">
            <v>84</v>
          </cell>
          <cell r="AL36">
            <v>0</v>
          </cell>
          <cell r="AO36">
            <v>83</v>
          </cell>
          <cell r="AQ36" t="str">
            <v>CR-000C</v>
          </cell>
        </row>
        <row r="38">
          <cell r="A38" t="str">
            <v>生產線別：洗料F線 (rửa liệu máy F)</v>
          </cell>
          <cell r="F38" t="str">
            <v>Kết quả kiểm tra 檢查結果</v>
          </cell>
          <cell r="H38" t="str">
            <v>Kết quả kiểm tra 檢查結果</v>
          </cell>
        </row>
        <row r="39">
          <cell r="B39" t="str">
            <v>Hạng mục kiểm tra nồng dộ
化驗檢查項目</v>
          </cell>
          <cell r="D39" t="str">
            <v>Đơn vị
單位</v>
          </cell>
          <cell r="E39" t="str">
            <v>Tiêu chuẩn
控制範圍</v>
          </cell>
          <cell r="H39" t="str">
            <v>8:00</v>
          </cell>
          <cell r="N39" t="str">
            <v>12:30</v>
          </cell>
          <cell r="T39" t="str">
            <v>16:00</v>
          </cell>
          <cell r="Z39" t="str">
            <v>20:00</v>
          </cell>
          <cell r="AF39" t="str">
            <v>01:00</v>
          </cell>
          <cell r="AL39" t="str">
            <v>04:00</v>
          </cell>
        </row>
        <row r="40">
          <cell r="A40" t="str">
            <v>MÃ</v>
          </cell>
          <cell r="F40" t="str">
            <v>t/chuan</v>
          </cell>
          <cell r="H40" t="str">
            <v>濃度 g/L</v>
          </cell>
          <cell r="I40" t="str">
            <v>補充 BS</v>
          </cell>
          <cell r="J40" t="str">
            <v>補充 BS</v>
          </cell>
          <cell r="N40" t="str">
            <v>濃度 g/L</v>
          </cell>
          <cell r="O40" t="str">
            <v>補充 BS</v>
          </cell>
          <cell r="P40" t="str">
            <v>補充 BS</v>
          </cell>
          <cell r="T40" t="str">
            <v>濃度 g/L</v>
          </cell>
          <cell r="U40" t="str">
            <v>補充 BS</v>
          </cell>
          <cell r="V40" t="str">
            <v>補充 BS</v>
          </cell>
          <cell r="Z40" t="str">
            <v>濃度 g/L</v>
          </cell>
          <cell r="AA40" t="str">
            <v>補充 BS</v>
          </cell>
          <cell r="AB40" t="str">
            <v>補充 BS</v>
          </cell>
          <cell r="AF40" t="str">
            <v>濃度 g/L</v>
          </cell>
          <cell r="AG40" t="str">
            <v>補充 BS</v>
          </cell>
          <cell r="AH40" t="str">
            <v>補充 BS</v>
          </cell>
          <cell r="AL40" t="str">
            <v>濃度 g/L</v>
          </cell>
          <cell r="AM40" t="str">
            <v>補充 BS</v>
          </cell>
          <cell r="AN40" t="str">
            <v>補充 BS</v>
          </cell>
        </row>
        <row r="41">
          <cell r="A41" t="str">
            <v>RLF-KD</v>
          </cell>
          <cell r="B41" t="str">
            <v>Khử dầu
脫脂</v>
          </cell>
          <cell r="D41" t="str">
            <v>Point</v>
          </cell>
          <cell r="E41" t="str">
            <v>30 – 50 (40)</v>
          </cell>
          <cell r="F41">
            <v>40</v>
          </cell>
          <cell r="G41">
            <v>0</v>
          </cell>
          <cell r="H41">
            <v>0</v>
          </cell>
          <cell r="I41">
            <v>93.2</v>
          </cell>
          <cell r="J41" t="str">
            <v>+</v>
          </cell>
          <cell r="K41">
            <v>0</v>
          </cell>
          <cell r="L41" t="str">
            <v>kg</v>
          </cell>
          <cell r="M41">
            <v>0</v>
          </cell>
          <cell r="N41">
            <v>0</v>
          </cell>
          <cell r="O41">
            <v>93.2</v>
          </cell>
          <cell r="P41" t="str">
            <v>+</v>
          </cell>
          <cell r="Q41">
            <v>0</v>
          </cell>
          <cell r="R41" t="str">
            <v>kg</v>
          </cell>
          <cell r="S41">
            <v>0</v>
          </cell>
          <cell r="T41">
            <v>0</v>
          </cell>
          <cell r="U41">
            <v>93.2</v>
          </cell>
          <cell r="V41" t="str">
            <v>+</v>
          </cell>
          <cell r="W41">
            <v>0</v>
          </cell>
          <cell r="X41" t="str">
            <v>kg</v>
          </cell>
          <cell r="Y41">
            <v>0</v>
          </cell>
          <cell r="Z41">
            <v>0</v>
          </cell>
          <cell r="AA41">
            <v>93.2</v>
          </cell>
          <cell r="AB41" t="str">
            <v>+</v>
          </cell>
          <cell r="AC41">
            <v>0</v>
          </cell>
          <cell r="AD41" t="str">
            <v>kg</v>
          </cell>
          <cell r="AE41">
            <v>0</v>
          </cell>
          <cell r="AF41">
            <v>0</v>
          </cell>
          <cell r="AG41">
            <v>93.2</v>
          </cell>
          <cell r="AH41" t="str">
            <v>+</v>
          </cell>
          <cell r="AI41">
            <v>0</v>
          </cell>
          <cell r="AJ41" t="str">
            <v>kg</v>
          </cell>
          <cell r="AK41">
            <v>0</v>
          </cell>
          <cell r="AL41">
            <v>0</v>
          </cell>
          <cell r="AM41">
            <v>93.2</v>
          </cell>
          <cell r="AN41" t="str">
            <v>+</v>
          </cell>
          <cell r="AO41">
            <v>0</v>
          </cell>
          <cell r="AP41" t="str">
            <v>kg</v>
          </cell>
          <cell r="AQ41" t="str">
            <v>CR-000D</v>
          </cell>
        </row>
        <row r="42">
          <cell r="A42" t="str">
            <v>RLF-HCL1</v>
          </cell>
          <cell r="B42" t="str">
            <v>Rua acid 鹽酸洗槽</v>
          </cell>
          <cell r="D42" t="str">
            <v>%</v>
          </cell>
          <cell r="E42" t="str">
            <v>10~15%  (12.5%)</v>
          </cell>
          <cell r="F42">
            <v>12.5</v>
          </cell>
          <cell r="G42">
            <v>0</v>
          </cell>
          <cell r="H42">
            <v>0</v>
          </cell>
          <cell r="I42">
            <v>1017.578125</v>
          </cell>
          <cell r="J42" t="str">
            <v>+</v>
          </cell>
          <cell r="K42">
            <v>0</v>
          </cell>
          <cell r="L42" t="str">
            <v>L</v>
          </cell>
          <cell r="M42">
            <v>0</v>
          </cell>
          <cell r="N42">
            <v>0</v>
          </cell>
          <cell r="O42">
            <v>1017.578125</v>
          </cell>
          <cell r="P42" t="str">
            <v>+</v>
          </cell>
          <cell r="Q42">
            <v>0</v>
          </cell>
          <cell r="R42" t="str">
            <v>L</v>
          </cell>
          <cell r="S42">
            <v>0</v>
          </cell>
          <cell r="T42">
            <v>0</v>
          </cell>
          <cell r="U42">
            <v>1017.578125</v>
          </cell>
          <cell r="V42" t="str">
            <v>+</v>
          </cell>
          <cell r="W42">
            <v>0</v>
          </cell>
          <cell r="X42" t="str">
            <v>L</v>
          </cell>
          <cell r="Y42">
            <v>0</v>
          </cell>
          <cell r="Z42">
            <v>0</v>
          </cell>
          <cell r="AA42">
            <v>1017.578125</v>
          </cell>
          <cell r="AB42" t="str">
            <v>+</v>
          </cell>
          <cell r="AC42">
            <v>0</v>
          </cell>
          <cell r="AD42" t="str">
            <v>L</v>
          </cell>
          <cell r="AE42">
            <v>0</v>
          </cell>
          <cell r="AF42">
            <v>0</v>
          </cell>
          <cell r="AG42">
            <v>1017.578125</v>
          </cell>
          <cell r="AH42" t="str">
            <v>+</v>
          </cell>
          <cell r="AI42">
            <v>0</v>
          </cell>
          <cell r="AJ42" t="str">
            <v>L</v>
          </cell>
          <cell r="AK42">
            <v>0</v>
          </cell>
          <cell r="AL42">
            <v>0</v>
          </cell>
          <cell r="AM42">
            <v>1017.578125</v>
          </cell>
          <cell r="AN42" t="str">
            <v>+</v>
          </cell>
          <cell r="AO42">
            <v>0</v>
          </cell>
          <cell r="AP42" t="str">
            <v>L</v>
          </cell>
          <cell r="AQ42" t="str">
            <v>CR-000D</v>
          </cell>
        </row>
        <row r="43">
          <cell r="A43" t="str">
            <v>RLF-PP1TA</v>
          </cell>
          <cell r="B43" t="str">
            <v>Muối axit Phosphoric  (TA)
磷酸鹽</v>
          </cell>
          <cell r="D43" t="str">
            <v>Point</v>
          </cell>
          <cell r="E43" t="str">
            <v>Tổng chua TA  全酸
40~60 (50)</v>
          </cell>
          <cell r="F43">
            <v>50</v>
          </cell>
          <cell r="G43">
            <v>0</v>
          </cell>
          <cell r="H43">
            <v>0</v>
          </cell>
          <cell r="I43">
            <v>246.75</v>
          </cell>
          <cell r="J43" t="str">
            <v>+</v>
          </cell>
          <cell r="K43">
            <v>0</v>
          </cell>
          <cell r="L43" t="str">
            <v>kg</v>
          </cell>
          <cell r="M43">
            <v>0</v>
          </cell>
          <cell r="N43">
            <v>0</v>
          </cell>
          <cell r="O43">
            <v>246.75</v>
          </cell>
          <cell r="P43" t="str">
            <v>+</v>
          </cell>
          <cell r="Q43">
            <v>0</v>
          </cell>
          <cell r="R43" t="str">
            <v>kg</v>
          </cell>
          <cell r="S43">
            <v>0</v>
          </cell>
          <cell r="T43">
            <v>0</v>
          </cell>
          <cell r="U43">
            <v>246.75</v>
          </cell>
          <cell r="V43" t="str">
            <v>+</v>
          </cell>
          <cell r="W43">
            <v>0</v>
          </cell>
          <cell r="X43" t="str">
            <v>kg</v>
          </cell>
          <cell r="Y43">
            <v>0</v>
          </cell>
          <cell r="Z43">
            <v>0</v>
          </cell>
          <cell r="AA43">
            <v>246.75</v>
          </cell>
          <cell r="AB43" t="str">
            <v>+</v>
          </cell>
          <cell r="AC43">
            <v>0</v>
          </cell>
          <cell r="AD43" t="str">
            <v>kg</v>
          </cell>
          <cell r="AE43">
            <v>0</v>
          </cell>
          <cell r="AF43">
            <v>0</v>
          </cell>
          <cell r="AG43">
            <v>246.75</v>
          </cell>
          <cell r="AH43" t="str">
            <v>+</v>
          </cell>
          <cell r="AI43">
            <v>0</v>
          </cell>
          <cell r="AJ43" t="str">
            <v>kg</v>
          </cell>
          <cell r="AK43">
            <v>0</v>
          </cell>
          <cell r="AL43">
            <v>0</v>
          </cell>
          <cell r="AM43">
            <v>246.75</v>
          </cell>
          <cell r="AN43" t="str">
            <v>+</v>
          </cell>
          <cell r="AO43">
            <v>0</v>
          </cell>
          <cell r="AP43" t="str">
            <v>kg</v>
          </cell>
          <cell r="AQ43" t="str">
            <v>CR-000D</v>
          </cell>
        </row>
        <row r="44">
          <cell r="A44" t="str">
            <v>RLF-PP1AX</v>
          </cell>
          <cell r="B44" t="str">
            <v>Muối axit Phosphoric  (tỷ lệ axit)
磷酸鹽</v>
          </cell>
          <cell r="D44" t="str">
            <v>Point</v>
          </cell>
          <cell r="E44" t="str">
            <v>tỷ lệ axit  酸比 
5.2~7.8 (6.5)</v>
          </cell>
          <cell r="F44">
            <v>6.5</v>
          </cell>
          <cell r="G44">
            <v>0</v>
          </cell>
          <cell r="H44">
            <v>0</v>
          </cell>
          <cell r="I44">
            <v>32.077500000000001</v>
          </cell>
          <cell r="K44">
            <v>0</v>
          </cell>
          <cell r="L44" t="str">
            <v>kg</v>
          </cell>
          <cell r="M44">
            <v>0</v>
          </cell>
          <cell r="N44">
            <v>0</v>
          </cell>
          <cell r="O44">
            <v>32.077500000000001</v>
          </cell>
          <cell r="Q44">
            <v>0</v>
          </cell>
          <cell r="R44" t="str">
            <v>kg</v>
          </cell>
          <cell r="S44">
            <v>0</v>
          </cell>
          <cell r="T44">
            <v>0</v>
          </cell>
          <cell r="U44">
            <v>32.077500000000001</v>
          </cell>
          <cell r="W44">
            <v>0</v>
          </cell>
          <cell r="X44" t="str">
            <v>kg</v>
          </cell>
          <cell r="Y44">
            <v>0</v>
          </cell>
          <cell r="Z44">
            <v>0</v>
          </cell>
          <cell r="AA44">
            <v>32.077500000000001</v>
          </cell>
          <cell r="AC44">
            <v>0</v>
          </cell>
          <cell r="AD44" t="str">
            <v>kg</v>
          </cell>
          <cell r="AE44">
            <v>0</v>
          </cell>
          <cell r="AF44">
            <v>0</v>
          </cell>
          <cell r="AG44">
            <v>32.077500000000001</v>
          </cell>
          <cell r="AI44">
            <v>0</v>
          </cell>
          <cell r="AJ44" t="str">
            <v>kg</v>
          </cell>
          <cell r="AK44">
            <v>0</v>
          </cell>
          <cell r="AL44">
            <v>0</v>
          </cell>
          <cell r="AM44">
            <v>32.077500000000001</v>
          </cell>
          <cell r="AO44">
            <v>0</v>
          </cell>
          <cell r="AP44" t="str">
            <v>kg</v>
          </cell>
          <cell r="AQ44" t="str">
            <v>CR-000D</v>
          </cell>
        </row>
        <row r="45">
          <cell r="A45" t="str">
            <v>RLF-PP1PL</v>
          </cell>
          <cell r="B45" t="str">
            <v>Muối axit Phosphoric (Fe phân ly) 
磷酸鹽</v>
          </cell>
          <cell r="D45" t="str">
            <v>Point</v>
          </cell>
          <cell r="E45" t="str">
            <v xml:space="preserve">Fe phân ly &lt;0.4
 鐵離子&lt;0.4
</v>
          </cell>
          <cell r="F45">
            <v>0.4</v>
          </cell>
          <cell r="G45">
            <v>0</v>
          </cell>
          <cell r="H45">
            <v>0</v>
          </cell>
          <cell r="M45">
            <v>0</v>
          </cell>
          <cell r="N45">
            <v>0</v>
          </cell>
          <cell r="S45">
            <v>0</v>
          </cell>
          <cell r="T45">
            <v>0</v>
          </cell>
          <cell r="Y45">
            <v>0</v>
          </cell>
          <cell r="Z45">
            <v>0</v>
          </cell>
          <cell r="AE45">
            <v>0</v>
          </cell>
          <cell r="AF45">
            <v>0</v>
          </cell>
          <cell r="AK45">
            <v>0</v>
          </cell>
          <cell r="AL45">
            <v>0</v>
          </cell>
          <cell r="AQ45" t="str">
            <v>CR-000D</v>
          </cell>
        </row>
        <row r="46">
          <cell r="A46" t="str">
            <v>RLF-XB</v>
          </cell>
          <cell r="B46" t="str">
            <v>Xà bông bôi trơn
潤滑皂</v>
          </cell>
          <cell r="D46" t="str">
            <v>Point</v>
          </cell>
          <cell r="E46" t="str">
            <v>0.8~1.2</v>
          </cell>
          <cell r="F46">
            <v>1</v>
          </cell>
          <cell r="G46">
            <v>0</v>
          </cell>
          <cell r="H46">
            <v>0</v>
          </cell>
          <cell r="I46">
            <v>1.234</v>
          </cell>
          <cell r="J46" t="str">
            <v>+</v>
          </cell>
          <cell r="K46">
            <v>0</v>
          </cell>
          <cell r="L46" t="str">
            <v>kg</v>
          </cell>
          <cell r="M46">
            <v>0</v>
          </cell>
          <cell r="N46">
            <v>0</v>
          </cell>
          <cell r="O46">
            <v>1.234</v>
          </cell>
          <cell r="P46" t="str">
            <v>+</v>
          </cell>
          <cell r="Q46">
            <v>0</v>
          </cell>
          <cell r="R46" t="str">
            <v>kg</v>
          </cell>
          <cell r="S46">
            <v>0</v>
          </cell>
          <cell r="T46">
            <v>0</v>
          </cell>
          <cell r="U46">
            <v>1.234</v>
          </cell>
          <cell r="V46" t="str">
            <v>+</v>
          </cell>
          <cell r="W46">
            <v>0</v>
          </cell>
          <cell r="X46" t="str">
            <v>kg</v>
          </cell>
          <cell r="Y46">
            <v>0</v>
          </cell>
          <cell r="Z46">
            <v>0</v>
          </cell>
          <cell r="AA46">
            <v>1.234</v>
          </cell>
          <cell r="AB46" t="str">
            <v>+</v>
          </cell>
          <cell r="AC46">
            <v>0</v>
          </cell>
          <cell r="AD46" t="str">
            <v>kg</v>
          </cell>
          <cell r="AE46">
            <v>0</v>
          </cell>
          <cell r="AF46">
            <v>0</v>
          </cell>
          <cell r="AG46">
            <v>1.234</v>
          </cell>
          <cell r="AH46" t="str">
            <v>+</v>
          </cell>
          <cell r="AI46">
            <v>0</v>
          </cell>
          <cell r="AJ46" t="str">
            <v>kg</v>
          </cell>
          <cell r="AK46">
            <v>0</v>
          </cell>
          <cell r="AL46">
            <v>0</v>
          </cell>
          <cell r="AM46">
            <v>1.234</v>
          </cell>
          <cell r="AN46" t="str">
            <v>+</v>
          </cell>
          <cell r="AO46">
            <v>0</v>
          </cell>
          <cell r="AP46" t="str">
            <v>kg</v>
          </cell>
          <cell r="AQ46" t="str">
            <v>CR-000D</v>
          </cell>
        </row>
        <row r="47">
          <cell r="A47" t="str">
            <v>RLF-XBPH</v>
          </cell>
          <cell r="B47" t="str">
            <v>pH</v>
          </cell>
          <cell r="D47" t="str">
            <v>pH</v>
          </cell>
          <cell r="E47" t="str">
            <v>8~10</v>
          </cell>
          <cell r="F47">
            <v>9.5</v>
          </cell>
          <cell r="G47">
            <v>0</v>
          </cell>
          <cell r="H47">
            <v>0</v>
          </cell>
          <cell r="M47">
            <v>0</v>
          </cell>
          <cell r="N47">
            <v>0</v>
          </cell>
          <cell r="S47">
            <v>0</v>
          </cell>
          <cell r="T47">
            <v>0</v>
          </cell>
          <cell r="Y47">
            <v>0</v>
          </cell>
          <cell r="Z47">
            <v>0</v>
          </cell>
          <cell r="AE47">
            <v>0</v>
          </cell>
          <cell r="AF47">
            <v>0</v>
          </cell>
          <cell r="AK47">
            <v>0</v>
          </cell>
          <cell r="AL47">
            <v>0</v>
          </cell>
          <cell r="AQ47" t="str">
            <v>CR-000D</v>
          </cell>
        </row>
        <row r="48">
          <cell r="A48" t="str">
            <v>Hạng mục kiểm tra nhiệt độ 檢查溫度</v>
          </cell>
        </row>
        <row r="49">
          <cell r="A49" t="str">
            <v>MÃ</v>
          </cell>
          <cell r="B49" t="str">
            <v>Hạng mục kiểm tra nhiệt độ
溫度檢查項目</v>
          </cell>
          <cell r="D49" t="str">
            <v>nhiệt độ
溫度</v>
          </cell>
          <cell r="E49" t="str">
            <v>Tiêu chuẩn
控制範圍</v>
          </cell>
          <cell r="H49" t="str">
            <v>Nhiệt kế 
温度計</v>
          </cell>
          <cell r="K49" t="str">
            <v>Nhiệt tự động
自動温控</v>
          </cell>
          <cell r="N49" t="str">
            <v>Nhiệt kế 
温度計</v>
          </cell>
          <cell r="Q49" t="str">
            <v>Nhiệt tự động
自動温控</v>
          </cell>
          <cell r="T49" t="str">
            <v>Nhiệt kế 
温度計</v>
          </cell>
          <cell r="W49" t="str">
            <v>Nhiệt tự động
自動温控</v>
          </cell>
          <cell r="Z49" t="str">
            <v>Nhiệt kế 
温度計</v>
          </cell>
          <cell r="AC49" t="str">
            <v>Nhiệt tự động
自動温控</v>
          </cell>
          <cell r="AF49" t="str">
            <v>Nhiệt kế 
温度計</v>
          </cell>
          <cell r="AI49" t="str">
            <v>Nhiệt tự động
自動温控</v>
          </cell>
          <cell r="AL49" t="str">
            <v>Nhiệt kế 
温度計</v>
          </cell>
          <cell r="AO49" t="str">
            <v>Nhiệt tự động
自動温控</v>
          </cell>
        </row>
        <row r="50">
          <cell r="A50" t="str">
            <v>RLF-TEMKD</v>
          </cell>
          <cell r="B50" t="str">
            <v>Khử dầu 
脫脂</v>
          </cell>
          <cell r="D50" t="str">
            <v>0C</v>
          </cell>
          <cell r="E50" t="str">
            <v>55~65OC</v>
          </cell>
          <cell r="H50">
            <v>0</v>
          </cell>
          <cell r="K50">
            <v>0</v>
          </cell>
          <cell r="N50">
            <v>0</v>
          </cell>
          <cell r="Q50">
            <v>0</v>
          </cell>
          <cell r="T50">
            <v>0</v>
          </cell>
          <cell r="W50">
            <v>0</v>
          </cell>
          <cell r="Z50">
            <v>0</v>
          </cell>
          <cell r="AC50">
            <v>0</v>
          </cell>
          <cell r="AF50">
            <v>0</v>
          </cell>
          <cell r="AI50">
            <v>0</v>
          </cell>
          <cell r="AL50">
            <v>0</v>
          </cell>
          <cell r="AO50">
            <v>0</v>
          </cell>
          <cell r="AQ50" t="str">
            <v>CR-000D</v>
          </cell>
        </row>
        <row r="51">
          <cell r="A51" t="str">
            <v>RLF-TEMPP2</v>
          </cell>
          <cell r="B51" t="str">
            <v>Muối axit Phosphoric (2)
磷酸鹽</v>
          </cell>
          <cell r="D51" t="str">
            <v>0C</v>
          </cell>
          <cell r="E51" t="str">
            <v>65~85OC</v>
          </cell>
          <cell r="H51">
            <v>0</v>
          </cell>
          <cell r="K51">
            <v>0</v>
          </cell>
          <cell r="N51">
            <v>0</v>
          </cell>
          <cell r="Q51">
            <v>0</v>
          </cell>
          <cell r="T51">
            <v>0</v>
          </cell>
          <cell r="W51">
            <v>0</v>
          </cell>
          <cell r="Z51">
            <v>0</v>
          </cell>
          <cell r="AC51">
            <v>0</v>
          </cell>
          <cell r="AF51">
            <v>0</v>
          </cell>
          <cell r="AI51">
            <v>0</v>
          </cell>
          <cell r="AL51">
            <v>0</v>
          </cell>
          <cell r="AO51">
            <v>0</v>
          </cell>
          <cell r="AQ51" t="str">
            <v>CR-000D</v>
          </cell>
        </row>
        <row r="52">
          <cell r="A52" t="str">
            <v>RLF-TEMXB</v>
          </cell>
          <cell r="B52" t="str">
            <v>xaø boâng boâi trôn 
潤滑皂</v>
          </cell>
          <cell r="D52" t="str">
            <v>0C</v>
          </cell>
          <cell r="E52" t="str">
            <v>80~90OC</v>
          </cell>
          <cell r="H52">
            <v>0</v>
          </cell>
          <cell r="K52">
            <v>0</v>
          </cell>
          <cell r="N52">
            <v>0</v>
          </cell>
          <cell r="Q52">
            <v>0</v>
          </cell>
          <cell r="T52">
            <v>0</v>
          </cell>
          <cell r="W52">
            <v>0</v>
          </cell>
          <cell r="Z52">
            <v>0</v>
          </cell>
          <cell r="AC52">
            <v>0</v>
          </cell>
          <cell r="AF52">
            <v>0</v>
          </cell>
          <cell r="AI52">
            <v>0</v>
          </cell>
          <cell r="AL52">
            <v>0</v>
          </cell>
          <cell r="AO52">
            <v>0</v>
          </cell>
          <cell r="AQ52" t="str">
            <v>CR-000D</v>
          </cell>
        </row>
        <row r="54">
          <cell r="A54" t="str">
            <v>生產線別：XI ĐEN - epoxy</v>
          </cell>
          <cell r="F54" t="str">
            <v>Kết quả kiểm tra 檢查結果</v>
          </cell>
          <cell r="H54" t="str">
            <v>Kết quả kiểm tra 檢查結果</v>
          </cell>
        </row>
        <row r="55">
          <cell r="B55" t="str">
            <v>Hạng mục kiểm tra nồng dộ
化驗檢查項目</v>
          </cell>
          <cell r="D55" t="str">
            <v>Đơn vị
單位</v>
          </cell>
          <cell r="E55" t="str">
            <v>Tiêu chuẩn
控制範圍</v>
          </cell>
          <cell r="H55" t="str">
            <v>9:00</v>
          </cell>
          <cell r="N55" t="str">
            <v>13:00</v>
          </cell>
        </row>
        <row r="56">
          <cell r="A56" t="str">
            <v>MÃ</v>
          </cell>
          <cell r="F56" t="str">
            <v>t/chuan</v>
          </cell>
          <cell r="H56" t="str">
            <v>濃度 g/L</v>
          </cell>
          <cell r="I56" t="str">
            <v>補充 BS</v>
          </cell>
          <cell r="J56" t="str">
            <v>補充 BS</v>
          </cell>
          <cell r="N56" t="str">
            <v>濃度 g/L</v>
          </cell>
          <cell r="O56" t="str">
            <v>補充 BS</v>
          </cell>
          <cell r="P56" t="str">
            <v>補充 BS</v>
          </cell>
          <cell r="W56" t="str">
            <v xml:space="preserve">PP HÓA NGHIỆM </v>
          </cell>
        </row>
        <row r="57">
          <cell r="A57" t="str">
            <v>XD-XB1</v>
          </cell>
          <cell r="B57" t="str">
            <v>Xà bông 1
預脫脂</v>
          </cell>
          <cell r="D57" t="str">
            <v>g/L</v>
          </cell>
          <cell r="E57" t="str">
            <v>10~20
 (15)</v>
          </cell>
          <cell r="F57">
            <v>15</v>
          </cell>
          <cell r="G57">
            <v>0</v>
          </cell>
          <cell r="H57">
            <v>0</v>
          </cell>
          <cell r="I57">
            <v>108.21599999999999</v>
          </cell>
          <cell r="J57" t="str">
            <v>+</v>
          </cell>
          <cell r="K57">
            <v>0</v>
          </cell>
          <cell r="L57" t="str">
            <v>kg</v>
          </cell>
          <cell r="M57">
            <v>0</v>
          </cell>
          <cell r="N57">
            <v>0</v>
          </cell>
          <cell r="O57">
            <v>108.21599999999999</v>
          </cell>
          <cell r="P57" t="str">
            <v>+</v>
          </cell>
          <cell r="Q57">
            <v>0</v>
          </cell>
          <cell r="R57" t="str">
            <v>kg</v>
          </cell>
          <cell r="S57">
            <v>0</v>
          </cell>
          <cell r="AQ57" t="str">
            <v>XD-000A</v>
          </cell>
        </row>
        <row r="58">
          <cell r="A58" t="str">
            <v>XD-XB2</v>
          </cell>
          <cell r="B58" t="str">
            <v>Xà bông 2
主脫脂</v>
          </cell>
          <cell r="D58" t="str">
            <v>g/L</v>
          </cell>
          <cell r="E58" t="str">
            <v>40~60g/L
(50±5g/L)</v>
          </cell>
          <cell r="F58">
            <v>50</v>
          </cell>
          <cell r="G58">
            <v>0</v>
          </cell>
          <cell r="H58">
            <v>0</v>
          </cell>
          <cell r="I58">
            <v>360.72</v>
          </cell>
          <cell r="J58" t="str">
            <v>+</v>
          </cell>
          <cell r="K58">
            <v>0</v>
          </cell>
          <cell r="L58" t="str">
            <v>kg</v>
          </cell>
          <cell r="M58">
            <v>0</v>
          </cell>
          <cell r="N58">
            <v>0</v>
          </cell>
          <cell r="O58">
            <v>360.72</v>
          </cell>
          <cell r="P58" t="str">
            <v>+</v>
          </cell>
          <cell r="Q58">
            <v>0</v>
          </cell>
          <cell r="R58" t="str">
            <v>kg</v>
          </cell>
          <cell r="S58">
            <v>0</v>
          </cell>
          <cell r="T58" t="str">
            <v>HALO</v>
          </cell>
          <cell r="W58" t="str">
            <v>D:\2. Data hoa nghiem\1. PP HÓA NGHIỆM CÁC BỒN-XLBM\HALO-PPPT_CT-21A-XB-XT,XM-1F.pdf</v>
          </cell>
          <cell r="AQ58" t="str">
            <v>XD-000A</v>
          </cell>
        </row>
        <row r="59">
          <cell r="A59" t="str">
            <v>XD-XB3</v>
          </cell>
          <cell r="B59" t="str">
            <v xml:space="preserve">Xà bông 3 (siêu âm)
超音波脫脂
</v>
          </cell>
          <cell r="D59" t="str">
            <v>g/L</v>
          </cell>
          <cell r="E59" t="str">
            <v>40~60g/L
(50±5g/L)</v>
          </cell>
          <cell r="F59">
            <v>50</v>
          </cell>
          <cell r="G59">
            <v>0</v>
          </cell>
          <cell r="H59">
            <v>0</v>
          </cell>
          <cell r="I59">
            <v>449.55</v>
          </cell>
          <cell r="J59" t="str">
            <v>+</v>
          </cell>
          <cell r="K59">
            <v>0</v>
          </cell>
          <cell r="L59" t="str">
            <v>kg</v>
          </cell>
          <cell r="M59">
            <v>0</v>
          </cell>
          <cell r="N59">
            <v>0</v>
          </cell>
          <cell r="O59">
            <v>449.55</v>
          </cell>
          <cell r="P59" t="str">
            <v>+</v>
          </cell>
          <cell r="Q59">
            <v>0</v>
          </cell>
          <cell r="R59" t="str">
            <v>kg</v>
          </cell>
          <cell r="S59">
            <v>0</v>
          </cell>
          <cell r="T59" t="str">
            <v>HALO</v>
          </cell>
          <cell r="AQ59" t="str">
            <v>XD-000A</v>
          </cell>
        </row>
        <row r="60">
          <cell r="A60" t="str">
            <v>XD-ACID</v>
          </cell>
          <cell r="B60" t="str">
            <v>Rửa acid
酸洗</v>
          </cell>
          <cell r="D60" t="str">
            <v>Point</v>
          </cell>
          <cell r="E60" t="str">
            <v>5~15
(10)</v>
          </cell>
          <cell r="F60">
            <v>10</v>
          </cell>
          <cell r="G60">
            <v>0</v>
          </cell>
          <cell r="H60">
            <v>0</v>
          </cell>
          <cell r="I60">
            <v>124.63199999999999</v>
          </cell>
          <cell r="J60" t="str">
            <v>+</v>
          </cell>
          <cell r="K60">
            <v>124.63199999999999</v>
          </cell>
          <cell r="L60" t="str">
            <v>L</v>
          </cell>
          <cell r="M60">
            <v>0</v>
          </cell>
          <cell r="N60">
            <v>0</v>
          </cell>
          <cell r="O60">
            <v>124.63199999999999</v>
          </cell>
          <cell r="P60" t="str">
            <v>+</v>
          </cell>
          <cell r="Q60">
            <v>124.63199999999999</v>
          </cell>
          <cell r="R60" t="str">
            <v>L</v>
          </cell>
          <cell r="S60">
            <v>0</v>
          </cell>
          <cell r="AQ60" t="str">
            <v>XD-000A</v>
          </cell>
        </row>
        <row r="61">
          <cell r="A61" t="str">
            <v>XD-PPPL</v>
          </cell>
          <cell r="B61" t="str">
            <v>phosphat                      acid phân ly
磷化處理                     游離酸度</v>
          </cell>
          <cell r="D61" t="str">
            <v>Point</v>
          </cell>
          <cell r="E61" t="str">
            <v>&lt;1.5</v>
          </cell>
          <cell r="F61">
            <v>1.5</v>
          </cell>
          <cell r="G61">
            <v>0</v>
          </cell>
          <cell r="H61">
            <v>0</v>
          </cell>
          <cell r="I61">
            <v>-12.028499999999999</v>
          </cell>
          <cell r="J61" t="str">
            <v>+</v>
          </cell>
          <cell r="K61">
            <v>0</v>
          </cell>
          <cell r="L61" t="str">
            <v>kg</v>
          </cell>
          <cell r="M61">
            <v>0</v>
          </cell>
          <cell r="N61">
            <v>0</v>
          </cell>
          <cell r="O61">
            <v>-12.028499999999999</v>
          </cell>
          <cell r="P61" t="str">
            <v>+</v>
          </cell>
          <cell r="Q61">
            <v>0</v>
          </cell>
          <cell r="R61" t="str">
            <v>kg</v>
          </cell>
          <cell r="S61">
            <v>0</v>
          </cell>
          <cell r="AQ61" t="str">
            <v>XD-000A</v>
          </cell>
        </row>
        <row r="62">
          <cell r="A62" t="str">
            <v>XD-PPTC</v>
          </cell>
          <cell r="B62" t="str">
            <v>phosphat                      tổng độ chua
磷化處理                      總酸度</v>
          </cell>
          <cell r="D62" t="str">
            <v>Point</v>
          </cell>
          <cell r="E62" t="str">
            <v>20~25
(22.5)</v>
          </cell>
          <cell r="F62">
            <v>22.5</v>
          </cell>
          <cell r="G62">
            <v>0</v>
          </cell>
          <cell r="H62">
            <v>0</v>
          </cell>
          <cell r="I62">
            <v>218.7</v>
          </cell>
          <cell r="J62" t="str">
            <v>+</v>
          </cell>
          <cell r="K62">
            <v>0</v>
          </cell>
          <cell r="L62" t="str">
            <v>kg</v>
          </cell>
          <cell r="M62">
            <v>0</v>
          </cell>
          <cell r="N62">
            <v>0</v>
          </cell>
          <cell r="O62">
            <v>218.7</v>
          </cell>
          <cell r="P62" t="str">
            <v>+</v>
          </cell>
          <cell r="Q62">
            <v>0</v>
          </cell>
          <cell r="R62" t="str">
            <v>kg</v>
          </cell>
          <cell r="S62">
            <v>0</v>
          </cell>
          <cell r="AQ62" t="str">
            <v>XD-000A</v>
          </cell>
        </row>
        <row r="63">
          <cell r="A63" t="str">
            <v>XD-PPAC</v>
          </cell>
          <cell r="B63" t="str">
            <v>phosphat                     Xúc tiến  AC
磷化處理                      促進劑</v>
          </cell>
          <cell r="D63" t="str">
            <v>Point</v>
          </cell>
          <cell r="E63" t="str">
            <v>6~9
(7.5)</v>
          </cell>
          <cell r="F63">
            <v>7.5</v>
          </cell>
          <cell r="G63">
            <v>0</v>
          </cell>
          <cell r="H63">
            <v>0</v>
          </cell>
          <cell r="I63">
            <v>7.8367500000000003</v>
          </cell>
          <cell r="J63" t="str">
            <v>+</v>
          </cell>
          <cell r="K63">
            <v>0</v>
          </cell>
          <cell r="L63" t="str">
            <v>kg</v>
          </cell>
          <cell r="M63">
            <v>0</v>
          </cell>
          <cell r="N63">
            <v>0</v>
          </cell>
          <cell r="O63">
            <v>7.8367500000000003</v>
          </cell>
          <cell r="P63" t="str">
            <v>+</v>
          </cell>
          <cell r="Q63">
            <v>0</v>
          </cell>
          <cell r="R63" t="str">
            <v>kg</v>
          </cell>
          <cell r="S63">
            <v>0</v>
          </cell>
          <cell r="AQ63" t="str">
            <v>XD-000A</v>
          </cell>
        </row>
        <row r="64">
          <cell r="A64" t="str">
            <v>XD-PH</v>
          </cell>
          <cell r="B64" t="str">
            <v>chất điều chỉnh (pH&gt;7)
表調</v>
          </cell>
          <cell r="D64" t="str">
            <v>pH</v>
          </cell>
          <cell r="E64" t="str">
            <v>7~10 
(&gt;7)</v>
          </cell>
          <cell r="G64" t="e">
            <v>#REF!</v>
          </cell>
          <cell r="H64">
            <v>0</v>
          </cell>
          <cell r="M64" t="e">
            <v>#REF!</v>
          </cell>
          <cell r="N64">
            <v>0</v>
          </cell>
          <cell r="AQ64" t="str">
            <v>XD-000A</v>
          </cell>
        </row>
        <row r="65">
          <cell r="A65" t="str">
            <v>XD-1</v>
          </cell>
          <cell r="B65" t="str">
            <v>ED電泳 pH 
ED Bồn sơn tĩnh điện pH   1</v>
          </cell>
          <cell r="D65" t="str">
            <v>pH</v>
          </cell>
          <cell r="E65" t="str">
            <v>5.3~6.0
(5.5)</v>
          </cell>
          <cell r="G65">
            <v>0</v>
          </cell>
          <cell r="H65">
            <v>0</v>
          </cell>
          <cell r="I65">
            <v>7.8367500000000003</v>
          </cell>
          <cell r="M65">
            <v>0</v>
          </cell>
          <cell r="N65">
            <v>0</v>
          </cell>
          <cell r="O65">
            <v>7.8367500000000003</v>
          </cell>
          <cell r="S65">
            <v>0</v>
          </cell>
          <cell r="T65">
            <v>0</v>
          </cell>
          <cell r="AQ65" t="str">
            <v>XD-000A</v>
          </cell>
        </row>
        <row r="66">
          <cell r="A66" t="str">
            <v>XD-2</v>
          </cell>
          <cell r="B66" t="str">
            <v>ED電泳 pH 
ED Bồn sơn tĩnh điện pH  2</v>
          </cell>
          <cell r="D66" t="str">
            <v>pH</v>
          </cell>
          <cell r="E66" t="str">
            <v>5.3~6.0
(5.5)</v>
          </cell>
          <cell r="H66">
            <v>0</v>
          </cell>
          <cell r="N66">
            <v>0</v>
          </cell>
          <cell r="T66">
            <v>0</v>
          </cell>
          <cell r="AQ66" t="str">
            <v>XD-000A</v>
          </cell>
        </row>
        <row r="67">
          <cell r="A67" t="str">
            <v>XD-3</v>
          </cell>
          <cell r="B67" t="str">
            <v>ED 固成份 (NV)
ED Thành phần rắn 1</v>
          </cell>
          <cell r="D67" t="str">
            <v>%</v>
          </cell>
          <cell r="E67" t="str">
            <v xml:space="preserve"> 12~18%
(15%)</v>
          </cell>
          <cell r="F67">
            <v>15</v>
          </cell>
          <cell r="H67" t="str">
            <v/>
          </cell>
          <cell r="I67" t="e">
            <v>#VALUE!</v>
          </cell>
          <cell r="J67" t="str">
            <v>+</v>
          </cell>
          <cell r="K67" t="str">
            <v/>
          </cell>
          <cell r="L67" t="str">
            <v>L</v>
          </cell>
          <cell r="N67" t="str">
            <v>\</v>
          </cell>
          <cell r="T67" t="str">
            <v/>
          </cell>
          <cell r="AQ67" t="str">
            <v>XD-000A</v>
          </cell>
        </row>
        <row r="68">
          <cell r="A68" t="str">
            <v>XD-4</v>
          </cell>
          <cell r="B68" t="str">
            <v>ED 色料比
EDTỷ lệ màu 1</v>
          </cell>
          <cell r="D68" t="str">
            <v>%</v>
          </cell>
          <cell r="E68" t="str">
            <v>8~16%
(12%)</v>
          </cell>
          <cell r="F68">
            <v>12</v>
          </cell>
          <cell r="H68" t="str">
            <v/>
          </cell>
          <cell r="I68" t="e">
            <v>#VALUE!</v>
          </cell>
          <cell r="J68" t="str">
            <v>+</v>
          </cell>
          <cell r="K68" t="str">
            <v/>
          </cell>
          <cell r="L68" t="str">
            <v>L</v>
          </cell>
          <cell r="N68" t="str">
            <v>\</v>
          </cell>
          <cell r="T68" t="str">
            <v/>
          </cell>
          <cell r="AQ68" t="str">
            <v>XD-000A</v>
          </cell>
        </row>
        <row r="69">
          <cell r="A69" t="str">
            <v>XD-5</v>
          </cell>
          <cell r="B69" t="str">
            <v>ED 固成份 (NV)
ED Thành phần rắn 2</v>
          </cell>
          <cell r="D69" t="str">
            <v>%</v>
          </cell>
          <cell r="E69" t="str">
            <v xml:space="preserve"> 12~18%
(15%)</v>
          </cell>
          <cell r="F69">
            <v>15</v>
          </cell>
          <cell r="H69" t="str">
            <v/>
          </cell>
          <cell r="I69" t="e">
            <v>#VALUE!</v>
          </cell>
          <cell r="J69" t="str">
            <v>+</v>
          </cell>
          <cell r="K69" t="str">
            <v/>
          </cell>
          <cell r="L69" t="str">
            <v>L</v>
          </cell>
          <cell r="N69" t="str">
            <v>\</v>
          </cell>
          <cell r="T69" t="str">
            <v/>
          </cell>
          <cell r="AQ69" t="str">
            <v>XD-000A</v>
          </cell>
        </row>
        <row r="70">
          <cell r="A70" t="str">
            <v>XD-6</v>
          </cell>
          <cell r="B70" t="str">
            <v>ED 色料比
EDTỷ lệ màu 2</v>
          </cell>
          <cell r="D70" t="str">
            <v>%</v>
          </cell>
          <cell r="E70" t="str">
            <v>8~16%
(12%)</v>
          </cell>
          <cell r="F70">
            <v>12</v>
          </cell>
          <cell r="H70" t="str">
            <v/>
          </cell>
          <cell r="I70" t="e">
            <v>#VALUE!</v>
          </cell>
          <cell r="J70" t="str">
            <v>+</v>
          </cell>
          <cell r="K70" t="str">
            <v/>
          </cell>
          <cell r="L70" t="str">
            <v>L</v>
          </cell>
          <cell r="N70" t="str">
            <v>\</v>
          </cell>
          <cell r="T70" t="str">
            <v/>
          </cell>
          <cell r="AQ70" t="str">
            <v>XD-000A</v>
          </cell>
        </row>
        <row r="71">
          <cell r="A71" t="str">
            <v>XD-7</v>
          </cell>
          <cell r="B71" t="str">
            <v>UF水洗1
Bồn thu hồi 1 (Thành phần rắn)</v>
          </cell>
          <cell r="D71" t="str">
            <v>%</v>
          </cell>
          <cell r="E71" t="str">
            <v>&lt;5%</v>
          </cell>
          <cell r="H71" t="str">
            <v/>
          </cell>
          <cell r="M71">
            <v>0</v>
          </cell>
          <cell r="N71" t="str">
            <v>\</v>
          </cell>
          <cell r="T71" t="str">
            <v/>
          </cell>
          <cell r="AQ71" t="str">
            <v>XD-000A</v>
          </cell>
        </row>
        <row r="72">
          <cell r="A72" t="str">
            <v>XD-8</v>
          </cell>
          <cell r="B72" t="str">
            <v>UF水洗2
 Bồn thu hồi 2  (Thành phần rắn)</v>
          </cell>
          <cell r="D72" t="str">
            <v>%</v>
          </cell>
          <cell r="E72" t="str">
            <v>&lt;3%</v>
          </cell>
          <cell r="H72" t="str">
            <v/>
          </cell>
          <cell r="M72">
            <v>0.83333333333333337</v>
          </cell>
          <cell r="N72" t="str">
            <v>\</v>
          </cell>
          <cell r="T72" t="str">
            <v/>
          </cell>
          <cell r="AQ72" t="str">
            <v>XD-000A</v>
          </cell>
        </row>
        <row r="73">
          <cell r="A73" t="str">
            <v>Hạng mục kiểm tra nhiệt độ 檢查溫度</v>
          </cell>
        </row>
        <row r="74">
          <cell r="A74" t="str">
            <v>MÃ</v>
          </cell>
          <cell r="B74" t="str">
            <v>Hạng mục kiểm tra nhiệt độ
溫度檢查項目</v>
          </cell>
          <cell r="D74" t="str">
            <v>nhiệt độ
溫度</v>
          </cell>
          <cell r="E74" t="str">
            <v>Tiêu chuẩn
控制範圍</v>
          </cell>
          <cell r="H74" t="str">
            <v>Nhiệt kế 
温度計</v>
          </cell>
          <cell r="K74" t="str">
            <v>Nhiệt tự động
自動温控</v>
          </cell>
          <cell r="N74" t="str">
            <v>Nhiệt kế 
温度計</v>
          </cell>
          <cell r="Q74" t="str">
            <v>Nhiệt tự động
自動温控</v>
          </cell>
        </row>
        <row r="75">
          <cell r="A75" t="str">
            <v>XD-TEMXB1</v>
          </cell>
          <cell r="B75" t="str">
            <v>Xà bông 1
預脫脂</v>
          </cell>
          <cell r="D75" t="str">
            <v>0C</v>
          </cell>
          <cell r="E75" t="str">
            <v>51~59OC
(55OC)</v>
          </cell>
          <cell r="H75">
            <v>0</v>
          </cell>
          <cell r="K75">
            <v>0</v>
          </cell>
          <cell r="N75">
            <v>0</v>
          </cell>
          <cell r="Q75">
            <v>0</v>
          </cell>
          <cell r="AQ75" t="str">
            <v>XD-000A</v>
          </cell>
        </row>
        <row r="76">
          <cell r="A76" t="str">
            <v>XD-TEMXB2</v>
          </cell>
          <cell r="B76" t="str">
            <v>Xà bông 2
主脫脂</v>
          </cell>
          <cell r="D76" t="str">
            <v>0C</v>
          </cell>
          <cell r="E76" t="str">
            <v>51~59OC
(55OC)</v>
          </cell>
          <cell r="H76">
            <v>0</v>
          </cell>
          <cell r="K76">
            <v>0</v>
          </cell>
          <cell r="N76">
            <v>0</v>
          </cell>
          <cell r="Q76">
            <v>0</v>
          </cell>
          <cell r="AQ76" t="str">
            <v>XD-000A</v>
          </cell>
        </row>
        <row r="77">
          <cell r="A77" t="str">
            <v>XD-TEMXB3</v>
          </cell>
          <cell r="B77" t="str">
            <v xml:space="preserve">Xà bông siêu âm
超音波脫脂
</v>
          </cell>
          <cell r="D77" t="str">
            <v>0C</v>
          </cell>
          <cell r="E77" t="str">
            <v>51~59OC
(55OC)</v>
          </cell>
          <cell r="H77">
            <v>0</v>
          </cell>
          <cell r="K77">
            <v>0</v>
          </cell>
          <cell r="N77">
            <v>0</v>
          </cell>
          <cell r="Q77">
            <v>0</v>
          </cell>
          <cell r="AQ77" t="str">
            <v>XD-000A</v>
          </cell>
        </row>
        <row r="78">
          <cell r="A78" t="str">
            <v>XD-TEMPP</v>
          </cell>
          <cell r="B78" t="str">
            <v>phosphat    
磷化處理</v>
          </cell>
          <cell r="D78" t="str">
            <v>0C</v>
          </cell>
          <cell r="E78" t="str">
            <v>30~40OC
(35OC)</v>
          </cell>
          <cell r="H78">
            <v>0</v>
          </cell>
          <cell r="K78">
            <v>0</v>
          </cell>
          <cell r="N78">
            <v>0</v>
          </cell>
          <cell r="Q78">
            <v>0</v>
          </cell>
          <cell r="AQ78" t="str">
            <v>XD-000A</v>
          </cell>
        </row>
        <row r="79">
          <cell r="A79" t="str">
            <v>XD-TEMED1</v>
          </cell>
          <cell r="B79" t="str">
            <v>ED電泳 
ED Bồn sơn tĩnh điện  1</v>
          </cell>
          <cell r="D79" t="str">
            <v>0C</v>
          </cell>
          <cell r="E79" t="str">
            <v>26~32OC
(29OC)</v>
          </cell>
          <cell r="F79" t="str">
            <v>26~32OC
(29OC)</v>
          </cell>
          <cell r="H79">
            <v>0</v>
          </cell>
          <cell r="K79">
            <v>0</v>
          </cell>
          <cell r="N79">
            <v>0</v>
          </cell>
          <cell r="Q79">
            <v>0</v>
          </cell>
          <cell r="AQ79" t="str">
            <v>XD-000A</v>
          </cell>
        </row>
        <row r="80">
          <cell r="A80" t="str">
            <v>XD-TEMED2</v>
          </cell>
          <cell r="B80" t="str">
            <v>ED電泳 
ED Bồn sơn tĩnh điện  2</v>
          </cell>
          <cell r="D80" t="str">
            <v>0C</v>
          </cell>
          <cell r="E80" t="str">
            <v>26~32OC
(29OC)</v>
          </cell>
          <cell r="H80">
            <v>0</v>
          </cell>
          <cell r="K80">
            <v>0</v>
          </cell>
          <cell r="N80">
            <v>0</v>
          </cell>
          <cell r="Q80">
            <v>0</v>
          </cell>
          <cell r="AQ80" t="str">
            <v>XD-000A</v>
          </cell>
        </row>
        <row r="81">
          <cell r="A81" t="str">
            <v>XD-TEMSAY</v>
          </cell>
          <cell r="B81" t="str">
            <v xml:space="preserve">sấy khô  烘乾 </v>
          </cell>
          <cell r="D81" t="str">
            <v>0C</v>
          </cell>
          <cell r="E81" t="str">
            <v>170~220℃ 
(195OC)</v>
          </cell>
          <cell r="K81">
            <v>0</v>
          </cell>
          <cell r="Q81">
            <v>0</v>
          </cell>
          <cell r="AQ81" t="str">
            <v>XD-000A</v>
          </cell>
        </row>
        <row r="82">
          <cell r="H82" t="str">
            <v>Độ dẫn điện bồn ED 
ED電泳電導率</v>
          </cell>
          <cell r="AQ82" t="str">
            <v>XD-000A</v>
          </cell>
        </row>
        <row r="83">
          <cell r="B83" t="str">
            <v>Độ dẫn điện bồn ED 
ED電泳電導率</v>
          </cell>
          <cell r="D83" t="str">
            <v>us/cm</v>
          </cell>
          <cell r="E83" t="str">
            <v>800~1600us/cm</v>
          </cell>
          <cell r="G83" t="str">
            <v>us/cm</v>
          </cell>
          <cell r="H83">
            <v>0</v>
          </cell>
          <cell r="N83">
            <v>0</v>
          </cell>
          <cell r="AQ83" t="str">
            <v>XD-000A</v>
          </cell>
        </row>
        <row r="84">
          <cell r="B84" t="str">
            <v>陽極液電導率
Độ dẫn điện dung dịch dương cực</v>
          </cell>
          <cell r="D84" t="str">
            <v>us/cm</v>
          </cell>
          <cell r="E84" t="str">
            <v>800~2000us/cm</v>
          </cell>
          <cell r="G84" t="str">
            <v>us/cm</v>
          </cell>
          <cell r="H84">
            <v>0</v>
          </cell>
          <cell r="N84">
            <v>0</v>
          </cell>
          <cell r="AQ84" t="str">
            <v>XD-000A</v>
          </cell>
        </row>
        <row r="86">
          <cell r="A86" t="str">
            <v>生產線別：MÀNG LOA</v>
          </cell>
          <cell r="H86" t="str">
            <v>Kết quả kiểm tra 檢查結果</v>
          </cell>
        </row>
        <row r="87">
          <cell r="B87" t="str">
            <v>Hạng mục kiểm tra nồng dộ
化驗檢查項目</v>
          </cell>
          <cell r="D87" t="str">
            <v>Đơn vị
單位</v>
          </cell>
          <cell r="E87" t="str">
            <v>Tiêu chuẩn
控制範圍</v>
          </cell>
          <cell r="H87">
            <v>0.33333333333333331</v>
          </cell>
          <cell r="N87">
            <v>0.83333333333333337</v>
          </cell>
        </row>
        <row r="88">
          <cell r="A88" t="str">
            <v>MÃ</v>
          </cell>
          <cell r="F88" t="str">
            <v>t/chuan</v>
          </cell>
          <cell r="H88" t="str">
            <v>濃度 g/L</v>
          </cell>
          <cell r="I88" t="str">
            <v>補充 BS</v>
          </cell>
          <cell r="J88" t="str">
            <v>補充 BS</v>
          </cell>
          <cell r="N88" t="str">
            <v>濃度 g/L</v>
          </cell>
          <cell r="O88" t="str">
            <v>補充 BS</v>
          </cell>
          <cell r="P88" t="str">
            <v>補充 BS</v>
          </cell>
          <cell r="W88" t="str">
            <v xml:space="preserve">PP HÓA NGHIỆM </v>
          </cell>
        </row>
        <row r="89">
          <cell r="A89" t="str">
            <v>DC-XB1</v>
          </cell>
          <cell r="B89" t="str">
            <v>熱脫脂 Xà bông 1</v>
          </cell>
          <cell r="D89" t="str">
            <v>g/L</v>
          </cell>
          <cell r="E89" t="str">
            <v>20~30
(25±3)</v>
          </cell>
          <cell r="F89">
            <v>25</v>
          </cell>
          <cell r="G89">
            <v>0</v>
          </cell>
          <cell r="H89">
            <v>0</v>
          </cell>
          <cell r="I89">
            <v>40.799999999999997</v>
          </cell>
          <cell r="J89" t="str">
            <v>+</v>
          </cell>
          <cell r="K89">
            <v>0</v>
          </cell>
          <cell r="L89" t="str">
            <v>kg</v>
          </cell>
          <cell r="M89">
            <v>0</v>
          </cell>
          <cell r="N89">
            <v>0</v>
          </cell>
          <cell r="O89">
            <v>40.799999999999997</v>
          </cell>
          <cell r="P89" t="str">
            <v>+</v>
          </cell>
          <cell r="Q89">
            <v>0</v>
          </cell>
          <cell r="R89" t="str">
            <v>kg</v>
          </cell>
          <cell r="W89" t="str">
            <v>D:\2. Data hoa nghiem\1. PP HÓA NGHIỆM CÁC BỒN-XLBM\XB-ML.pdf</v>
          </cell>
          <cell r="AQ89" t="str">
            <v>DC-000A</v>
          </cell>
        </row>
        <row r="90">
          <cell r="A90" t="str">
            <v>DC-XB2</v>
          </cell>
          <cell r="B90" t="str">
            <v>熱脫脂Xà bôngg 2</v>
          </cell>
          <cell r="D90" t="str">
            <v>g/L</v>
          </cell>
          <cell r="E90" t="str">
            <v>20~30
(25±3)</v>
          </cell>
          <cell r="F90">
            <v>25</v>
          </cell>
          <cell r="G90">
            <v>0</v>
          </cell>
          <cell r="H90">
            <v>0</v>
          </cell>
          <cell r="I90">
            <v>40.799999999999997</v>
          </cell>
          <cell r="J90" t="str">
            <v>+</v>
          </cell>
          <cell r="K90">
            <v>0</v>
          </cell>
          <cell r="L90" t="str">
            <v>kg</v>
          </cell>
          <cell r="M90">
            <v>0</v>
          </cell>
          <cell r="N90">
            <v>0</v>
          </cell>
          <cell r="O90">
            <v>40.799999999999997</v>
          </cell>
          <cell r="P90" t="str">
            <v>+</v>
          </cell>
          <cell r="Q90">
            <v>0</v>
          </cell>
          <cell r="R90" t="str">
            <v>kg</v>
          </cell>
          <cell r="AQ90" t="str">
            <v>DC-000A</v>
          </cell>
        </row>
        <row r="91">
          <cell r="A91" t="str">
            <v>DC-HNO3</v>
          </cell>
          <cell r="B91" t="str">
            <v>HNO3   中和</v>
          </cell>
          <cell r="D91" t="str">
            <v>ml/L</v>
          </cell>
          <cell r="E91" t="str">
            <v>210~290
(250±25)</v>
          </cell>
          <cell r="F91">
            <v>250</v>
          </cell>
          <cell r="G91">
            <v>0</v>
          </cell>
          <cell r="H91">
            <v>0</v>
          </cell>
          <cell r="I91">
            <v>408</v>
          </cell>
          <cell r="J91" t="str">
            <v>+</v>
          </cell>
          <cell r="K91">
            <v>0</v>
          </cell>
          <cell r="L91" t="str">
            <v>L</v>
          </cell>
          <cell r="M91">
            <v>0</v>
          </cell>
          <cell r="N91">
            <v>0</v>
          </cell>
          <cell r="O91">
            <v>408</v>
          </cell>
          <cell r="P91" t="str">
            <v>+</v>
          </cell>
          <cell r="Q91">
            <v>0</v>
          </cell>
          <cell r="R91" t="str">
            <v>L</v>
          </cell>
          <cell r="W91" t="str">
            <v>D:\2. Data hoa nghiem\1. PP HÓA NGHIỆM CÁC BỒN-XLBM\HNO3-ML.pdf</v>
          </cell>
          <cell r="AQ91" t="str">
            <v>DC-000A</v>
          </cell>
        </row>
        <row r="92">
          <cell r="A92" t="str">
            <v>DC1-H2SO4</v>
          </cell>
          <cell r="B92" t="str">
            <v>陽極處理槽  dương cực  H2SO4 (18)</v>
          </cell>
          <cell r="D92" t="str">
            <v>g/L</v>
          </cell>
          <cell r="E92" t="str">
            <v>120~150
(130±10)</v>
          </cell>
          <cell r="F92">
            <v>130</v>
          </cell>
          <cell r="G92">
            <v>0</v>
          </cell>
          <cell r="H92">
            <v>0</v>
          </cell>
          <cell r="I92">
            <v>224.64</v>
          </cell>
          <cell r="J92" t="str">
            <v>+</v>
          </cell>
          <cell r="K92">
            <v>0</v>
          </cell>
          <cell r="L92" t="str">
            <v>kg</v>
          </cell>
          <cell r="M92">
            <v>0</v>
          </cell>
          <cell r="N92">
            <v>0</v>
          </cell>
          <cell r="O92">
            <v>224.64</v>
          </cell>
          <cell r="P92" t="str">
            <v>+</v>
          </cell>
          <cell r="Q92">
            <v>0</v>
          </cell>
          <cell r="R92" t="str">
            <v>kg</v>
          </cell>
          <cell r="W92" t="str">
            <v>D:\2. Data hoa nghiem\1. PP HÓA NGHIỆM CÁC BỒN-XLBM\H2SO4-ML.pdf</v>
          </cell>
          <cell r="AQ92" t="str">
            <v>DC-000A</v>
          </cell>
        </row>
        <row r="93">
          <cell r="A93" t="str">
            <v>DC1-AL</v>
          </cell>
          <cell r="B93" t="str">
            <v>陽極處理槽 dương cực Al3+ (18)</v>
          </cell>
          <cell r="D93" t="str">
            <v>g/L</v>
          </cell>
          <cell r="E93" t="str">
            <v>1~5
(3±1.5)</v>
          </cell>
          <cell r="G93">
            <v>0</v>
          </cell>
          <cell r="H93">
            <v>0</v>
          </cell>
          <cell r="I93" t="str">
            <v>N/A</v>
          </cell>
          <cell r="J93" t="str">
            <v>+</v>
          </cell>
          <cell r="L93" t="str">
            <v>kg</v>
          </cell>
          <cell r="M93">
            <v>0</v>
          </cell>
          <cell r="N93">
            <v>0</v>
          </cell>
          <cell r="O93" t="str">
            <v>N/A</v>
          </cell>
          <cell r="P93" t="str">
            <v>+</v>
          </cell>
          <cell r="R93" t="str">
            <v>kg</v>
          </cell>
          <cell r="W93" t="str">
            <v>D:\2. Data hoa nghiem\1. PP HÓA NGHIỆM CÁC BỒN-XLBM\AL3+ML.pdf</v>
          </cell>
          <cell r="AQ93" t="str">
            <v>DC-000A</v>
          </cell>
        </row>
        <row r="94">
          <cell r="A94" t="str">
            <v>DC2-H2SO4</v>
          </cell>
          <cell r="B94" t="str">
            <v>陽極處理槽  dương cực  H2SO4 (19)</v>
          </cell>
          <cell r="D94" t="str">
            <v>g/L</v>
          </cell>
          <cell r="E94" t="str">
            <v>120~150
(130±10)</v>
          </cell>
          <cell r="F94">
            <v>130</v>
          </cell>
          <cell r="G94">
            <v>0</v>
          </cell>
          <cell r="H94">
            <v>0</v>
          </cell>
          <cell r="I94">
            <v>224.64</v>
          </cell>
          <cell r="J94" t="str">
            <v>+</v>
          </cell>
          <cell r="K94">
            <v>0</v>
          </cell>
          <cell r="L94" t="str">
            <v>kg</v>
          </cell>
          <cell r="M94">
            <v>0</v>
          </cell>
          <cell r="N94">
            <v>0</v>
          </cell>
          <cell r="O94">
            <v>224.64</v>
          </cell>
          <cell r="P94" t="str">
            <v>+</v>
          </cell>
          <cell r="Q94">
            <v>0</v>
          </cell>
          <cell r="R94" t="str">
            <v>kg</v>
          </cell>
          <cell r="AQ94" t="str">
            <v>DC-000A</v>
          </cell>
        </row>
        <row r="95">
          <cell r="A95" t="str">
            <v>DC2-AL</v>
          </cell>
          <cell r="B95" t="str">
            <v>陽極處理槽 dương cực Al3+ (19)</v>
          </cell>
          <cell r="D95" t="str">
            <v>g/L</v>
          </cell>
          <cell r="E95" t="str">
            <v>1~5
(3±1.5)</v>
          </cell>
          <cell r="G95">
            <v>0</v>
          </cell>
          <cell r="H95">
            <v>0</v>
          </cell>
          <cell r="I95" t="str">
            <v>N/A</v>
          </cell>
          <cell r="J95" t="str">
            <v>+</v>
          </cell>
          <cell r="L95" t="str">
            <v>kg</v>
          </cell>
          <cell r="M95">
            <v>0</v>
          </cell>
          <cell r="N95">
            <v>0</v>
          </cell>
          <cell r="O95" t="str">
            <v>N/A</v>
          </cell>
          <cell r="P95" t="str">
            <v>+</v>
          </cell>
          <cell r="R95" t="str">
            <v>kg</v>
          </cell>
          <cell r="AQ95" t="str">
            <v>DC-000A</v>
          </cell>
        </row>
        <row r="96">
          <cell r="A96" t="str">
            <v>DC3-H2SO4</v>
          </cell>
          <cell r="B96" t="str">
            <v>陽極處理槽  dương cực  H2SO4 (20)</v>
          </cell>
          <cell r="D96" t="str">
            <v>g/L</v>
          </cell>
          <cell r="E96" t="str">
            <v>120~150
(130±10)</v>
          </cell>
          <cell r="F96">
            <v>130</v>
          </cell>
          <cell r="G96">
            <v>0</v>
          </cell>
          <cell r="H96">
            <v>0</v>
          </cell>
          <cell r="I96">
            <v>224.64</v>
          </cell>
          <cell r="J96" t="str">
            <v>+</v>
          </cell>
          <cell r="K96">
            <v>0</v>
          </cell>
          <cell r="L96" t="str">
            <v>kg</v>
          </cell>
          <cell r="M96">
            <v>0</v>
          </cell>
          <cell r="N96">
            <v>0</v>
          </cell>
          <cell r="O96">
            <v>224.64</v>
          </cell>
          <cell r="P96" t="str">
            <v>+</v>
          </cell>
          <cell r="Q96">
            <v>0</v>
          </cell>
          <cell r="R96" t="str">
            <v>kg</v>
          </cell>
          <cell r="AQ96" t="str">
            <v>DC-000A</v>
          </cell>
        </row>
        <row r="97">
          <cell r="A97" t="str">
            <v>DC3-AL</v>
          </cell>
          <cell r="B97" t="str">
            <v>陽極處理槽 dương cực Al3+ (20)</v>
          </cell>
          <cell r="D97" t="str">
            <v>g/L</v>
          </cell>
          <cell r="E97" t="str">
            <v>1~5
(3±1.5)</v>
          </cell>
          <cell r="G97">
            <v>0</v>
          </cell>
          <cell r="H97">
            <v>0</v>
          </cell>
          <cell r="I97" t="str">
            <v>N/A</v>
          </cell>
          <cell r="J97" t="str">
            <v>+</v>
          </cell>
          <cell r="L97" t="str">
            <v>kg</v>
          </cell>
          <cell r="M97">
            <v>0</v>
          </cell>
          <cell r="N97">
            <v>0</v>
          </cell>
          <cell r="O97" t="str">
            <v>N/A</v>
          </cell>
          <cell r="P97" t="str">
            <v>+</v>
          </cell>
          <cell r="R97" t="str">
            <v>kg</v>
          </cell>
          <cell r="AQ97" t="str">
            <v>DC-000A</v>
          </cell>
        </row>
        <row r="98">
          <cell r="A98" t="str">
            <v>DC-DL</v>
          </cell>
          <cell r="B98" t="str">
            <v>封孔 Đóng lỗ  (HK-101A1)</v>
          </cell>
          <cell r="D98" t="str">
            <v>g/L</v>
          </cell>
          <cell r="E98" t="str">
            <v>8~12
(10±1)</v>
          </cell>
          <cell r="F98">
            <v>10</v>
          </cell>
          <cell r="G98">
            <v>0</v>
          </cell>
          <cell r="H98">
            <v>0</v>
          </cell>
          <cell r="I98">
            <v>17.28</v>
          </cell>
          <cell r="J98" t="str">
            <v>+</v>
          </cell>
          <cell r="K98">
            <v>0</v>
          </cell>
          <cell r="L98" t="str">
            <v>kg</v>
          </cell>
          <cell r="M98">
            <v>0</v>
          </cell>
          <cell r="N98">
            <v>0</v>
          </cell>
          <cell r="O98">
            <v>17.28</v>
          </cell>
          <cell r="P98" t="str">
            <v>+</v>
          </cell>
          <cell r="Q98">
            <v>0</v>
          </cell>
          <cell r="R98" t="str">
            <v>kg</v>
          </cell>
          <cell r="W98" t="str">
            <v>D:\2. Data hoa nghiem\1. PP HÓA NGHIỆM CÁC BỒN-XLBM\đóng lỗ-ML.pdf</v>
          </cell>
          <cell r="AQ98" t="str">
            <v>DC-000A</v>
          </cell>
        </row>
        <row r="99">
          <cell r="A99" t="str">
            <v>DC-DLPH</v>
          </cell>
          <cell r="B99" t="str">
            <v>pH</v>
          </cell>
          <cell r="D99" t="str">
            <v>pH</v>
          </cell>
          <cell r="E99" t="str">
            <v>6~8
(7±0.5)</v>
          </cell>
          <cell r="H99">
            <v>0</v>
          </cell>
          <cell r="N99">
            <v>0</v>
          </cell>
          <cell r="AQ99" t="str">
            <v>DC-000A</v>
          </cell>
        </row>
        <row r="100">
          <cell r="A100" t="str">
            <v>DC-BLACK05</v>
          </cell>
          <cell r="B100" t="str">
            <v xml:space="preserve"> 染色Màu - Black-05</v>
          </cell>
          <cell r="D100" t="str">
            <v>pH</v>
          </cell>
          <cell r="E100" t="str">
            <v>5.4~5.8
(5.6±0.1)</v>
          </cell>
          <cell r="H100">
            <v>0</v>
          </cell>
          <cell r="N100">
            <v>0</v>
          </cell>
          <cell r="AQ100" t="str">
            <v>DC-000A</v>
          </cell>
        </row>
        <row r="101">
          <cell r="A101" t="str">
            <v>DC-GAY07</v>
          </cell>
          <cell r="B101" t="str">
            <v xml:space="preserve"> 染色Màu- Gey-07</v>
          </cell>
          <cell r="D101" t="str">
            <v>pH</v>
          </cell>
          <cell r="E101" t="str">
            <v>5.4~5.8</v>
          </cell>
          <cell r="H101">
            <v>0</v>
          </cell>
          <cell r="N101">
            <v>0</v>
          </cell>
          <cell r="AQ101" t="str">
            <v>DC-000A</v>
          </cell>
        </row>
        <row r="102">
          <cell r="A102" t="str">
            <v>DC-BLACK08</v>
          </cell>
          <cell r="B102" t="str">
            <v xml:space="preserve"> 染色Màu- Black-08</v>
          </cell>
          <cell r="D102" t="str">
            <v>pH</v>
          </cell>
          <cell r="E102" t="str">
            <v>5.4~5.8
(5.6±0.1)</v>
          </cell>
          <cell r="H102">
            <v>0</v>
          </cell>
          <cell r="N102">
            <v>0</v>
          </cell>
          <cell r="AQ102" t="str">
            <v>DC-000A</v>
          </cell>
        </row>
        <row r="103">
          <cell r="A103" t="str">
            <v>Hạng mục kiểm tra nhiệt độ 檢查溫度</v>
          </cell>
        </row>
        <row r="104">
          <cell r="A104" t="str">
            <v>MÃ</v>
          </cell>
          <cell r="B104" t="str">
            <v>Hạng mục kiểm tra nhiệt độ
溫度檢查項目</v>
          </cell>
          <cell r="D104" t="str">
            <v>nhiệt độ
溫度</v>
          </cell>
          <cell r="E104" t="str">
            <v>Tiêu chuẩn
控制範圍</v>
          </cell>
          <cell r="H104" t="str">
            <v>Nhiệt kế 
温度計</v>
          </cell>
          <cell r="K104" t="str">
            <v>Nhiệt tự động
自動温控</v>
          </cell>
          <cell r="N104" t="str">
            <v>Nhiệt kế 
温度計</v>
          </cell>
          <cell r="Q104" t="str">
            <v>Nhiệt tự động
自動温控</v>
          </cell>
          <cell r="AQ104" t="str">
            <v>DC-000A</v>
          </cell>
        </row>
        <row r="105">
          <cell r="A105" t="str">
            <v>DC-TEMXB1</v>
          </cell>
          <cell r="B105" t="str">
            <v>熱脫脂 Xà bông 1</v>
          </cell>
          <cell r="D105" t="str">
            <v>0C</v>
          </cell>
          <cell r="E105" t="str">
            <v>45~65ºC
(55±8oC)</v>
          </cell>
          <cell r="H105">
            <v>0</v>
          </cell>
          <cell r="K105">
            <v>0</v>
          </cell>
          <cell r="N105">
            <v>0</v>
          </cell>
          <cell r="Q105">
            <v>0</v>
          </cell>
          <cell r="AQ105" t="str">
            <v>DC-000A</v>
          </cell>
        </row>
        <row r="106">
          <cell r="A106" t="str">
            <v>DC-TEMXB2</v>
          </cell>
          <cell r="B106" t="str">
            <v>熱脫脂Xà bôngg 2</v>
          </cell>
          <cell r="D106" t="str">
            <v>0C</v>
          </cell>
          <cell r="E106" t="str">
            <v>45~65ºC
(55±8oC)</v>
          </cell>
          <cell r="H106">
            <v>0</v>
          </cell>
          <cell r="K106">
            <v>0</v>
          </cell>
          <cell r="N106">
            <v>0</v>
          </cell>
          <cell r="Q106">
            <v>0</v>
          </cell>
          <cell r="AQ106" t="str">
            <v>DC-000A</v>
          </cell>
        </row>
        <row r="107">
          <cell r="A107" t="str">
            <v>DC1-TEM</v>
          </cell>
          <cell r="B107" t="str">
            <v>陽極處理槽 dương cực Al3+ (18)</v>
          </cell>
          <cell r="D107" t="str">
            <v>0C</v>
          </cell>
          <cell r="E107" t="str">
            <v>18~25ºC
(22±2oC)</v>
          </cell>
          <cell r="H107">
            <v>0</v>
          </cell>
          <cell r="K107">
            <v>0</v>
          </cell>
          <cell r="N107">
            <v>0</v>
          </cell>
          <cell r="Q107">
            <v>0</v>
          </cell>
          <cell r="AQ107" t="str">
            <v>DC-000A</v>
          </cell>
        </row>
        <row r="108">
          <cell r="A108" t="str">
            <v>DC2-TEM</v>
          </cell>
          <cell r="B108" t="str">
            <v>陽極處理槽 dương cực Al3+ (19)</v>
          </cell>
          <cell r="D108" t="str">
            <v>0C</v>
          </cell>
          <cell r="E108" t="str">
            <v>18~25ºC
(22±2oC)</v>
          </cell>
          <cell r="H108">
            <v>0</v>
          </cell>
          <cell r="K108">
            <v>0</v>
          </cell>
          <cell r="N108">
            <v>0</v>
          </cell>
          <cell r="Q108">
            <v>0</v>
          </cell>
          <cell r="AQ108" t="str">
            <v>DC-000A</v>
          </cell>
        </row>
        <row r="109">
          <cell r="A109" t="str">
            <v>DC3-TEM</v>
          </cell>
          <cell r="B109" t="str">
            <v>陽極處理槽 dương cực Al3+ (20)</v>
          </cell>
          <cell r="D109" t="str">
            <v>0C</v>
          </cell>
          <cell r="E109" t="str">
            <v>18~25ºC
(22±2oC)</v>
          </cell>
          <cell r="H109">
            <v>0</v>
          </cell>
          <cell r="K109">
            <v>0</v>
          </cell>
          <cell r="N109">
            <v>0</v>
          </cell>
          <cell r="Q109">
            <v>0</v>
          </cell>
          <cell r="AQ109" t="str">
            <v>DC-000A</v>
          </cell>
        </row>
        <row r="110">
          <cell r="A110" t="str">
            <v>DC-TEMDL</v>
          </cell>
          <cell r="B110" t="str">
            <v>封孔 Đóng lỗ  (HK-101A1)</v>
          </cell>
          <cell r="D110" t="str">
            <v>0C</v>
          </cell>
          <cell r="E110" t="str">
            <v>30~60ºC
(45±5oC)</v>
          </cell>
          <cell r="H110">
            <v>0</v>
          </cell>
          <cell r="K110">
            <v>0</v>
          </cell>
          <cell r="N110">
            <v>0</v>
          </cell>
          <cell r="Q110">
            <v>0</v>
          </cell>
          <cell r="AQ110" t="str">
            <v>DC-000A</v>
          </cell>
        </row>
        <row r="111">
          <cell r="A111" t="str">
            <v>DC-TEMBLACK05</v>
          </cell>
          <cell r="B111" t="str">
            <v xml:space="preserve"> 染色Màu - Black-05</v>
          </cell>
          <cell r="D111" t="str">
            <v>0C</v>
          </cell>
          <cell r="E111" t="str">
            <v>42~47ºC
(44±2oC)</v>
          </cell>
          <cell r="H111">
            <v>0</v>
          </cell>
          <cell r="K111">
            <v>0</v>
          </cell>
          <cell r="N111">
            <v>0</v>
          </cell>
          <cell r="Q111">
            <v>0</v>
          </cell>
          <cell r="AQ111" t="str">
            <v>DC-000A</v>
          </cell>
        </row>
        <row r="112">
          <cell r="A112" t="str">
            <v>DC-TEMGAY07</v>
          </cell>
          <cell r="B112" t="str">
            <v xml:space="preserve"> 染色Màu- Gey-07</v>
          </cell>
          <cell r="D112" t="str">
            <v>0C</v>
          </cell>
          <cell r="E112" t="str">
            <v>42~47ºC
(44±2oC)</v>
          </cell>
          <cell r="H112">
            <v>0</v>
          </cell>
          <cell r="K112">
            <v>0</v>
          </cell>
          <cell r="N112">
            <v>0</v>
          </cell>
          <cell r="Q112">
            <v>0</v>
          </cell>
          <cell r="AQ112" t="str">
            <v>DC-000A</v>
          </cell>
        </row>
        <row r="113">
          <cell r="A113" t="str">
            <v>DC-TEMBLACK08</v>
          </cell>
          <cell r="B113" t="str">
            <v xml:space="preserve"> 染色Màu- Black-08</v>
          </cell>
          <cell r="D113" t="str">
            <v>0C</v>
          </cell>
          <cell r="E113" t="str">
            <v>55~65ºC
(60±3oC)</v>
          </cell>
          <cell r="H113">
            <v>0</v>
          </cell>
          <cell r="K113">
            <v>0</v>
          </cell>
          <cell r="N113">
            <v>0</v>
          </cell>
          <cell r="Q113">
            <v>0</v>
          </cell>
          <cell r="AQ113" t="str">
            <v>DC-000A</v>
          </cell>
        </row>
        <row r="114">
          <cell r="A114" t="str">
            <v>DC-TEMBSAY</v>
          </cell>
          <cell r="B114" t="str">
            <v>烘乾 Sấy khô</v>
          </cell>
          <cell r="D114" t="str">
            <v>0C</v>
          </cell>
          <cell r="E114" t="str">
            <v>100~110ºC
(100±5oC)</v>
          </cell>
          <cell r="H114" t="str">
            <v>\</v>
          </cell>
          <cell r="K114">
            <v>0</v>
          </cell>
          <cell r="N114" t="str">
            <v>\</v>
          </cell>
          <cell r="Q114">
            <v>0</v>
          </cell>
          <cell r="AQ114" t="str">
            <v>DC-000A</v>
          </cell>
        </row>
      </sheetData>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T TAP CHAT"/>
      <sheetName val="1"/>
      <sheetName val="2"/>
      <sheetName val="3"/>
      <sheetName val="4"/>
      <sheetName val="5"/>
      <sheetName val="6"/>
      <sheetName val="7"/>
      <sheetName val="8"/>
      <sheetName val="MENU"/>
      <sheetName val="XM.HN"/>
      <sheetName val="XM.FILE GOC"/>
      <sheetName val="1. XL-1E kh"/>
      <sheetName val="2. XL-1F kh"/>
      <sheetName val="3.XT-C kh.mau HALO"/>
      <sheetName val="3.XT-C kh.mau HALO (2)"/>
      <sheetName val="4. Zn-Ni"/>
      <sheetName val="XM.GUI MAIL"/>
      <sheetName val="1. XL-1E TT"/>
      <sheetName val="2. XL-1F TT "/>
      <sheetName val="3.XT-C TT"/>
      <sheetName val="4.ZN-NI tt(CA1)"/>
      <sheetName val="1. XL-1E TT(CA2)"/>
      <sheetName val="2. XL-1F TT(CA2)"/>
      <sheetName val="3.XT-C TT(CA2)"/>
      <sheetName val="4.ZN-NI tt(CA2)"/>
      <sheetName val="XM.chart"/>
      <sheetName val="XM.chart 1"/>
      <sheetName val="BS-XT"/>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94">
          <cell r="C94" t="str">
            <v>Nồng độ   Cr2O3 （K) 三價鉻 
FINIDIP 124  (49)</v>
          </cell>
        </row>
      </sheetData>
      <sheetData sheetId="17">
        <row r="94">
          <cell r="C94" t="str">
            <v>Nồng độ   Cr2O3 （K) 三價鉻 
FINIDIP 124  (49)</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2.%20Data%20hoa%20nghiem\2.%20QC\QC-(%20&#37573;&#37811;&#21512;&#37329;)&#28961;&#27696;&#40572;&#21514;&#38651;C%20&#32218;QC&#24037;&#31243;&#34920;2022.08.26-NIKEN.xlsx" TargetMode="External"/><Relationship Id="rId3" Type="http://schemas.openxmlformats.org/officeDocument/2006/relationships/hyperlink" Target="..\..\..\2.%20Data%20hoa%20nghiem\2.%20QC\QC-XL-1F.pdf" TargetMode="External"/><Relationship Id="rId7" Type="http://schemas.openxmlformats.org/officeDocument/2006/relationships/hyperlink" Target="..\..\..\2.%20Data%20hoa%20nghiem\2.%20QC\QC-XI%20&#272;EN.pdf" TargetMode="External"/><Relationship Id="rId2" Type="http://schemas.openxmlformats.org/officeDocument/2006/relationships/hyperlink" Target="..\..\..\2.%20Data%20hoa%20nghiem\2.%20QC\QC-XL-1E.pdf" TargetMode="External"/><Relationship Id="rId1" Type="http://schemas.openxmlformats.org/officeDocument/2006/relationships/hyperlink" Target="..\..\..\2.%20Data%20hoa%20nghiem\2.%20QC\QC-RL-G,F.pdf" TargetMode="External"/><Relationship Id="rId6" Type="http://schemas.openxmlformats.org/officeDocument/2006/relationships/hyperlink" Target="..\..\..\2.%20Data%20hoa%20nghiem\2.%20QC\QC-MANG%20LOA.pdf" TargetMode="External"/><Relationship Id="rId5" Type="http://schemas.openxmlformats.org/officeDocument/2006/relationships/hyperlink" Target="..\..\..\2.%20Data%20hoa%20nghiem\2.%20QC\QC-XT.pdf" TargetMode="External"/><Relationship Id="rId4" Type="http://schemas.openxmlformats.org/officeDocument/2006/relationships/hyperlink" Target="..\..\..\2.%20Data%20hoa%20nghiem\PP%20HOA%20NGHIEM%202021.11.25-moi.doc" TargetMode="Externa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comments" Target="../comments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45.bin"/><Relationship Id="rId1" Type="http://schemas.openxmlformats.org/officeDocument/2006/relationships/hyperlink" Target="..\..\..\2.%20Data%20hoa%20nghiem\1.%20PP%20H&#211;A%20NGHI&#7878;M%20C&#193;C%20B&#7890;N-XLBM\HCL-&#272;&#7846;U%20V&#192;O.xlsx"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0.xml"/><Relationship Id="rId1" Type="http://schemas.openxmlformats.org/officeDocument/2006/relationships/printerSettings" Target="../printerSettings/printerSettings50.bin"/><Relationship Id="rId4" Type="http://schemas.openxmlformats.org/officeDocument/2006/relationships/comments" Target="../comments2.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1.xml"/><Relationship Id="rId1" Type="http://schemas.openxmlformats.org/officeDocument/2006/relationships/printerSettings" Target="../printerSettings/printerSettings51.bin"/><Relationship Id="rId4" Type="http://schemas.openxmlformats.org/officeDocument/2006/relationships/comments" Target="../comments3.xml"/></Relationships>
</file>

<file path=xl/worksheets/_rels/sheet53.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ZN-XM,XT.pdf" TargetMode="External"/><Relationship Id="rId13" Type="http://schemas.openxmlformats.org/officeDocument/2006/relationships/hyperlink" Target="..\..\..\2.%20Data%20hoa%20nghiem\1.%20PP%20H&#211;A%20NGHI&#7878;M%20C&#193;C%20B&#7890;N-XLBM\NaOH.pdf" TargetMode="External"/><Relationship Id="rId18" Type="http://schemas.openxmlformats.org/officeDocument/2006/relationships/hyperlink" Target="..\..\..\2.%20Data%20hoa%20nghiem\1.%20PP%20H&#211;A%20NGHI&#7878;M%20C&#193;C%20B&#7890;N-XLBM\HNO3-XM,%20XT.pdf" TargetMode="External"/><Relationship Id="rId26" Type="http://schemas.openxmlformats.org/officeDocument/2006/relationships/hyperlink" Target="../../../2.%20Data%20hoa%20nghiem/1.%20PP%20H&#211;A%20NGHI&#7878;M%20C&#193;C%20B&#7890;N-XLBM/HCL-RL.pdf" TargetMode="External"/><Relationship Id="rId39" Type="http://schemas.openxmlformats.org/officeDocument/2006/relationships/hyperlink" Target="..\..\..\2.%20Data%20hoa%20nghiem\1.%20PP%20H&#211;A%20NGHI&#7878;M%20C&#193;C%20B&#7890;N-XLBM\x&#273;-ch&#7845;t%20r&#7855;n.pdf" TargetMode="External"/><Relationship Id="rId3" Type="http://schemas.openxmlformats.org/officeDocument/2006/relationships/hyperlink" Target="..\..\..\2.%20Data%20hoa%20nghiem\1.%20PP%20H&#211;A%20NGHI&#7878;M%20C&#193;C%20B&#7890;N-XLBM\HCL-&#273;&#7863;c,%20lo&#227;ng-XM.pdf" TargetMode="External"/><Relationship Id="rId21" Type="http://schemas.openxmlformats.org/officeDocument/2006/relationships/hyperlink" Target="..\..\..\2.%20Data%20hoa%20nghiem\1.%20PP%20H&#211;A%20NGHI&#7878;M%20C&#193;C%20B&#7890;N-XLBM\M&#192;U%20K%20JASCO-ti&#234;u%20chu&#7849;n%20t&#225;c%20nghi&#7879;p%20hyprotech.pdf" TargetMode="External"/><Relationship Id="rId34" Type="http://schemas.openxmlformats.org/officeDocument/2006/relationships/hyperlink" Target="..\..\..\2.%20Data%20hoa%20nghiem\1.%20PP%20H&#211;A%20NGHI&#7878;M%20C&#193;C%20B&#7890;N-XLBM\NaOH.pdf" TargetMode="External"/><Relationship Id="rId42" Type="http://schemas.openxmlformats.org/officeDocument/2006/relationships/drawing" Target="../drawings/drawing52.xml"/><Relationship Id="rId7" Type="http://schemas.openxmlformats.org/officeDocument/2006/relationships/hyperlink" Target="..\..\..\2.%20Data%20hoa%20nghiem\1.%20PP%20H&#211;A%20NGHI&#7878;M%20C&#193;C%20B&#7890;N-XLBM\JASCO-XB,&#272;G-XL-1E.pdf" TargetMode="External"/><Relationship Id="rId12" Type="http://schemas.openxmlformats.org/officeDocument/2006/relationships/hyperlink" Target="..\..\..\2.%20Data%20hoa%20nghiem\1.%20PP%20H&#211;A%20NGHI&#7878;M%20C&#193;C%20B&#7890;N-XLBM\NaOH.pdf" TargetMode="External"/><Relationship Id="rId17" Type="http://schemas.openxmlformats.org/officeDocument/2006/relationships/hyperlink" Target="..\..\..\2.%20Data%20hoa%20nghiem\1.%20PP%20H&#211;A%20NGHI&#7878;M%20C&#193;C%20B&#7890;N-XLBM\CR3+-HALO.pdf" TargetMode="External"/><Relationship Id="rId25" Type="http://schemas.openxmlformats.org/officeDocument/2006/relationships/hyperlink" Target="..\..\..\2.%20Data%20hoa%20nghiem\1.%20PP%20H&#211;A%20NGHI&#7878;M%20C&#193;C%20B&#7890;N-XLBM\kh&#7917;%20d&#7847;u-RL.pdf" TargetMode="External"/><Relationship Id="rId33" Type="http://schemas.openxmlformats.org/officeDocument/2006/relationships/hyperlink" Target="../../../2.%20Data%20hoa%20nghiem/1.%20PP%20H&#211;A%20NGHI&#7878;M%20C&#193;C%20B&#7890;N-XLBM/HNO3-ML.pdf" TargetMode="External"/><Relationship Id="rId38" Type="http://schemas.openxmlformats.org/officeDocument/2006/relationships/hyperlink" Target="..\..\..\2.%20Data%20hoa%20nghiem\1.%20PP%20H&#211;A%20NGHI&#7878;M%20C&#193;C%20B&#7890;N-XLBM\x&#273;-t&#7893;ng%20chua.pdf" TargetMode="External"/><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CR3+-HALO.pdf" TargetMode="External"/><Relationship Id="rId20" Type="http://schemas.openxmlformats.org/officeDocument/2006/relationships/hyperlink" Target="..\..\..\2.%20Data%20hoa%20nghiem\1.%20PP%20H&#211;A%20NGHI&#7878;M%20C&#193;C%20B&#7890;N-XLBM\HNO3-XM,%20XT.pdf" TargetMode="External"/><Relationship Id="rId29" Type="http://schemas.openxmlformats.org/officeDocument/2006/relationships/hyperlink" Target="../../../2.%20Data%20hoa%20nghiem/1.%20PP%20H&#211;A%20NGHI&#7878;M%20C&#193;C%20B&#7890;N-XLBM/H2SO4-ML.pdf" TargetMode="External"/><Relationship Id="rId41" Type="http://schemas.openxmlformats.org/officeDocument/2006/relationships/printerSettings" Target="../printerSettings/printerSettings52.bin"/><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JASCO-CR3+XT,XL-1E.pdf" TargetMode="External"/><Relationship Id="rId11" Type="http://schemas.openxmlformats.org/officeDocument/2006/relationships/hyperlink" Target="..\..\..\2.%20Data%20hoa%20nghiem\1.%20PP%20H&#211;A%20NGHI&#7878;M%20C&#193;C%20B&#7890;N-XLBM\JASCO-Ph&#432;&#417;ng%20ph&#225;p%20ph&#226;n%20t&#237;ch%20ZN-Ni-XT.pdf" TargetMode="External"/><Relationship Id="rId24" Type="http://schemas.openxmlformats.org/officeDocument/2006/relationships/hyperlink" Target="../../../2.%20Data%20hoa%20nghiem/1.%20PP%20H&#211;A%20NGHI&#7878;M%20C&#193;C%20B&#7890;N-XLBM/TA-photphat-RL.pdf" TargetMode="External"/><Relationship Id="rId32" Type="http://schemas.openxmlformats.org/officeDocument/2006/relationships/hyperlink" Target="..\..\..\2.%20Data%20hoa%20nghiem\1.%20PP%20H&#211;A%20NGHI&#7878;M%20C&#193;C%20B&#7890;N-XLBM\XB-ML.pdf" TargetMode="External"/><Relationship Id="rId37" Type="http://schemas.openxmlformats.org/officeDocument/2006/relationships/hyperlink" Target="..\..\..\2.%20Data%20hoa%20nghiem\1.%20PP%20H&#211;A%20NGHI&#7878;M%20C&#193;C%20B&#7890;N-XLBM\x&#273;-acid%20ph&#226;n%20ly.pdf" TargetMode="External"/><Relationship Id="rId40" Type="http://schemas.openxmlformats.org/officeDocument/2006/relationships/hyperlink" Target="..\..\..\2.%20Data%20hoa%20nghiem\1.%20PP%20H&#211;A%20NGHI&#7878;M%20C&#193;C%20B&#7890;N-XLBM\x&#273;-t&#7927;%20l&#7879;%20s&#7855;c%20t&#7889;.pdf" TargetMode="External"/><Relationship Id="rId5" Type="http://schemas.openxmlformats.org/officeDocument/2006/relationships/hyperlink" Target="..\..\..\2.%20Data%20hoa%20nghiem\1.%20PP%20H&#211;A%20NGHI&#7878;M%20C&#193;C%20B&#7890;N-XLBM\HCL%20&#273;&#7863;c,%20lo&#227;ng-XT.pdf" TargetMode="External"/><Relationship Id="rId15" Type="http://schemas.openxmlformats.org/officeDocument/2006/relationships/hyperlink" Target="..\..\..\2.%20Data%20hoa%20nghiem\1.%20PP%20H&#211;A%20NGHI&#7878;M%20C&#193;C%20B&#7890;N-XLBM\XB,&#272;G-1F,XT.pdf" TargetMode="External"/><Relationship Id="rId23" Type="http://schemas.openxmlformats.org/officeDocument/2006/relationships/hyperlink" Target="..\..\..\2.%20Data%20hoa%20nghiem\1.%20PP%20H&#211;A%20NGHI&#7878;M%20C&#193;C%20B&#7890;N-XLBM\M&#192;U%20K-1F,XT.pdf" TargetMode="External"/><Relationship Id="rId28" Type="http://schemas.openxmlformats.org/officeDocument/2006/relationships/hyperlink" Target="..\..\..\2.%20Data%20hoa%20nghiem\1.%20PP%20H&#211;A%20NGHI&#7878;M%20C&#193;C%20B&#7890;N-XLBM\Fe%20ph&#226;n%20ly-RL.pdf" TargetMode="External"/><Relationship Id="rId36" Type="http://schemas.openxmlformats.org/officeDocument/2006/relationships/hyperlink" Target="..\..\..\2.%20Data%20hoa%20nghiem\1.%20PP%20H&#211;A%20NGHI&#7878;M%20C&#193;C%20B&#7890;N-XLBM\x&#273;-xb2,3.pdf" TargetMode="External"/><Relationship Id="rId10" Type="http://schemas.openxmlformats.org/officeDocument/2006/relationships/hyperlink" Target="..\..\..\2.%20Data%20hoa%20nghiem\1.%20PP%20H&#211;A%20NGHI&#7878;M%20C&#193;C%20B&#7890;N-XLBM\ZN-XM,XT.pdf" TargetMode="External"/><Relationship Id="rId19" Type="http://schemas.openxmlformats.org/officeDocument/2006/relationships/hyperlink" Target="..\..\..\2.%20Data%20hoa%20nghiem\1.%20PP%20H&#211;A%20NGHI&#7878;M%20C&#193;C%20B&#7890;N-XLBM\HNO3-XM,%20XT.pdf" TargetMode="External"/><Relationship Id="rId31" Type="http://schemas.openxmlformats.org/officeDocument/2006/relationships/hyperlink" Target="../../../2.%20Data%20hoa%20nghiem/1.%20PP%20H&#211;A%20NGHI&#7878;M%20C&#193;C%20B&#7890;N-XLBM/&#273;&#243;ng%20l&#7895;-ML.pdf" TargetMode="External"/><Relationship Id="rId4" Type="http://schemas.openxmlformats.org/officeDocument/2006/relationships/hyperlink" Target="..\..\..\2.%20Data%20hoa%20nghiem\1.%20PP%20H&#211;A%20NGHI&#7878;M%20C&#193;C%20B&#7890;N-XLBM\HCL%20ho&#7841;t%20h&#243;a-xt,xm.pdf" TargetMode="External"/><Relationship Id="rId9" Type="http://schemas.openxmlformats.org/officeDocument/2006/relationships/hyperlink" Target="..\..\..\2.%20Data%20hoa%20nghiem\1.%20PP%20H&#211;A%20NGHI&#7878;M%20C&#193;C%20B&#7890;N-XLBM\ZN-XM,XT.pdf" TargetMode="External"/><Relationship Id="rId14" Type="http://schemas.openxmlformats.org/officeDocument/2006/relationships/hyperlink" Target="..\..\..\2.%20Data%20hoa%20nghiem\1.%20PP%20H&#211;A%20NGHI&#7878;M%20C&#193;C%20B&#7890;N-XLBM\NaOH.pdf" TargetMode="External"/><Relationship Id="rId22" Type="http://schemas.openxmlformats.org/officeDocument/2006/relationships/hyperlink" Target="..\..\..\2.%20Data%20hoa%20nghiem\1.%20PP%20H&#211;A%20NGHI&#7878;M%20C&#193;C%20B&#7890;N-XLBM\M&#192;U%20K-1F,XT.pdf" TargetMode="External"/><Relationship Id="rId27" Type="http://schemas.openxmlformats.org/officeDocument/2006/relationships/hyperlink" Target="../../../2.%20Data%20hoa%20nghiem/1.%20PP%20H&#211;A%20NGHI&#7878;M%20C&#193;C%20B&#7890;N-XLBM/t&#7927;%20l&#7879;%20acid-RL.pdf" TargetMode="External"/><Relationship Id="rId30" Type="http://schemas.openxmlformats.org/officeDocument/2006/relationships/hyperlink" Target="../../../2.%20Data%20hoa%20nghiem/1.%20PP%20H&#211;A%20NGHI&#7878;M%20C&#193;C%20B&#7890;N-XLBM/AL3+ML.pdf" TargetMode="External"/><Relationship Id="rId35" Type="http://schemas.openxmlformats.org/officeDocument/2006/relationships/hyperlink" Target="..\..\..\2.%20Data%20hoa%20nghiem\1.%20PP%20H&#211;A%20NGHI&#7878;M%20C&#193;C%20B&#7890;N-XLBM\x&#273;-xb1.pdf" TargetMode="External"/></Relationships>
</file>

<file path=xl/worksheets/sheet1.xml><?xml version="1.0" encoding="utf-8"?>
<worksheet xmlns="http://schemas.openxmlformats.org/spreadsheetml/2006/main" xmlns:r="http://schemas.openxmlformats.org/officeDocument/2006/relationships">
  <dimension ref="A1:I79"/>
  <sheetViews>
    <sheetView showGridLines="0" view="pageBreakPreview" zoomScale="85" zoomScaleNormal="70" zoomScaleSheetLayoutView="85" workbookViewId="0">
      <pane xSplit="1" ySplit="3" topLeftCell="B52" activePane="bottomRight" state="frozen"/>
      <selection pane="topRight" activeCell="B1" sqref="B1"/>
      <selection pane="bottomLeft" activeCell="A4" sqref="A4"/>
      <selection pane="bottomRight" activeCell="D77" sqref="D77"/>
    </sheetView>
  </sheetViews>
  <sheetFormatPr defaultRowHeight="15"/>
  <cols>
    <col min="1" max="1" width="10.125" style="888" customWidth="1"/>
    <col min="2" max="2" width="28.75" style="888" customWidth="1"/>
    <col min="3" max="3" width="16.375" style="888" customWidth="1"/>
    <col min="4" max="4" width="11.875" style="1289" customWidth="1"/>
    <col min="5" max="5" width="10.625" style="1289" customWidth="1"/>
    <col min="6" max="6" width="9" style="1282"/>
    <col min="7" max="7" width="9.875" style="888" customWidth="1"/>
    <col min="8" max="8" width="9" style="888" customWidth="1"/>
    <col min="9" max="16384" width="9" style="888"/>
  </cols>
  <sheetData>
    <row r="1" spans="1:9" ht="30" customHeight="1">
      <c r="B1" s="2849" t="s">
        <v>1229</v>
      </c>
      <c r="C1" s="2849"/>
      <c r="D1" s="2849"/>
      <c r="E1" s="2849"/>
      <c r="F1" s="2849"/>
      <c r="G1" s="2849"/>
      <c r="H1" s="2038"/>
    </row>
    <row r="2" spans="1:9" ht="16.5" customHeight="1">
      <c r="B2" s="1300" t="str">
        <f>MENU!AD9</f>
        <v>2024/05/22</v>
      </c>
      <c r="C2" s="1281"/>
      <c r="G2" s="2039">
        <v>0.29166666666666669</v>
      </c>
      <c r="H2" s="2039">
        <v>0.45833333333333331</v>
      </c>
      <c r="I2" s="2039">
        <v>0.54166666666666663</v>
      </c>
    </row>
    <row r="3" spans="1:9" ht="22.5" customHeight="1">
      <c r="A3" s="892" t="s">
        <v>1247</v>
      </c>
      <c r="B3" s="1369" t="s">
        <v>1206</v>
      </c>
      <c r="C3" s="1370" t="s">
        <v>1282</v>
      </c>
      <c r="D3" s="2844" t="s">
        <v>1238</v>
      </c>
      <c r="E3" s="2845"/>
      <c r="F3" s="1371" t="s">
        <v>1283</v>
      </c>
      <c r="G3" s="1370" t="s">
        <v>1209</v>
      </c>
      <c r="H3" s="1370"/>
    </row>
    <row r="4" spans="1:9" ht="24" customHeight="1">
      <c r="A4" s="1299" t="s">
        <v>1250</v>
      </c>
      <c r="B4" s="2842" t="s">
        <v>1260</v>
      </c>
      <c r="C4" s="890" t="s">
        <v>1210</v>
      </c>
      <c r="D4" s="1290" t="str">
        <f>'XM.GUI MAIL'!E17</f>
        <v>8~12</v>
      </c>
      <c r="E4" s="1290" t="str">
        <f>'XM.GUI MAIL'!F17</f>
        <v>(10±2)</v>
      </c>
      <c r="F4" s="1280" t="s">
        <v>1211</v>
      </c>
      <c r="G4" s="1357">
        <f>'XM.GUI MAIL'!I17</f>
        <v>0</v>
      </c>
      <c r="H4" s="1357">
        <f>'XM.GUI MAIL'!P17</f>
        <v>0</v>
      </c>
      <c r="I4" s="1357">
        <f>'XM.GUI MAIL'!W17</f>
        <v>0</v>
      </c>
    </row>
    <row r="5" spans="1:9" ht="24" customHeight="1">
      <c r="A5" s="1299" t="s">
        <v>1250</v>
      </c>
      <c r="B5" s="2843"/>
      <c r="C5" s="890" t="s">
        <v>1212</v>
      </c>
      <c r="D5" s="1290" t="str">
        <f>'XM.GUI MAIL'!E16</f>
        <v>130 - 150</v>
      </c>
      <c r="E5" s="1290" t="str">
        <f>'XM.GUI MAIL'!F16</f>
        <v>(140±7)</v>
      </c>
      <c r="F5" s="1280" t="s">
        <v>1211</v>
      </c>
      <c r="G5" s="1357">
        <f>'XM.GUI MAIL'!I16</f>
        <v>0</v>
      </c>
      <c r="H5" s="1357">
        <f>'XM.GUI MAIL'!P16</f>
        <v>0</v>
      </c>
      <c r="I5" s="1357">
        <f>'XM.GUI MAIL'!W16</f>
        <v>0</v>
      </c>
    </row>
    <row r="6" spans="1:9" ht="23.25" customHeight="1">
      <c r="A6" s="1299" t="s">
        <v>1250</v>
      </c>
      <c r="B6" s="2843"/>
      <c r="C6" s="1287" t="s">
        <v>1213</v>
      </c>
      <c r="D6" s="1291" t="s">
        <v>1239</v>
      </c>
      <c r="E6" s="1298"/>
      <c r="F6" s="1288" t="s">
        <v>1211</v>
      </c>
      <c r="G6" s="1358"/>
      <c r="H6" s="1358"/>
      <c r="I6" s="1358"/>
    </row>
    <row r="7" spans="1:9" ht="23.25" customHeight="1">
      <c r="A7" s="1299" t="s">
        <v>1250</v>
      </c>
      <c r="B7" s="2843"/>
      <c r="C7" s="1287" t="s">
        <v>1214</v>
      </c>
      <c r="D7" s="1292" t="s">
        <v>1215</v>
      </c>
      <c r="E7" s="1298"/>
      <c r="F7" s="1288" t="s">
        <v>1216</v>
      </c>
      <c r="G7" s="1358"/>
      <c r="H7" s="1358"/>
      <c r="I7" s="1358"/>
    </row>
    <row r="8" spans="1:9" ht="23.25" customHeight="1">
      <c r="A8" s="1299" t="s">
        <v>1250</v>
      </c>
      <c r="B8" s="2843"/>
      <c r="C8" s="1287" t="s">
        <v>1217</v>
      </c>
      <c r="D8" s="1292" t="s">
        <v>1215</v>
      </c>
      <c r="E8" s="1298"/>
      <c r="F8" s="1288" t="s">
        <v>1216</v>
      </c>
      <c r="G8" s="1358"/>
      <c r="H8" s="1358"/>
      <c r="I8" s="1358"/>
    </row>
    <row r="9" spans="1:9" ht="23.25" customHeight="1">
      <c r="A9" s="1299" t="s">
        <v>1250</v>
      </c>
      <c r="B9" s="2843"/>
      <c r="C9" s="1287" t="s">
        <v>1218</v>
      </c>
      <c r="D9" s="1292" t="s">
        <v>1215</v>
      </c>
      <c r="E9" s="1298"/>
      <c r="F9" s="1288" t="s">
        <v>1216</v>
      </c>
      <c r="G9" s="1358"/>
      <c r="H9" s="1358"/>
      <c r="I9" s="1358"/>
    </row>
    <row r="10" spans="1:9" ht="23.25" customHeight="1">
      <c r="A10" s="1299" t="s">
        <v>1250</v>
      </c>
      <c r="B10" s="2843"/>
      <c r="C10" s="1287" t="s">
        <v>1219</v>
      </c>
      <c r="D10" s="1292" t="s">
        <v>1215</v>
      </c>
      <c r="E10" s="1298"/>
      <c r="F10" s="1288" t="s">
        <v>1216</v>
      </c>
      <c r="G10" s="1358"/>
      <c r="H10" s="1358"/>
      <c r="I10" s="1358"/>
    </row>
    <row r="11" spans="1:9" ht="21" customHeight="1">
      <c r="A11" s="1299" t="s">
        <v>1250</v>
      </c>
      <c r="B11" s="2842" t="s">
        <v>1253</v>
      </c>
      <c r="C11" s="890" t="s">
        <v>1230</v>
      </c>
      <c r="D11" s="1290" t="str">
        <f>'XM.GUI MAIL'!E18</f>
        <v xml:space="preserve">12~18 </v>
      </c>
      <c r="E11" s="1290" t="str">
        <f>'XM.GUI MAIL'!F18</f>
        <v>(14±2)</v>
      </c>
      <c r="F11" s="1280" t="s">
        <v>1221</v>
      </c>
      <c r="G11" s="1357">
        <f>'XM.GUI MAIL'!I18</f>
        <v>0</v>
      </c>
      <c r="H11" s="1357">
        <f>'XM.GUI MAIL'!P18</f>
        <v>0</v>
      </c>
      <c r="I11" s="1357">
        <f>'XM.GUI MAIL'!W18</f>
        <v>0</v>
      </c>
    </row>
    <row r="12" spans="1:9" ht="24.75" customHeight="1">
      <c r="A12" s="1299" t="s">
        <v>1250</v>
      </c>
      <c r="B12" s="2843"/>
      <c r="C12" s="890" t="s">
        <v>1222</v>
      </c>
      <c r="D12" s="1293" t="str">
        <f>'XM.GUI MAIL'!E19</f>
        <v>1.6~2.2</v>
      </c>
      <c r="E12" s="1293" t="str">
        <f>'XM.GUI MAIL'!F19</f>
        <v>(2±0.2 )</v>
      </c>
      <c r="F12" s="1283" t="s">
        <v>1223</v>
      </c>
      <c r="G12" s="1357">
        <f>'XM.GUI MAIL'!I19</f>
        <v>0</v>
      </c>
      <c r="H12" s="1357">
        <f>'XM.GUI MAIL'!P19</f>
        <v>0</v>
      </c>
      <c r="I12" s="1357">
        <f>'XM.GUI MAIL'!W19</f>
        <v>0</v>
      </c>
    </row>
    <row r="13" spans="1:9" ht="23.25" customHeight="1">
      <c r="A13" s="1299" t="s">
        <v>1250</v>
      </c>
      <c r="B13" s="2843"/>
      <c r="C13" s="1287" t="s">
        <v>1214</v>
      </c>
      <c r="D13" s="1294" t="s">
        <v>1231</v>
      </c>
      <c r="E13" s="1298"/>
      <c r="F13" s="1288" t="s">
        <v>1216</v>
      </c>
      <c r="G13" s="1358"/>
      <c r="H13" s="1358"/>
      <c r="I13" s="1358"/>
    </row>
    <row r="14" spans="1:9" ht="23.25" customHeight="1">
      <c r="A14" s="1299" t="s">
        <v>1250</v>
      </c>
      <c r="B14" s="2843"/>
      <c r="C14" s="1287" t="s">
        <v>1217</v>
      </c>
      <c r="D14" s="1294" t="s">
        <v>1232</v>
      </c>
      <c r="E14" s="1298"/>
      <c r="F14" s="1288" t="s">
        <v>1216</v>
      </c>
      <c r="G14" s="1358"/>
      <c r="H14" s="1358"/>
      <c r="I14" s="1358"/>
    </row>
    <row r="15" spans="1:9" ht="23.25" customHeight="1">
      <c r="A15" s="1299" t="s">
        <v>1250</v>
      </c>
      <c r="B15" s="2843"/>
      <c r="C15" s="1287" t="s">
        <v>1225</v>
      </c>
      <c r="D15" s="1295" t="s">
        <v>1429</v>
      </c>
      <c r="E15" s="1298"/>
      <c r="F15" s="1288" t="s">
        <v>1216</v>
      </c>
      <c r="G15" s="1358"/>
      <c r="H15" s="1358"/>
      <c r="I15" s="1358"/>
    </row>
    <row r="16" spans="1:9" ht="20.25" customHeight="1">
      <c r="A16" s="1299" t="s">
        <v>1250</v>
      </c>
      <c r="B16" s="2842" t="s">
        <v>1241</v>
      </c>
      <c r="C16" s="890" t="s">
        <v>1220</v>
      </c>
      <c r="D16" s="1290" t="str">
        <f>'XM.GUI MAIL'!E24</f>
        <v>5~10</v>
      </c>
      <c r="E16" s="1290" t="str">
        <f>'XM.GUI MAIL'!F24</f>
        <v>(7.5±1)</v>
      </c>
      <c r="F16" s="1280" t="s">
        <v>1221</v>
      </c>
      <c r="G16" s="1357" t="str">
        <f>'XM.GUI MAIL'!I24</f>
        <v/>
      </c>
      <c r="H16" s="1357" t="str">
        <f>'XM.GUI MAIL'!I24</f>
        <v/>
      </c>
      <c r="I16" s="1357" t="str">
        <f>'XM.GUI MAIL'!W24</f>
        <v/>
      </c>
    </row>
    <row r="17" spans="1:9" ht="23.25" customHeight="1">
      <c r="A17" s="1299" t="s">
        <v>1250</v>
      </c>
      <c r="B17" s="2843"/>
      <c r="C17" s="890" t="s">
        <v>1222</v>
      </c>
      <c r="D17" s="1293" t="str">
        <f>'XM.GUI MAIL'!E25</f>
        <v>1.8~2.2</v>
      </c>
      <c r="E17" s="1293" t="str">
        <f>'XM.GUI MAIL'!F25</f>
        <v>(2±0.1)</v>
      </c>
      <c r="F17" s="1283" t="s">
        <v>1223</v>
      </c>
      <c r="G17" s="1357">
        <f>'XM.GUI MAIL'!I25</f>
        <v>0</v>
      </c>
      <c r="H17" s="1357">
        <f>'XM.GUI MAIL'!I25</f>
        <v>0</v>
      </c>
      <c r="I17" s="1357">
        <f>'XM.GUI MAIL'!W25</f>
        <v>0</v>
      </c>
    </row>
    <row r="18" spans="1:9" ht="23.25" customHeight="1">
      <c r="A18" s="1299" t="s">
        <v>1250</v>
      </c>
      <c r="B18" s="2843"/>
      <c r="C18" s="1287" t="s">
        <v>1214</v>
      </c>
      <c r="D18" s="1295" t="s">
        <v>1433</v>
      </c>
      <c r="E18" s="1295"/>
      <c r="F18" s="1288" t="s">
        <v>1216</v>
      </c>
      <c r="G18" s="1287"/>
      <c r="H18" s="2040"/>
      <c r="I18" s="2040"/>
    </row>
    <row r="19" spans="1:9" ht="23.25" customHeight="1">
      <c r="A19" s="1299" t="s">
        <v>1250</v>
      </c>
      <c r="B19" s="2843"/>
      <c r="C19" s="1287" t="s">
        <v>1217</v>
      </c>
      <c r="D19" s="1295" t="s">
        <v>1430</v>
      </c>
      <c r="E19" s="1295"/>
      <c r="F19" s="1288" t="s">
        <v>1216</v>
      </c>
      <c r="G19" s="1287"/>
      <c r="H19" s="2040"/>
      <c r="I19" s="2040"/>
    </row>
    <row r="20" spans="1:9" ht="23.25" customHeight="1">
      <c r="A20" s="1299" t="s">
        <v>1250</v>
      </c>
      <c r="B20" s="2843"/>
      <c r="C20" s="1287" t="s">
        <v>1225</v>
      </c>
      <c r="D20" s="1295" t="s">
        <v>1434</v>
      </c>
      <c r="E20" s="1295"/>
      <c r="F20" s="1288" t="s">
        <v>1216</v>
      </c>
      <c r="G20" s="1287"/>
      <c r="H20" s="2040"/>
      <c r="I20" s="2040"/>
    </row>
    <row r="21" spans="1:9" ht="15" customHeight="1">
      <c r="B21" s="1284"/>
      <c r="C21" s="1285"/>
      <c r="D21" s="1296"/>
      <c r="E21" s="1296"/>
      <c r="F21" s="1286"/>
      <c r="G21" s="1285"/>
      <c r="H21" s="1285"/>
      <c r="I21" s="1285"/>
    </row>
    <row r="22" spans="1:9" ht="22.5" customHeight="1">
      <c r="B22" s="1369" t="s">
        <v>1206</v>
      </c>
      <c r="C22" s="1370" t="s">
        <v>1282</v>
      </c>
      <c r="D22" s="2844" t="s">
        <v>1238</v>
      </c>
      <c r="E22" s="2845"/>
      <c r="F22" s="1371" t="s">
        <v>1283</v>
      </c>
      <c r="G22" s="1370" t="s">
        <v>1209</v>
      </c>
      <c r="H22" s="2041"/>
      <c r="I22" s="2041"/>
    </row>
    <row r="23" spans="1:9" ht="21.75" customHeight="1">
      <c r="A23" s="888" t="s">
        <v>1248</v>
      </c>
      <c r="B23" s="2842" t="s">
        <v>1242</v>
      </c>
      <c r="C23" s="890" t="s">
        <v>1210</v>
      </c>
      <c r="D23" s="1290" t="str">
        <f>'XM.GUI MAIL'!E52</f>
        <v>8~12</v>
      </c>
      <c r="E23" s="1290" t="str">
        <f>'XM.GUI MAIL'!F52</f>
        <v>(10±2)</v>
      </c>
      <c r="F23" s="1280" t="s">
        <v>1211</v>
      </c>
      <c r="G23" s="1357">
        <f>'XM.GUI MAIL'!I52</f>
        <v>10.270000000000001</v>
      </c>
      <c r="H23" s="1357">
        <f>'XM.GUI MAIL'!P52</f>
        <v>10.66</v>
      </c>
      <c r="I23" s="1357">
        <f>'XM.GUI MAIL'!W52</f>
        <v>10.790000000000001</v>
      </c>
    </row>
    <row r="24" spans="1:9" ht="21.75" customHeight="1">
      <c r="A24" s="888" t="s">
        <v>1248</v>
      </c>
      <c r="B24" s="2843"/>
      <c r="C24" s="890" t="s">
        <v>1212</v>
      </c>
      <c r="D24" s="1290" t="str">
        <f>'XM.GUI MAIL'!E51</f>
        <v>130 - 150</v>
      </c>
      <c r="E24" s="1290" t="str">
        <f>'XM.GUI MAIL'!F51</f>
        <v>(140±7)</v>
      </c>
      <c r="F24" s="1280" t="s">
        <v>1211</v>
      </c>
      <c r="G24" s="1357">
        <f>'XM.GUI MAIL'!I51</f>
        <v>144</v>
      </c>
      <c r="H24" s="1357">
        <f>'XM.GUI MAIL'!P51</f>
        <v>141.6</v>
      </c>
      <c r="I24" s="1357">
        <f>'XM.GUI MAIL'!W51</f>
        <v>141.19999999999999</v>
      </c>
    </row>
    <row r="25" spans="1:9" ht="23.25" customHeight="1">
      <c r="A25" s="888" t="s">
        <v>1248</v>
      </c>
      <c r="B25" s="2843"/>
      <c r="C25" s="1287" t="s">
        <v>1213</v>
      </c>
      <c r="D25" s="1291" t="s">
        <v>1424</v>
      </c>
      <c r="E25" s="1291"/>
      <c r="F25" s="1288" t="s">
        <v>1211</v>
      </c>
      <c r="G25" s="1358"/>
      <c r="H25" s="1358"/>
      <c r="I25" s="1358"/>
    </row>
    <row r="26" spans="1:9" ht="23.25" customHeight="1">
      <c r="A26" s="888" t="s">
        <v>1248</v>
      </c>
      <c r="B26" s="2843"/>
      <c r="C26" s="1287" t="s">
        <v>1214</v>
      </c>
      <c r="D26" s="1292" t="s">
        <v>1215</v>
      </c>
      <c r="E26" s="1292"/>
      <c r="F26" s="1288" t="s">
        <v>1216</v>
      </c>
      <c r="G26" s="1358"/>
      <c r="H26" s="1358"/>
      <c r="I26" s="1358"/>
    </row>
    <row r="27" spans="1:9" ht="23.25" customHeight="1">
      <c r="A27" s="888" t="s">
        <v>1248</v>
      </c>
      <c r="B27" s="2843"/>
      <c r="C27" s="1287" t="s">
        <v>1217</v>
      </c>
      <c r="D27" s="1292" t="s">
        <v>1215</v>
      </c>
      <c r="E27" s="1292"/>
      <c r="F27" s="1288" t="s">
        <v>1216</v>
      </c>
      <c r="G27" s="1358"/>
      <c r="H27" s="1358"/>
      <c r="I27" s="1358"/>
    </row>
    <row r="28" spans="1:9" ht="23.25" customHeight="1">
      <c r="A28" s="888" t="s">
        <v>1248</v>
      </c>
      <c r="B28" s="2843"/>
      <c r="C28" s="1287" t="s">
        <v>1218</v>
      </c>
      <c r="D28" s="1292" t="s">
        <v>1215</v>
      </c>
      <c r="E28" s="1292"/>
      <c r="F28" s="1288" t="s">
        <v>1216</v>
      </c>
      <c r="G28" s="1358"/>
      <c r="H28" s="1358"/>
      <c r="I28" s="1358"/>
    </row>
    <row r="29" spans="1:9" ht="23.25" customHeight="1">
      <c r="A29" s="888" t="s">
        <v>1248</v>
      </c>
      <c r="B29" s="2843"/>
      <c r="C29" s="1287" t="s">
        <v>1219</v>
      </c>
      <c r="D29" s="1292" t="s">
        <v>1215</v>
      </c>
      <c r="E29" s="1292"/>
      <c r="F29" s="1288" t="s">
        <v>1216</v>
      </c>
      <c r="G29" s="1358"/>
      <c r="H29" s="1358"/>
      <c r="I29" s="1358"/>
    </row>
    <row r="30" spans="1:9" ht="21" customHeight="1">
      <c r="A30" s="888" t="s">
        <v>1248</v>
      </c>
      <c r="B30" s="2842" t="s">
        <v>1589</v>
      </c>
      <c r="C30" s="890" t="s">
        <v>1226</v>
      </c>
      <c r="D30" s="1290" t="str">
        <f>'XM.GUI MAIL'!E53</f>
        <v xml:space="preserve">6~10 </v>
      </c>
      <c r="E30" s="1290" t="str">
        <f>'XM.GUI MAIL'!F53</f>
        <v>(7±1)</v>
      </c>
      <c r="F30" s="1280" t="s">
        <v>1221</v>
      </c>
      <c r="G30" s="1357">
        <f>'XM.GUI MAIL'!I53</f>
        <v>6.2627250000000005</v>
      </c>
      <c r="H30" s="1357">
        <f>'XM.GUI MAIL'!P53</f>
        <v>6.3262799999999997</v>
      </c>
      <c r="I30" s="1357">
        <f>'XM.GUI MAIL'!W53</f>
        <v>6.1568000000000005</v>
      </c>
    </row>
    <row r="31" spans="1:9" ht="21" customHeight="1">
      <c r="A31" s="888" t="s">
        <v>1248</v>
      </c>
      <c r="B31" s="2843"/>
      <c r="C31" s="890" t="s">
        <v>1222</v>
      </c>
      <c r="D31" s="1293" t="str">
        <f>'XM.GUI MAIL'!E54</f>
        <v>2~2.5</v>
      </c>
      <c r="E31" s="1293" t="str">
        <f>'XM.GUI MAIL'!F54</f>
        <v>(2.3±0.1 )</v>
      </c>
      <c r="F31" s="1283" t="s">
        <v>1223</v>
      </c>
      <c r="G31" s="1357">
        <f>'XM.GUI MAIL'!I54</f>
        <v>3</v>
      </c>
      <c r="H31" s="1357">
        <f>'XM.GUI MAIL'!P54</f>
        <v>3</v>
      </c>
      <c r="I31" s="1357">
        <f>'XM.GUI MAIL'!W54</f>
        <v>2.2000000000000002</v>
      </c>
    </row>
    <row r="32" spans="1:9" ht="23.25" customHeight="1">
      <c r="A32" s="888" t="s">
        <v>1248</v>
      </c>
      <c r="B32" s="2843"/>
      <c r="C32" s="1287" t="s">
        <v>1214</v>
      </c>
      <c r="D32" s="1294" t="s">
        <v>1422</v>
      </c>
      <c r="E32" s="1294"/>
      <c r="F32" s="1288" t="s">
        <v>1216</v>
      </c>
      <c r="G32" s="1358"/>
      <c r="H32" s="1358"/>
      <c r="I32" s="1358"/>
    </row>
    <row r="33" spans="1:9" ht="23.25" customHeight="1">
      <c r="A33" s="888" t="s">
        <v>1248</v>
      </c>
      <c r="B33" s="2843"/>
      <c r="C33" s="1287" t="s">
        <v>1217</v>
      </c>
      <c r="D33" s="1295"/>
      <c r="E33" s="1294"/>
      <c r="F33" s="1288" t="s">
        <v>1216</v>
      </c>
      <c r="G33" s="1358"/>
      <c r="H33" s="1358"/>
      <c r="I33" s="1358"/>
    </row>
    <row r="34" spans="1:9" ht="23.25" customHeight="1">
      <c r="A34" s="888" t="s">
        <v>1248</v>
      </c>
      <c r="B34" s="2843"/>
      <c r="C34" s="1287" t="s">
        <v>1225</v>
      </c>
      <c r="D34" s="1295" t="s">
        <v>1432</v>
      </c>
      <c r="E34" s="1295"/>
      <c r="F34" s="1288" t="s">
        <v>1216</v>
      </c>
      <c r="G34" s="1358"/>
      <c r="H34" s="1358"/>
      <c r="I34" s="1358"/>
    </row>
    <row r="35" spans="1:9" ht="18" customHeight="1">
      <c r="A35" s="888" t="s">
        <v>1248</v>
      </c>
      <c r="B35" s="2842" t="s">
        <v>1251</v>
      </c>
      <c r="C35" s="890" t="s">
        <v>1227</v>
      </c>
      <c r="D35" s="1290" t="str">
        <f>'XM.GUI MAIL'!E59</f>
        <v>5~8</v>
      </c>
      <c r="E35" s="1290" t="str">
        <f>'XM.GUI MAIL'!F59</f>
        <v>(6±0.5)</v>
      </c>
      <c r="F35" s="1280" t="s">
        <v>1221</v>
      </c>
      <c r="G35" s="1357">
        <f>'XM.GUI MAIL'!I59</f>
        <v>6.2799999999999994</v>
      </c>
      <c r="H35" s="1357">
        <f>'XM.GUI MAIL'!I59</f>
        <v>6.2799999999999994</v>
      </c>
      <c r="I35" s="1357" t="str">
        <f>'XM.GUI MAIL'!W59</f>
        <v>KO SX</v>
      </c>
    </row>
    <row r="36" spans="1:9" ht="18" customHeight="1">
      <c r="A36" s="888" t="s">
        <v>1248</v>
      </c>
      <c r="B36" s="2843"/>
      <c r="C36" s="890" t="s">
        <v>1222</v>
      </c>
      <c r="D36" s="1293" t="str">
        <f>'XM.GUI MAIL'!E60</f>
        <v>1.8~2.4</v>
      </c>
      <c r="E36" s="1293" t="str">
        <f>'XM.GUI MAIL'!F60</f>
        <v>(2.1±0.1 )</v>
      </c>
      <c r="F36" s="1283" t="s">
        <v>1223</v>
      </c>
      <c r="G36" s="1357">
        <f>'XM.GUI MAIL'!I60</f>
        <v>2.1</v>
      </c>
      <c r="H36" s="1357">
        <f>'XM.GUI MAIL'!I60</f>
        <v>2.1</v>
      </c>
      <c r="I36" s="1357" t="str">
        <f>'XM.GUI MAIL'!W60</f>
        <v>KO SX</v>
      </c>
    </row>
    <row r="37" spans="1:9" ht="23.25" customHeight="1">
      <c r="A37" s="888" t="s">
        <v>1248</v>
      </c>
      <c r="B37" s="2843"/>
      <c r="C37" s="1287" t="s">
        <v>1214</v>
      </c>
      <c r="D37" s="1295">
        <v>150</v>
      </c>
      <c r="E37" s="1295"/>
      <c r="F37" s="1288" t="s">
        <v>1216</v>
      </c>
      <c r="G37" s="1287"/>
      <c r="H37" s="2040"/>
      <c r="I37" s="2040"/>
    </row>
    <row r="38" spans="1:9" ht="23.25" customHeight="1">
      <c r="A38" s="888" t="s">
        <v>1248</v>
      </c>
      <c r="B38" s="2843"/>
      <c r="C38" s="1287" t="s">
        <v>1217</v>
      </c>
      <c r="D38" s="1295"/>
      <c r="E38" s="1295"/>
      <c r="F38" s="1288" t="s">
        <v>1216</v>
      </c>
      <c r="G38" s="1287"/>
      <c r="H38" s="2040"/>
      <c r="I38" s="2040"/>
    </row>
    <row r="39" spans="1:9" ht="23.25" customHeight="1">
      <c r="A39" s="888" t="s">
        <v>1248</v>
      </c>
      <c r="B39" s="2843"/>
      <c r="C39" s="1287" t="s">
        <v>1225</v>
      </c>
      <c r="D39" s="1295" t="s">
        <v>1431</v>
      </c>
      <c r="E39" s="1295"/>
      <c r="F39" s="1288" t="s">
        <v>1216</v>
      </c>
      <c r="G39" s="1287"/>
      <c r="H39" s="2040"/>
      <c r="I39" s="2040"/>
    </row>
    <row r="40" spans="1:9" ht="14.25" customHeight="1"/>
    <row r="41" spans="1:9" ht="21.75" customHeight="1">
      <c r="B41" s="1369" t="s">
        <v>1206</v>
      </c>
      <c r="C41" s="1370" t="s">
        <v>1282</v>
      </c>
      <c r="D41" s="2844" t="s">
        <v>1238</v>
      </c>
      <c r="E41" s="2845"/>
      <c r="F41" s="1371" t="s">
        <v>1283</v>
      </c>
      <c r="G41" s="1370" t="s">
        <v>1209</v>
      </c>
      <c r="H41" s="2041"/>
      <c r="I41" s="2041"/>
    </row>
    <row r="42" spans="1:9" ht="20.25" customHeight="1">
      <c r="A42" s="888" t="s">
        <v>1248</v>
      </c>
      <c r="B42" s="2842" t="s">
        <v>1243</v>
      </c>
      <c r="C42" s="890" t="s">
        <v>1210</v>
      </c>
      <c r="D42" s="1290" t="str">
        <f>'XM.GUI MAIL'!E87</f>
        <v>7~10</v>
      </c>
      <c r="E42" s="1290" t="str">
        <f>'XM.GUI MAIL'!F87</f>
        <v>(8.5±1)</v>
      </c>
      <c r="F42" s="1280" t="s">
        <v>1211</v>
      </c>
      <c r="G42" s="1357">
        <f>'XM.GUI MAIL'!I87</f>
        <v>8.4500000000000011</v>
      </c>
      <c r="H42" s="1357">
        <f>'XM.GUI MAIL'!P87</f>
        <v>8.4500000000000011</v>
      </c>
      <c r="I42" s="1357">
        <f>'XM.GUI MAIL'!W87</f>
        <v>8.3849999999999998</v>
      </c>
    </row>
    <row r="43" spans="1:9" ht="20.25" customHeight="1">
      <c r="A43" s="888" t="s">
        <v>1248</v>
      </c>
      <c r="B43" s="2843"/>
      <c r="C43" s="890" t="s">
        <v>1212</v>
      </c>
      <c r="D43" s="1290" t="str">
        <f>'XM.GUI MAIL'!E86</f>
        <v>135~ 145</v>
      </c>
      <c r="E43" s="1290" t="str">
        <f>'XM.GUI MAIL'!F86</f>
        <v>(140±5)</v>
      </c>
      <c r="F43" s="1280" t="s">
        <v>1211</v>
      </c>
      <c r="G43" s="1357">
        <f>'XM.GUI MAIL'!I86</f>
        <v>138</v>
      </c>
      <c r="H43" s="1357">
        <f>'XM.GUI MAIL'!P86</f>
        <v>140</v>
      </c>
      <c r="I43" s="1357">
        <f>'XM.GUI MAIL'!W86</f>
        <v>137.6</v>
      </c>
    </row>
    <row r="44" spans="1:9" ht="23.25" customHeight="1">
      <c r="A44" s="888" t="s">
        <v>1248</v>
      </c>
      <c r="B44" s="2843"/>
      <c r="C44" s="1287" t="s">
        <v>1213</v>
      </c>
      <c r="D44" s="1291" t="s">
        <v>1239</v>
      </c>
      <c r="E44" s="1291" t="s">
        <v>1239</v>
      </c>
      <c r="F44" s="1288" t="s">
        <v>1211</v>
      </c>
      <c r="G44" s="1358"/>
      <c r="H44" s="1358"/>
      <c r="I44" s="1358"/>
    </row>
    <row r="45" spans="1:9" ht="23.25" customHeight="1">
      <c r="A45" s="888" t="s">
        <v>1248</v>
      </c>
      <c r="B45" s="2843"/>
      <c r="C45" s="1287" t="s">
        <v>1214</v>
      </c>
      <c r="D45" s="1292" t="s">
        <v>1215</v>
      </c>
      <c r="E45" s="1292"/>
      <c r="F45" s="1288" t="s">
        <v>1216</v>
      </c>
      <c r="G45" s="1358"/>
      <c r="H45" s="1358"/>
      <c r="I45" s="1358"/>
    </row>
    <row r="46" spans="1:9" ht="23.25" customHeight="1">
      <c r="A46" s="888" t="s">
        <v>1248</v>
      </c>
      <c r="B46" s="2843"/>
      <c r="C46" s="1287" t="s">
        <v>1217</v>
      </c>
      <c r="D46" s="1292" t="s">
        <v>1215</v>
      </c>
      <c r="E46" s="1292"/>
      <c r="F46" s="1288" t="s">
        <v>1216</v>
      </c>
      <c r="G46" s="1358"/>
      <c r="H46" s="1358"/>
      <c r="I46" s="1358"/>
    </row>
    <row r="47" spans="1:9" ht="23.25" customHeight="1">
      <c r="A47" s="888" t="s">
        <v>1248</v>
      </c>
      <c r="B47" s="2843"/>
      <c r="C47" s="1287" t="s">
        <v>1218</v>
      </c>
      <c r="D47" s="1292" t="s">
        <v>1215</v>
      </c>
      <c r="E47" s="1292"/>
      <c r="F47" s="1288" t="s">
        <v>1216</v>
      </c>
      <c r="G47" s="1358"/>
      <c r="H47" s="1358"/>
      <c r="I47" s="1358"/>
    </row>
    <row r="48" spans="1:9" ht="23.25" customHeight="1">
      <c r="A48" s="888" t="s">
        <v>1248</v>
      </c>
      <c r="B48" s="2843"/>
      <c r="C48" s="1287" t="s">
        <v>1219</v>
      </c>
      <c r="D48" s="1292" t="s">
        <v>1215</v>
      </c>
      <c r="E48" s="1292"/>
      <c r="F48" s="1288" t="s">
        <v>1216</v>
      </c>
      <c r="G48" s="1358"/>
      <c r="H48" s="1358"/>
      <c r="I48" s="1358"/>
    </row>
    <row r="49" spans="1:9" ht="23.25" customHeight="1">
      <c r="B49" s="2846" t="s">
        <v>1244</v>
      </c>
      <c r="C49" s="1287" t="s">
        <v>1228</v>
      </c>
      <c r="D49" s="1297" t="s">
        <v>1240</v>
      </c>
      <c r="E49" s="1297" t="s">
        <v>1240</v>
      </c>
      <c r="F49" s="1288" t="s">
        <v>1211</v>
      </c>
      <c r="G49" s="1358"/>
      <c r="H49" s="1358"/>
      <c r="I49" s="1358"/>
    </row>
    <row r="50" spans="1:9" ht="18.75" customHeight="1">
      <c r="A50" s="888" t="s">
        <v>1248</v>
      </c>
      <c r="B50" s="2847"/>
      <c r="C50" s="890" t="s">
        <v>1571</v>
      </c>
      <c r="D50" s="1290" t="str">
        <f>'XM.GUI MAIL'!E99</f>
        <v>5~6</v>
      </c>
      <c r="E50" s="1290" t="str">
        <f>'XM.GUI MAIL'!F99</f>
        <v>(5.5± 0.5)</v>
      </c>
      <c r="F50" s="1280" t="s">
        <v>1211</v>
      </c>
      <c r="G50" s="1357">
        <f>'XM.GUI MAIL'!I99</f>
        <v>5.915</v>
      </c>
      <c r="H50" s="1357">
        <f>'XM.GUI MAIL'!P99</f>
        <v>5.915</v>
      </c>
      <c r="I50" s="1357">
        <f>'XM.GUI MAIL'!W99</f>
        <v>5.9799999999999995</v>
      </c>
    </row>
    <row r="51" spans="1:9" ht="21.75" customHeight="1">
      <c r="A51" s="888" t="s">
        <v>1248</v>
      </c>
      <c r="B51" s="2847"/>
      <c r="C51" s="890" t="s">
        <v>1212</v>
      </c>
      <c r="D51" s="1290" t="str">
        <f>'XM.GUI MAIL'!E100</f>
        <v>130~140</v>
      </c>
      <c r="E51" s="1290" t="str">
        <f>'XM.GUI MAIL'!F100</f>
        <v>(135 ± 5)</v>
      </c>
      <c r="F51" s="1280" t="s">
        <v>1211</v>
      </c>
      <c r="G51" s="1357">
        <f>'XM.GUI MAIL'!I100</f>
        <v>136</v>
      </c>
      <c r="H51" s="1357">
        <f>'XM.GUI MAIL'!P100</f>
        <v>133.6</v>
      </c>
      <c r="I51" s="1357">
        <f>'XM.GUI MAIL'!W100</f>
        <v>132.80000000000001</v>
      </c>
    </row>
    <row r="52" spans="1:9" ht="23.25" customHeight="1">
      <c r="A52" s="888" t="s">
        <v>1248</v>
      </c>
      <c r="B52" s="2847"/>
      <c r="C52" s="1287" t="s">
        <v>1213</v>
      </c>
      <c r="D52" s="1291" t="s">
        <v>1424</v>
      </c>
      <c r="E52" s="1291"/>
      <c r="F52" s="1288" t="s">
        <v>1211</v>
      </c>
      <c r="G52" s="1358"/>
      <c r="H52" s="1358"/>
      <c r="I52" s="1358"/>
    </row>
    <row r="53" spans="1:9" ht="23.25" customHeight="1">
      <c r="A53" s="888" t="s">
        <v>1248</v>
      </c>
      <c r="B53" s="2847"/>
      <c r="C53" s="1287" t="s">
        <v>1214</v>
      </c>
      <c r="D53" s="1291" t="s">
        <v>1425</v>
      </c>
      <c r="E53" s="1291"/>
      <c r="F53" s="1288" t="s">
        <v>1216</v>
      </c>
      <c r="G53" s="1358"/>
      <c r="H53" s="1358"/>
      <c r="I53" s="1358"/>
    </row>
    <row r="54" spans="1:9" ht="23.25" customHeight="1">
      <c r="A54" s="888" t="s">
        <v>1248</v>
      </c>
      <c r="B54" s="2847"/>
      <c r="C54" s="1287" t="s">
        <v>1217</v>
      </c>
      <c r="D54" s="1291" t="s">
        <v>1426</v>
      </c>
      <c r="E54" s="1291"/>
      <c r="F54" s="1288" t="s">
        <v>1216</v>
      </c>
      <c r="G54" s="1358"/>
      <c r="H54" s="1358"/>
      <c r="I54" s="1358"/>
    </row>
    <row r="55" spans="1:9" ht="23.25" customHeight="1">
      <c r="A55" s="888" t="s">
        <v>1248</v>
      </c>
      <c r="B55" s="2847"/>
      <c r="C55" s="1287" t="s">
        <v>1218</v>
      </c>
      <c r="D55" s="1291" t="s">
        <v>1426</v>
      </c>
      <c r="E55" s="1291"/>
      <c r="F55" s="1288" t="s">
        <v>1216</v>
      </c>
      <c r="G55" s="1358"/>
      <c r="H55" s="1358"/>
      <c r="I55" s="1358"/>
    </row>
    <row r="56" spans="1:9" ht="23.25" customHeight="1">
      <c r="A56" s="888" t="s">
        <v>1248</v>
      </c>
      <c r="B56" s="2848"/>
      <c r="C56" s="1287" t="s">
        <v>1219</v>
      </c>
      <c r="D56" s="1291" t="s">
        <v>1427</v>
      </c>
      <c r="E56" s="1291"/>
      <c r="F56" s="1288" t="s">
        <v>1216</v>
      </c>
      <c r="G56" s="1358"/>
      <c r="H56" s="1358"/>
      <c r="I56" s="1358"/>
    </row>
    <row r="57" spans="1:9" ht="21" customHeight="1">
      <c r="A57" s="888" t="s">
        <v>1248</v>
      </c>
      <c r="B57" s="2842" t="s">
        <v>1569</v>
      </c>
      <c r="C57" s="890" t="s">
        <v>1226</v>
      </c>
      <c r="D57" s="1290" t="str">
        <f>'XM.GUI MAIL'!E88</f>
        <v>5~8</v>
      </c>
      <c r="E57" s="1290" t="str">
        <f>'XM.GUI MAIL'!F88</f>
        <v>(6±1)</v>
      </c>
      <c r="F57" s="1280" t="s">
        <v>1221</v>
      </c>
      <c r="G57" s="1357">
        <f>'XM.GUI MAIL'!I88</f>
        <v>6.4957600000000006</v>
      </c>
      <c r="H57" s="1357">
        <f>'XM.GUI MAIL'!P88</f>
        <v>6.4745750000000006</v>
      </c>
      <c r="I57" s="1357">
        <f>'XM.GUI MAIL'!W88</f>
        <v>6.1568000000000005</v>
      </c>
    </row>
    <row r="58" spans="1:9" ht="22.5" customHeight="1">
      <c r="A58" s="888" t="s">
        <v>1248</v>
      </c>
      <c r="B58" s="2843"/>
      <c r="C58" s="890" t="s">
        <v>1222</v>
      </c>
      <c r="D58" s="1293" t="str">
        <f>'XM.GUI MAIL'!E89</f>
        <v>2.0~2.4</v>
      </c>
      <c r="E58" s="1293" t="str">
        <f>'XM.GUI MAIL'!F89</f>
        <v>(2.2±0.1)</v>
      </c>
      <c r="F58" s="1283" t="s">
        <v>1223</v>
      </c>
      <c r="G58" s="1357">
        <f>'XM.GUI MAIL'!I89</f>
        <v>2.2000000000000002</v>
      </c>
      <c r="H58" s="1357">
        <f>'XM.GUI MAIL'!P89</f>
        <v>2.1800000000000002</v>
      </c>
      <c r="I58" s="1357">
        <f>'XM.GUI MAIL'!W89</f>
        <v>2.2000000000000002</v>
      </c>
    </row>
    <row r="59" spans="1:9" ht="23.25" customHeight="1">
      <c r="A59" s="888" t="s">
        <v>1248</v>
      </c>
      <c r="B59" s="2843"/>
      <c r="C59" s="1287" t="s">
        <v>1214</v>
      </c>
      <c r="D59" s="1294" t="s">
        <v>1422</v>
      </c>
      <c r="E59" s="1294"/>
      <c r="F59" s="1288" t="s">
        <v>1216</v>
      </c>
      <c r="G59" s="1358"/>
      <c r="H59" s="1358"/>
      <c r="I59" s="1358"/>
    </row>
    <row r="60" spans="1:9" ht="23.25" customHeight="1">
      <c r="A60" s="888" t="s">
        <v>1248</v>
      </c>
      <c r="B60" s="2843"/>
      <c r="C60" s="1287" t="s">
        <v>1217</v>
      </c>
      <c r="D60" s="1295"/>
      <c r="E60" s="1294"/>
      <c r="F60" s="1288" t="s">
        <v>1216</v>
      </c>
      <c r="G60" s="1358"/>
      <c r="H60" s="1358"/>
      <c r="I60" s="1358"/>
    </row>
    <row r="61" spans="1:9" ht="23.25" customHeight="1">
      <c r="A61" s="888" t="s">
        <v>1248</v>
      </c>
      <c r="B61" s="2843"/>
      <c r="C61" s="1287" t="s">
        <v>1225</v>
      </c>
      <c r="D61" s="1573" t="s">
        <v>1423</v>
      </c>
      <c r="E61" s="1295"/>
      <c r="F61" s="1288" t="s">
        <v>1216</v>
      </c>
      <c r="G61" s="1358"/>
      <c r="H61" s="1358"/>
      <c r="I61" s="1358"/>
    </row>
    <row r="62" spans="1:9" ht="23.25" customHeight="1">
      <c r="B62" s="2842" t="s">
        <v>1570</v>
      </c>
      <c r="C62" s="890" t="s">
        <v>1227</v>
      </c>
      <c r="D62" s="1290" t="str">
        <f>'XM.GUI MAIL'!E95</f>
        <v>5~8</v>
      </c>
      <c r="E62" s="1290" t="str">
        <f>'XM.GUI MAIL'!F95</f>
        <v>(6±0.5)</v>
      </c>
      <c r="F62" s="2369" t="s">
        <v>1221</v>
      </c>
      <c r="G62" s="1357">
        <f>'XM.GUI MAIL'!I95</f>
        <v>5.76</v>
      </c>
      <c r="H62" s="1357">
        <f>'XM.GUI MAIL'!P95</f>
        <v>5.7200000000000006</v>
      </c>
      <c r="I62" s="1357">
        <f>'XM.GUI MAIL'!W95</f>
        <v>5.7200000000000006</v>
      </c>
    </row>
    <row r="63" spans="1:9" ht="23.25" customHeight="1">
      <c r="B63" s="2843"/>
      <c r="C63" s="890" t="s">
        <v>1222</v>
      </c>
      <c r="D63" s="1293" t="str">
        <f>'XM.GUI MAIL'!E96</f>
        <v>1.8~2.4</v>
      </c>
      <c r="E63" s="1293" t="str">
        <f>'XM.GUI MAIL'!F96</f>
        <v>(2.1±0.1)</v>
      </c>
      <c r="F63" s="1283" t="s">
        <v>1223</v>
      </c>
      <c r="G63" s="1357">
        <f>'XM.GUI MAIL'!I96</f>
        <v>2.2000000000000002</v>
      </c>
      <c r="H63" s="1357">
        <f>'XM.GUI MAIL'!P96</f>
        <v>2.1800000000000002</v>
      </c>
      <c r="I63" s="1357">
        <f>'XM.GUI MAIL'!W96</f>
        <v>2.12</v>
      </c>
    </row>
    <row r="64" spans="1:9" ht="23.25" customHeight="1">
      <c r="B64" s="2843"/>
      <c r="C64" s="1287" t="s">
        <v>1214</v>
      </c>
      <c r="D64" s="1295">
        <v>150</v>
      </c>
      <c r="E64" s="1295"/>
      <c r="F64" s="1288" t="s">
        <v>1216</v>
      </c>
      <c r="G64" s="1358"/>
      <c r="H64" s="1358"/>
      <c r="I64" s="1358"/>
    </row>
    <row r="65" spans="1:9" ht="23.25" customHeight="1">
      <c r="B65" s="2843"/>
      <c r="C65" s="1287" t="s">
        <v>1217</v>
      </c>
      <c r="D65" s="1295"/>
      <c r="E65" s="1295"/>
      <c r="F65" s="1288" t="s">
        <v>1216</v>
      </c>
      <c r="G65" s="1358"/>
      <c r="H65" s="1358"/>
      <c r="I65" s="1358"/>
    </row>
    <row r="66" spans="1:9" ht="23.25" customHeight="1">
      <c r="B66" s="2843"/>
      <c r="C66" s="1287" t="s">
        <v>1225</v>
      </c>
      <c r="D66" s="1295" t="s">
        <v>1431</v>
      </c>
      <c r="E66" s="1295"/>
      <c r="F66" s="1288" t="s">
        <v>1216</v>
      </c>
      <c r="G66" s="1358"/>
      <c r="H66" s="1358"/>
      <c r="I66" s="1358"/>
    </row>
    <row r="67" spans="1:9" ht="14.25" customHeight="1">
      <c r="B67" s="2042"/>
      <c r="C67" s="2043"/>
      <c r="D67" s="2044"/>
      <c r="E67" s="2045"/>
      <c r="F67" s="2046"/>
      <c r="G67" s="2047" t="s">
        <v>1505</v>
      </c>
      <c r="H67" s="2047" t="s">
        <v>1506</v>
      </c>
      <c r="I67" s="2047" t="s">
        <v>1519</v>
      </c>
    </row>
    <row r="68" spans="1:9" ht="18.75" customHeight="1">
      <c r="A68" s="1299" t="s">
        <v>1249</v>
      </c>
      <c r="B68" s="2842" t="s">
        <v>1252</v>
      </c>
      <c r="C68" s="890" t="s">
        <v>1230</v>
      </c>
      <c r="D68" s="1290" t="str">
        <f>'XM.GUI MAIL'!E97</f>
        <v>8~16 %</v>
      </c>
      <c r="E68" s="1290" t="str">
        <f>'XM.GUI MAIL'!F97</f>
        <v>(12±2%)</v>
      </c>
      <c r="F68" s="1280" t="s">
        <v>1221</v>
      </c>
      <c r="G68" s="1357" t="str">
        <f>'XM.GUI MAIL'!I97</f>
        <v/>
      </c>
      <c r="H68" s="1357" t="str">
        <f>'XM.GUI MAIL'!P97</f>
        <v/>
      </c>
      <c r="I68" s="1357" t="str">
        <f>'XM.GUI MAIL'!W97</f>
        <v/>
      </c>
    </row>
    <row r="69" spans="1:9" ht="21" customHeight="1">
      <c r="A69" s="1299" t="s">
        <v>1249</v>
      </c>
      <c r="B69" s="2843"/>
      <c r="C69" s="890" t="s">
        <v>1222</v>
      </c>
      <c r="D69" s="1293" t="str">
        <f>'XM.GUI MAIL'!E98</f>
        <v>1.8~2.4</v>
      </c>
      <c r="E69" s="1293" t="str">
        <f>'XM.GUI MAIL'!F98</f>
        <v>(2.0 ±0.2 )</v>
      </c>
      <c r="F69" s="1283" t="s">
        <v>1223</v>
      </c>
      <c r="G69" s="1357">
        <f>'XM.GUI MAIL'!I98</f>
        <v>0</v>
      </c>
      <c r="H69" s="1357">
        <f>'XM.GUI MAIL'!P98</f>
        <v>0</v>
      </c>
      <c r="I69" s="1357">
        <f>'XM.GUI MAIL'!W98</f>
        <v>0</v>
      </c>
    </row>
    <row r="70" spans="1:9" ht="23.25" customHeight="1">
      <c r="A70" s="1299" t="s">
        <v>1249</v>
      </c>
      <c r="B70" s="2843"/>
      <c r="C70" s="1287" t="s">
        <v>1214</v>
      </c>
      <c r="D70" s="1294" t="s">
        <v>1428</v>
      </c>
      <c r="E70" s="1294"/>
      <c r="F70" s="1288" t="s">
        <v>1216</v>
      </c>
      <c r="G70" s="1358"/>
      <c r="H70" s="1358"/>
      <c r="I70" s="1358"/>
    </row>
    <row r="71" spans="1:9" ht="23.25" customHeight="1">
      <c r="A71" s="1299" t="s">
        <v>1249</v>
      </c>
      <c r="B71" s="2843"/>
      <c r="C71" s="1287" t="s">
        <v>1217</v>
      </c>
      <c r="D71" s="1294" t="s">
        <v>1426</v>
      </c>
      <c r="E71" s="1294"/>
      <c r="F71" s="1288" t="s">
        <v>1216</v>
      </c>
      <c r="G71" s="1358"/>
      <c r="H71" s="1358"/>
      <c r="I71" s="1358"/>
    </row>
    <row r="72" spans="1:9" ht="23.25" customHeight="1">
      <c r="A72" s="1299" t="s">
        <v>1249</v>
      </c>
      <c r="B72" s="2843"/>
      <c r="C72" s="1287" t="s">
        <v>1225</v>
      </c>
      <c r="D72" s="1295" t="s">
        <v>1429</v>
      </c>
      <c r="E72" s="1295"/>
      <c r="F72" s="1288" t="s">
        <v>1216</v>
      </c>
      <c r="G72" s="1358"/>
      <c r="H72" s="1358"/>
      <c r="I72" s="1358"/>
    </row>
    <row r="73" spans="1:9" ht="19.5" customHeight="1">
      <c r="A73" s="1299" t="s">
        <v>1249</v>
      </c>
      <c r="B73" s="2842" t="s">
        <v>1245</v>
      </c>
      <c r="C73" s="890" t="s">
        <v>1220</v>
      </c>
      <c r="D73" s="1290" t="str">
        <f>'XM.GUI MAIL'!E95</f>
        <v>5~8</v>
      </c>
      <c r="E73" s="1290" t="str">
        <f>'XM.GUI MAIL'!F95</f>
        <v>(6±0.5)</v>
      </c>
      <c r="F73" s="1280" t="s">
        <v>1221</v>
      </c>
      <c r="G73" s="1357">
        <f>'XM.GUI MAIL'!I95</f>
        <v>5.76</v>
      </c>
      <c r="H73" s="1357">
        <f>'XM.GUI MAIL'!I95</f>
        <v>5.76</v>
      </c>
      <c r="I73" s="1357">
        <f>'XM.GUI MAIL'!W95</f>
        <v>5.7200000000000006</v>
      </c>
    </row>
    <row r="74" spans="1:9" ht="19.5" customHeight="1">
      <c r="A74" s="1299" t="s">
        <v>1249</v>
      </c>
      <c r="B74" s="2843"/>
      <c r="C74" s="890" t="s">
        <v>1222</v>
      </c>
      <c r="D74" s="1290" t="str">
        <f>'XM.GUI MAIL'!E96</f>
        <v>1.8~2.4</v>
      </c>
      <c r="E74" s="1290" t="str">
        <f>'XM.GUI MAIL'!F96</f>
        <v>(2.1±0.1)</v>
      </c>
      <c r="F74" s="1283" t="s">
        <v>1223</v>
      </c>
      <c r="G74" s="1357">
        <f>'XM.GUI MAIL'!I96</f>
        <v>2.2000000000000002</v>
      </c>
      <c r="H74" s="1357">
        <f>'XM.GUI MAIL'!I96</f>
        <v>2.2000000000000002</v>
      </c>
      <c r="I74" s="1357">
        <f>'XM.GUI MAIL'!W96</f>
        <v>2.12</v>
      </c>
    </row>
    <row r="75" spans="1:9" ht="27" customHeight="1">
      <c r="A75" s="1299" t="s">
        <v>1249</v>
      </c>
      <c r="B75" s="2843"/>
      <c r="C75" s="1287" t="s">
        <v>1214</v>
      </c>
      <c r="D75" s="1295" t="s">
        <v>1428</v>
      </c>
      <c r="E75" s="1295"/>
      <c r="F75" s="1288" t="s">
        <v>1216</v>
      </c>
      <c r="G75" s="1287"/>
      <c r="H75" s="2040"/>
      <c r="I75" s="2040"/>
    </row>
    <row r="76" spans="1:9" ht="27" customHeight="1">
      <c r="A76" s="1299" t="s">
        <v>1249</v>
      </c>
      <c r="B76" s="2843"/>
      <c r="C76" s="1287" t="s">
        <v>1217</v>
      </c>
      <c r="D76" s="1295" t="s">
        <v>1430</v>
      </c>
      <c r="E76" s="1295"/>
      <c r="F76" s="1288" t="s">
        <v>1216</v>
      </c>
      <c r="G76" s="1287"/>
      <c r="H76" s="2040"/>
      <c r="I76" s="2040"/>
    </row>
    <row r="77" spans="1:9" ht="27" customHeight="1">
      <c r="A77" s="1299" t="s">
        <v>1249</v>
      </c>
      <c r="B77" s="2843"/>
      <c r="C77" s="1287" t="s">
        <v>1225</v>
      </c>
      <c r="D77" s="1295" t="s">
        <v>1429</v>
      </c>
      <c r="E77" s="1295"/>
      <c r="F77" s="1288" t="s">
        <v>1216</v>
      </c>
      <c r="G77" s="1287"/>
      <c r="H77" s="2040"/>
      <c r="I77" s="2040"/>
    </row>
    <row r="78" spans="1:9" ht="27.75" customHeight="1">
      <c r="A78" s="1299" t="s">
        <v>1249</v>
      </c>
      <c r="B78" s="2840" t="s">
        <v>1246</v>
      </c>
      <c r="C78" s="1287" t="s">
        <v>1233</v>
      </c>
      <c r="D78" s="1298" t="s">
        <v>1236</v>
      </c>
      <c r="E78" s="1298"/>
      <c r="F78" s="1288" t="s">
        <v>1235</v>
      </c>
      <c r="G78" s="1287"/>
      <c r="H78" s="2040"/>
      <c r="I78" s="2040"/>
    </row>
    <row r="79" spans="1:9" ht="27.75" customHeight="1">
      <c r="A79" s="1299" t="s">
        <v>1249</v>
      </c>
      <c r="B79" s="2841"/>
      <c r="C79" s="1287" t="s">
        <v>1234</v>
      </c>
      <c r="D79" s="1298" t="s">
        <v>1237</v>
      </c>
      <c r="E79" s="1298"/>
      <c r="F79" s="1288" t="s">
        <v>1235</v>
      </c>
      <c r="G79" s="1287"/>
      <c r="H79" s="2040"/>
      <c r="I79" s="2040"/>
    </row>
  </sheetData>
  <mergeCells count="17">
    <mergeCell ref="B1:G1"/>
    <mergeCell ref="B4:B10"/>
    <mergeCell ref="B11:B15"/>
    <mergeCell ref="B16:B20"/>
    <mergeCell ref="B23:B29"/>
    <mergeCell ref="D3:E3"/>
    <mergeCell ref="D22:E22"/>
    <mergeCell ref="B78:B79"/>
    <mergeCell ref="B73:B77"/>
    <mergeCell ref="B68:B72"/>
    <mergeCell ref="B30:B34"/>
    <mergeCell ref="D41:E41"/>
    <mergeCell ref="B35:B39"/>
    <mergeCell ref="B42:B48"/>
    <mergeCell ref="B57:B61"/>
    <mergeCell ref="B49:B56"/>
    <mergeCell ref="B62:B66"/>
  </mergeCells>
  <phoneticPr fontId="7" type="noConversion"/>
  <pageMargins left="0.7" right="0.7" top="0.34" bottom="0.24" header="0.16" footer="0.15"/>
  <pageSetup orientation="portrait" r:id="rId1"/>
  <drawing r:id="rId2"/>
</worksheet>
</file>

<file path=xl/worksheets/sheet2.xml><?xml version="1.0" encoding="utf-8"?>
<worksheet xmlns="http://schemas.openxmlformats.org/spreadsheetml/2006/main" xmlns:r="http://schemas.openxmlformats.org/officeDocument/2006/relationships">
  <sheetPr>
    <tabColor theme="8" tint="0.39997558519241921"/>
  </sheetPr>
  <dimension ref="A1:Q58"/>
  <sheetViews>
    <sheetView topLeftCell="A43" zoomScale="70" zoomScaleNormal="70" workbookViewId="0">
      <selection activeCell="A58" sqref="A58:XFD59"/>
    </sheetView>
  </sheetViews>
  <sheetFormatPr defaultRowHeight="27.75" customHeight="1"/>
  <cols>
    <col min="1" max="1" width="25.5" style="875" customWidth="1"/>
    <col min="2" max="2" width="26.375" style="858" customWidth="1"/>
    <col min="3" max="3" width="26.375" style="859" customWidth="1"/>
    <col min="4" max="4" width="9" style="849"/>
    <col min="5" max="16" width="9" style="849" hidden="1" customWidth="1"/>
    <col min="17" max="16384" width="9" style="849"/>
  </cols>
  <sheetData>
    <row r="1" spans="1:17" ht="60.75" customHeight="1">
      <c r="A1" s="863" t="s">
        <v>318</v>
      </c>
      <c r="B1" s="847"/>
      <c r="C1" s="848"/>
    </row>
    <row r="2" spans="1:17" s="852" customFormat="1" ht="27.75" customHeight="1">
      <c r="A2" s="874" t="s">
        <v>319</v>
      </c>
      <c r="B2" s="850" t="s">
        <v>320</v>
      </c>
      <c r="C2" s="851" t="s">
        <v>325</v>
      </c>
      <c r="E2" s="853">
        <v>1</v>
      </c>
      <c r="F2" s="853" t="s">
        <v>831</v>
      </c>
      <c r="G2" s="853">
        <v>2</v>
      </c>
      <c r="H2" s="853" t="s">
        <v>831</v>
      </c>
      <c r="I2" s="853">
        <v>3</v>
      </c>
      <c r="J2" s="853" t="s">
        <v>831</v>
      </c>
      <c r="K2" s="853">
        <v>4</v>
      </c>
      <c r="L2" s="853" t="s">
        <v>831</v>
      </c>
      <c r="M2" s="853">
        <v>5</v>
      </c>
      <c r="N2" s="853" t="s">
        <v>831</v>
      </c>
      <c r="O2" s="853">
        <v>6</v>
      </c>
      <c r="P2" s="853" t="s">
        <v>831</v>
      </c>
      <c r="Q2" s="854">
        <v>1</v>
      </c>
    </row>
    <row r="3" spans="1:17" s="852" customFormat="1" ht="27.75" customHeight="1">
      <c r="A3" s="874" t="s">
        <v>343</v>
      </c>
      <c r="B3" s="850" t="s">
        <v>344</v>
      </c>
      <c r="C3" s="851" t="s">
        <v>349</v>
      </c>
    </row>
    <row r="4" spans="1:17" ht="27.75" customHeight="1">
      <c r="A4" s="869" t="s">
        <v>1671</v>
      </c>
      <c r="B4" s="855" t="s">
        <v>262</v>
      </c>
      <c r="C4" s="856">
        <v>70.416499999999999</v>
      </c>
      <c r="E4" s="849" t="b">
        <v>1</v>
      </c>
      <c r="F4" s="849" t="b">
        <v>0</v>
      </c>
      <c r="G4" s="849" t="b">
        <v>0</v>
      </c>
      <c r="H4" s="849" t="b">
        <v>0</v>
      </c>
      <c r="I4" s="849" t="b">
        <v>0</v>
      </c>
      <c r="J4" s="849" t="b">
        <v>0</v>
      </c>
      <c r="K4" s="849" t="b">
        <v>0</v>
      </c>
      <c r="L4" s="849" t="b">
        <v>0</v>
      </c>
      <c r="M4" s="849" t="b">
        <v>0</v>
      </c>
      <c r="N4" s="849" t="b">
        <v>0</v>
      </c>
      <c r="O4" s="849" t="b">
        <v>0</v>
      </c>
      <c r="P4" s="849" t="b">
        <v>0</v>
      </c>
      <c r="Q4" s="857" t="s">
        <v>1514</v>
      </c>
    </row>
    <row r="5" spans="1:17" ht="27.75" customHeight="1">
      <c r="A5" s="869" t="s">
        <v>1671</v>
      </c>
      <c r="B5" s="855" t="s">
        <v>263</v>
      </c>
      <c r="C5" s="856">
        <v>72.688000000000002</v>
      </c>
      <c r="E5" s="849" t="b">
        <v>1</v>
      </c>
      <c r="F5" s="849" t="b">
        <v>0</v>
      </c>
      <c r="G5" s="849" t="b">
        <v>0</v>
      </c>
      <c r="H5" s="849" t="b">
        <v>0</v>
      </c>
      <c r="I5" s="849" t="b">
        <v>0</v>
      </c>
      <c r="J5" s="849" t="b">
        <v>0</v>
      </c>
      <c r="K5" s="849" t="b">
        <v>0</v>
      </c>
      <c r="L5" s="849" t="b">
        <v>0</v>
      </c>
      <c r="M5" s="849" t="b">
        <v>0</v>
      </c>
      <c r="N5" s="849" t="b">
        <v>0</v>
      </c>
      <c r="O5" s="849" t="b">
        <v>0</v>
      </c>
      <c r="P5" s="849" t="b">
        <v>0</v>
      </c>
      <c r="Q5" s="857" t="s">
        <v>1514</v>
      </c>
    </row>
    <row r="6" spans="1:17" ht="27.75" customHeight="1">
      <c r="A6" s="869" t="s">
        <v>1671</v>
      </c>
      <c r="B6" s="855" t="s">
        <v>264</v>
      </c>
      <c r="C6" s="856">
        <v>62.601000000000006</v>
      </c>
      <c r="E6" s="849" t="b">
        <v>1</v>
      </c>
      <c r="F6" s="849" t="b">
        <v>0</v>
      </c>
      <c r="G6" s="849" t="b">
        <v>0</v>
      </c>
      <c r="H6" s="849" t="b">
        <v>0</v>
      </c>
      <c r="I6" s="849" t="b">
        <v>0</v>
      </c>
      <c r="J6" s="849" t="b">
        <v>0</v>
      </c>
      <c r="K6" s="849" t="b">
        <v>0</v>
      </c>
      <c r="L6" s="849" t="b">
        <v>0</v>
      </c>
      <c r="M6" s="849" t="b">
        <v>0</v>
      </c>
      <c r="N6" s="849" t="b">
        <v>0</v>
      </c>
      <c r="O6" s="849" t="b">
        <v>0</v>
      </c>
      <c r="P6" s="849" t="b">
        <v>0</v>
      </c>
      <c r="Q6" s="857" t="s">
        <v>1514</v>
      </c>
    </row>
    <row r="7" spans="1:17" ht="27.75" customHeight="1">
      <c r="A7" s="869" t="s">
        <v>1671</v>
      </c>
      <c r="B7" s="855" t="s">
        <v>265</v>
      </c>
      <c r="C7" s="856">
        <v>62.138999999999996</v>
      </c>
      <c r="E7" s="849" t="b">
        <v>1</v>
      </c>
      <c r="F7" s="849" t="b">
        <v>0</v>
      </c>
      <c r="G7" s="849" t="b">
        <v>0</v>
      </c>
      <c r="H7" s="849" t="b">
        <v>0</v>
      </c>
      <c r="I7" s="849" t="b">
        <v>0</v>
      </c>
      <c r="J7" s="849" t="b">
        <v>0</v>
      </c>
      <c r="K7" s="849" t="b">
        <v>0</v>
      </c>
      <c r="L7" s="849" t="b">
        <v>0</v>
      </c>
      <c r="M7" s="849" t="b">
        <v>0</v>
      </c>
      <c r="N7" s="849" t="b">
        <v>0</v>
      </c>
      <c r="O7" s="849" t="b">
        <v>0</v>
      </c>
      <c r="P7" s="849" t="b">
        <v>0</v>
      </c>
      <c r="Q7" s="857" t="s">
        <v>1514</v>
      </c>
    </row>
    <row r="8" spans="1:17" ht="27.75" customHeight="1">
      <c r="A8" s="869" t="s">
        <v>1671</v>
      </c>
      <c r="B8" s="855" t="s">
        <v>266</v>
      </c>
      <c r="C8" s="856">
        <v>144</v>
      </c>
      <c r="E8" s="849" t="b">
        <v>1</v>
      </c>
      <c r="F8" s="849" t="b">
        <v>0</v>
      </c>
      <c r="G8" s="849" t="b">
        <v>0</v>
      </c>
      <c r="H8" s="849" t="b">
        <v>0</v>
      </c>
      <c r="I8" s="849" t="b">
        <v>0</v>
      </c>
      <c r="J8" s="849" t="b">
        <v>0</v>
      </c>
      <c r="K8" s="849" t="b">
        <v>0</v>
      </c>
      <c r="L8" s="849" t="b">
        <v>0</v>
      </c>
      <c r="M8" s="849" t="b">
        <v>0</v>
      </c>
      <c r="N8" s="849" t="b">
        <v>0</v>
      </c>
      <c r="O8" s="849" t="b">
        <v>0</v>
      </c>
      <c r="P8" s="849" t="b">
        <v>0</v>
      </c>
      <c r="Q8" s="857" t="s">
        <v>1514</v>
      </c>
    </row>
    <row r="9" spans="1:17" ht="27.75" customHeight="1">
      <c r="A9" s="869" t="s">
        <v>1671</v>
      </c>
      <c r="B9" s="855" t="s">
        <v>267</v>
      </c>
      <c r="C9" s="856">
        <v>10.270000000000001</v>
      </c>
      <c r="E9" s="849" t="b">
        <v>1</v>
      </c>
      <c r="F9" s="849" t="b">
        <v>0</v>
      </c>
      <c r="G9" s="849" t="b">
        <v>0</v>
      </c>
      <c r="H9" s="849" t="b">
        <v>0</v>
      </c>
      <c r="I9" s="849" t="b">
        <v>0</v>
      </c>
      <c r="J9" s="849" t="b">
        <v>0</v>
      </c>
      <c r="K9" s="849" t="b">
        <v>0</v>
      </c>
      <c r="L9" s="849" t="b">
        <v>0</v>
      </c>
      <c r="M9" s="849" t="b">
        <v>0</v>
      </c>
      <c r="N9" s="849" t="b">
        <v>0</v>
      </c>
      <c r="O9" s="849" t="b">
        <v>0</v>
      </c>
      <c r="P9" s="849" t="b">
        <v>0</v>
      </c>
      <c r="Q9" s="857" t="s">
        <v>1514</v>
      </c>
    </row>
    <row r="10" spans="1:17" ht="27.75" customHeight="1">
      <c r="A10" s="869" t="s">
        <v>1671</v>
      </c>
      <c r="B10" s="855" t="s">
        <v>268</v>
      </c>
      <c r="C10" s="856">
        <v>6.2627250000000005</v>
      </c>
      <c r="E10" s="849" t="b">
        <v>1</v>
      </c>
      <c r="F10" s="849" t="b">
        <v>0</v>
      </c>
      <c r="G10" s="849" t="b">
        <v>0</v>
      </c>
      <c r="H10" s="849" t="b">
        <v>0</v>
      </c>
      <c r="I10" s="849" t="b">
        <v>0</v>
      </c>
      <c r="J10" s="849" t="b">
        <v>0</v>
      </c>
      <c r="K10" s="849" t="b">
        <v>0</v>
      </c>
      <c r="L10" s="849" t="b">
        <v>0</v>
      </c>
      <c r="M10" s="849" t="b">
        <v>0</v>
      </c>
      <c r="N10" s="849" t="b">
        <v>0</v>
      </c>
      <c r="O10" s="849" t="b">
        <v>0</v>
      </c>
      <c r="P10" s="849" t="b">
        <v>0</v>
      </c>
      <c r="Q10" s="857" t="s">
        <v>1514</v>
      </c>
    </row>
    <row r="11" spans="1:17" ht="27.75" customHeight="1">
      <c r="A11" s="869" t="s">
        <v>1671</v>
      </c>
      <c r="B11" s="855" t="s">
        <v>269</v>
      </c>
      <c r="C11" s="856">
        <v>3</v>
      </c>
      <c r="E11" s="849" t="b">
        <v>1</v>
      </c>
      <c r="F11" s="849" t="b">
        <v>0</v>
      </c>
      <c r="G11" s="849" t="b">
        <v>0</v>
      </c>
      <c r="H11" s="849" t="b">
        <v>0</v>
      </c>
      <c r="I11" s="849" t="b">
        <v>0</v>
      </c>
      <c r="J11" s="849" t="b">
        <v>0</v>
      </c>
      <c r="K11" s="849" t="b">
        <v>0</v>
      </c>
      <c r="L11" s="849" t="b">
        <v>0</v>
      </c>
      <c r="M11" s="849" t="b">
        <v>0</v>
      </c>
      <c r="N11" s="849" t="b">
        <v>0</v>
      </c>
      <c r="O11" s="849" t="b">
        <v>0</v>
      </c>
      <c r="P11" s="849" t="b">
        <v>0</v>
      </c>
      <c r="Q11" s="857" t="s">
        <v>1514</v>
      </c>
    </row>
    <row r="12" spans="1:17" ht="27.75" customHeight="1">
      <c r="A12" s="869" t="s">
        <v>1671</v>
      </c>
      <c r="B12" s="855" t="s">
        <v>270</v>
      </c>
      <c r="C12" s="856">
        <v>0.43914062500000001</v>
      </c>
      <c r="E12" s="849" t="b">
        <v>1</v>
      </c>
      <c r="F12" s="849" t="b">
        <v>0</v>
      </c>
      <c r="G12" s="849" t="b">
        <v>0</v>
      </c>
      <c r="H12" s="849" t="b">
        <v>0</v>
      </c>
      <c r="I12" s="849" t="b">
        <v>0</v>
      </c>
      <c r="J12" s="849" t="b">
        <v>0</v>
      </c>
      <c r="K12" s="849" t="b">
        <v>0</v>
      </c>
      <c r="L12" s="849" t="b">
        <v>0</v>
      </c>
      <c r="M12" s="849" t="b">
        <v>0</v>
      </c>
      <c r="N12" s="849" t="b">
        <v>0</v>
      </c>
      <c r="O12" s="849" t="b">
        <v>0</v>
      </c>
      <c r="P12" s="849" t="b">
        <v>0</v>
      </c>
      <c r="Q12" s="857" t="s">
        <v>1514</v>
      </c>
    </row>
    <row r="13" spans="1:17" ht="27.75" customHeight="1">
      <c r="A13" s="869" t="s">
        <v>1671</v>
      </c>
      <c r="B13" s="855" t="s">
        <v>273</v>
      </c>
      <c r="C13" s="856">
        <v>1.0458E-2</v>
      </c>
      <c r="E13" s="849" t="b">
        <v>1</v>
      </c>
      <c r="F13" s="849" t="b">
        <v>0</v>
      </c>
      <c r="G13" s="849" t="b">
        <v>0</v>
      </c>
      <c r="H13" s="849" t="b">
        <v>0</v>
      </c>
      <c r="I13" s="849" t="b">
        <v>0</v>
      </c>
      <c r="J13" s="849" t="b">
        <v>0</v>
      </c>
      <c r="K13" s="849" t="b">
        <v>0</v>
      </c>
      <c r="L13" s="849" t="b">
        <v>0</v>
      </c>
      <c r="M13" s="849" t="b">
        <v>0</v>
      </c>
      <c r="N13" s="849" t="b">
        <v>0</v>
      </c>
      <c r="O13" s="849" t="b">
        <v>0</v>
      </c>
      <c r="P13" s="849" t="b">
        <v>0</v>
      </c>
      <c r="Q13" s="857" t="s">
        <v>1514</v>
      </c>
    </row>
    <row r="14" spans="1:17" ht="27.75" customHeight="1">
      <c r="A14" s="869" t="s">
        <v>1671</v>
      </c>
      <c r="B14" s="855" t="s">
        <v>283</v>
      </c>
      <c r="C14" s="856">
        <v>140</v>
      </c>
      <c r="E14" s="849" t="b">
        <v>1</v>
      </c>
      <c r="F14" s="849" t="b">
        <v>0</v>
      </c>
      <c r="G14" s="849" t="b">
        <v>0</v>
      </c>
      <c r="H14" s="849" t="b">
        <v>0</v>
      </c>
      <c r="I14" s="849" t="b">
        <v>0</v>
      </c>
      <c r="J14" s="849" t="b">
        <v>0</v>
      </c>
      <c r="K14" s="849" t="b">
        <v>0</v>
      </c>
      <c r="L14" s="849" t="b">
        <v>0</v>
      </c>
      <c r="M14" s="849" t="b">
        <v>0</v>
      </c>
      <c r="N14" s="849" t="b">
        <v>0</v>
      </c>
      <c r="O14" s="849" t="b">
        <v>0</v>
      </c>
      <c r="P14" s="849" t="b">
        <v>0</v>
      </c>
      <c r="Q14" s="857" t="s">
        <v>1514</v>
      </c>
    </row>
    <row r="15" spans="1:17" ht="27.75" customHeight="1">
      <c r="A15" s="869" t="s">
        <v>1671</v>
      </c>
      <c r="B15" s="855" t="s">
        <v>284</v>
      </c>
      <c r="C15" s="856">
        <v>38</v>
      </c>
      <c r="E15" s="849" t="b">
        <v>1</v>
      </c>
      <c r="F15" s="849" t="b">
        <v>0</v>
      </c>
      <c r="G15" s="849" t="b">
        <v>0</v>
      </c>
      <c r="H15" s="849" t="b">
        <v>0</v>
      </c>
      <c r="I15" s="849" t="b">
        <v>0</v>
      </c>
      <c r="J15" s="849" t="b">
        <v>0</v>
      </c>
      <c r="K15" s="849" t="b">
        <v>0</v>
      </c>
      <c r="L15" s="849" t="b">
        <v>0</v>
      </c>
      <c r="M15" s="849" t="b">
        <v>0</v>
      </c>
      <c r="N15" s="849" t="b">
        <v>0</v>
      </c>
      <c r="O15" s="849" t="b">
        <v>0</v>
      </c>
      <c r="P15" s="849" t="b">
        <v>0</v>
      </c>
      <c r="Q15" s="857" t="s">
        <v>1514</v>
      </c>
    </row>
    <row r="16" spans="1:17" ht="27.75" customHeight="1">
      <c r="A16" s="869" t="s">
        <v>1671</v>
      </c>
      <c r="B16" s="855" t="s">
        <v>285</v>
      </c>
      <c r="C16" s="856">
        <v>47.701499999999996</v>
      </c>
      <c r="E16" s="849" t="b">
        <v>1</v>
      </c>
      <c r="F16" s="849" t="b">
        <v>0</v>
      </c>
      <c r="G16" s="849" t="b">
        <v>0</v>
      </c>
      <c r="H16" s="849" t="b">
        <v>0</v>
      </c>
      <c r="I16" s="849" t="b">
        <v>0</v>
      </c>
      <c r="J16" s="849" t="b">
        <v>0</v>
      </c>
      <c r="K16" s="849" t="b">
        <v>0</v>
      </c>
      <c r="L16" s="849" t="b">
        <v>0</v>
      </c>
      <c r="M16" s="849" t="b">
        <v>0</v>
      </c>
      <c r="N16" s="849" t="b">
        <v>0</v>
      </c>
      <c r="O16" s="849" t="b">
        <v>0</v>
      </c>
      <c r="P16" s="849" t="b">
        <v>0</v>
      </c>
      <c r="Q16" s="857" t="s">
        <v>1514</v>
      </c>
    </row>
    <row r="17" spans="1:17" ht="27.75" customHeight="1">
      <c r="A17" s="869" t="s">
        <v>1671</v>
      </c>
      <c r="B17" s="855" t="s">
        <v>286</v>
      </c>
      <c r="C17" s="856">
        <v>46.403500000000001</v>
      </c>
      <c r="E17" s="849" t="b">
        <v>1</v>
      </c>
      <c r="F17" s="849" t="b">
        <v>0</v>
      </c>
      <c r="G17" s="849" t="b">
        <v>0</v>
      </c>
      <c r="H17" s="849" t="b">
        <v>0</v>
      </c>
      <c r="I17" s="849" t="b">
        <v>0</v>
      </c>
      <c r="J17" s="849" t="b">
        <v>0</v>
      </c>
      <c r="K17" s="849" t="b">
        <v>0</v>
      </c>
      <c r="L17" s="849" t="b">
        <v>0</v>
      </c>
      <c r="M17" s="849" t="b">
        <v>0</v>
      </c>
      <c r="N17" s="849" t="b">
        <v>0</v>
      </c>
      <c r="O17" s="849" t="b">
        <v>0</v>
      </c>
      <c r="P17" s="849" t="b">
        <v>0</v>
      </c>
      <c r="Q17" s="857" t="s">
        <v>1514</v>
      </c>
    </row>
    <row r="18" spans="1:17" ht="27.75" customHeight="1">
      <c r="A18" s="869" t="s">
        <v>1671</v>
      </c>
      <c r="B18" s="855" t="s">
        <v>287</v>
      </c>
      <c r="C18" s="856">
        <v>58.443000000000005</v>
      </c>
      <c r="E18" s="849" t="b">
        <v>1</v>
      </c>
      <c r="F18" s="849" t="b">
        <v>0</v>
      </c>
      <c r="G18" s="849" t="b">
        <v>0</v>
      </c>
      <c r="H18" s="849" t="b">
        <v>0</v>
      </c>
      <c r="I18" s="849" t="b">
        <v>0</v>
      </c>
      <c r="J18" s="849" t="b">
        <v>0</v>
      </c>
      <c r="K18" s="849" t="b">
        <v>0</v>
      </c>
      <c r="L18" s="849" t="b">
        <v>0</v>
      </c>
      <c r="M18" s="849" t="b">
        <v>0</v>
      </c>
      <c r="N18" s="849" t="b">
        <v>0</v>
      </c>
      <c r="O18" s="849" t="b">
        <v>0</v>
      </c>
      <c r="P18" s="849" t="b">
        <v>0</v>
      </c>
      <c r="Q18" s="857" t="s">
        <v>1514</v>
      </c>
    </row>
    <row r="19" spans="1:17" ht="27.75" customHeight="1">
      <c r="A19" s="869" t="s">
        <v>1671</v>
      </c>
      <c r="B19" s="855" t="s">
        <v>288</v>
      </c>
      <c r="C19" s="856">
        <v>60.06</v>
      </c>
      <c r="E19" s="849" t="b">
        <v>1</v>
      </c>
      <c r="F19" s="849" t="b">
        <v>0</v>
      </c>
      <c r="G19" s="849" t="b">
        <v>0</v>
      </c>
      <c r="H19" s="849" t="b">
        <v>0</v>
      </c>
      <c r="I19" s="849" t="b">
        <v>0</v>
      </c>
      <c r="J19" s="849" t="b">
        <v>0</v>
      </c>
      <c r="K19" s="849" t="b">
        <v>0</v>
      </c>
      <c r="L19" s="849" t="b">
        <v>0</v>
      </c>
      <c r="M19" s="849" t="b">
        <v>0</v>
      </c>
      <c r="N19" s="849" t="b">
        <v>0</v>
      </c>
      <c r="O19" s="849" t="b">
        <v>0</v>
      </c>
      <c r="P19" s="849" t="b">
        <v>0</v>
      </c>
      <c r="Q19" s="857" t="s">
        <v>1514</v>
      </c>
    </row>
    <row r="20" spans="1:17" ht="27.75" customHeight="1">
      <c r="A20" s="869" t="s">
        <v>1671</v>
      </c>
      <c r="B20" s="855" t="s">
        <v>289</v>
      </c>
      <c r="C20" s="856">
        <v>138</v>
      </c>
      <c r="E20" s="849" t="b">
        <v>1</v>
      </c>
      <c r="F20" s="849" t="b">
        <v>0</v>
      </c>
      <c r="G20" s="849" t="b">
        <v>0</v>
      </c>
      <c r="H20" s="849" t="b">
        <v>0</v>
      </c>
      <c r="I20" s="849" t="b">
        <v>0</v>
      </c>
      <c r="J20" s="849" t="b">
        <v>0</v>
      </c>
      <c r="K20" s="849" t="b">
        <v>0</v>
      </c>
      <c r="L20" s="849" t="b">
        <v>0</v>
      </c>
      <c r="M20" s="849" t="b">
        <v>0</v>
      </c>
      <c r="N20" s="849" t="b">
        <v>0</v>
      </c>
      <c r="O20" s="849" t="b">
        <v>0</v>
      </c>
      <c r="P20" s="849" t="b">
        <v>0</v>
      </c>
      <c r="Q20" s="857" t="s">
        <v>1514</v>
      </c>
    </row>
    <row r="21" spans="1:17" ht="27.75" customHeight="1">
      <c r="A21" s="869" t="s">
        <v>1671</v>
      </c>
      <c r="B21" s="855" t="s">
        <v>290</v>
      </c>
      <c r="C21" s="856">
        <v>8.4500000000000011</v>
      </c>
      <c r="E21" s="849" t="b">
        <v>1</v>
      </c>
      <c r="F21" s="849" t="b">
        <v>0</v>
      </c>
      <c r="G21" s="849" t="b">
        <v>0</v>
      </c>
      <c r="H21" s="849" t="b">
        <v>0</v>
      </c>
      <c r="I21" s="849" t="b">
        <v>0</v>
      </c>
      <c r="J21" s="849" t="b">
        <v>0</v>
      </c>
      <c r="K21" s="849" t="b">
        <v>0</v>
      </c>
      <c r="L21" s="849" t="b">
        <v>0</v>
      </c>
      <c r="M21" s="849" t="b">
        <v>0</v>
      </c>
      <c r="N21" s="849" t="b">
        <v>0</v>
      </c>
      <c r="O21" s="849" t="b">
        <v>0</v>
      </c>
      <c r="P21" s="849" t="b">
        <v>0</v>
      </c>
      <c r="Q21" s="857" t="s">
        <v>1514</v>
      </c>
    </row>
    <row r="22" spans="1:17" ht="27.75" customHeight="1">
      <c r="A22" s="869" t="s">
        <v>1671</v>
      </c>
      <c r="B22" s="855" t="s">
        <v>291</v>
      </c>
      <c r="C22" s="856">
        <v>6.4957600000000006</v>
      </c>
      <c r="E22" s="849" t="b">
        <v>1</v>
      </c>
      <c r="F22" s="849" t="b">
        <v>0</v>
      </c>
      <c r="G22" s="849" t="b">
        <v>0</v>
      </c>
      <c r="H22" s="849" t="b">
        <v>0</v>
      </c>
      <c r="I22" s="849" t="b">
        <v>0</v>
      </c>
      <c r="J22" s="849" t="b">
        <v>0</v>
      </c>
      <c r="K22" s="849" t="b">
        <v>0</v>
      </c>
      <c r="L22" s="849" t="b">
        <v>0</v>
      </c>
      <c r="M22" s="849" t="b">
        <v>0</v>
      </c>
      <c r="N22" s="849" t="b">
        <v>0</v>
      </c>
      <c r="O22" s="849" t="b">
        <v>0</v>
      </c>
      <c r="P22" s="849" t="b">
        <v>0</v>
      </c>
      <c r="Q22" s="857" t="s">
        <v>1514</v>
      </c>
    </row>
    <row r="23" spans="1:17" ht="27.75" customHeight="1">
      <c r="A23" s="869" t="s">
        <v>1671</v>
      </c>
      <c r="B23" s="855" t="s">
        <v>292</v>
      </c>
      <c r="C23" s="856">
        <v>2.2000000000000002</v>
      </c>
      <c r="E23" s="849" t="b">
        <v>1</v>
      </c>
      <c r="F23" s="849" t="b">
        <v>0</v>
      </c>
      <c r="G23" s="849" t="b">
        <v>0</v>
      </c>
      <c r="H23" s="849" t="b">
        <v>0</v>
      </c>
      <c r="I23" s="849" t="b">
        <v>0</v>
      </c>
      <c r="J23" s="849" t="b">
        <v>0</v>
      </c>
      <c r="K23" s="849" t="b">
        <v>0</v>
      </c>
      <c r="L23" s="849" t="b">
        <v>0</v>
      </c>
      <c r="M23" s="849" t="b">
        <v>0</v>
      </c>
      <c r="N23" s="849" t="b">
        <v>0</v>
      </c>
      <c r="O23" s="849" t="b">
        <v>0</v>
      </c>
      <c r="P23" s="849" t="b">
        <v>0</v>
      </c>
      <c r="Q23" s="857" t="s">
        <v>1514</v>
      </c>
    </row>
    <row r="24" spans="1:17" ht="27.75" customHeight="1">
      <c r="A24" s="869" t="s">
        <v>1671</v>
      </c>
      <c r="B24" s="855" t="s">
        <v>294</v>
      </c>
      <c r="C24" s="856">
        <v>0.46993750000000001</v>
      </c>
      <c r="E24" s="849" t="b">
        <v>1</v>
      </c>
      <c r="F24" s="849" t="b">
        <v>0</v>
      </c>
      <c r="G24" s="849" t="b">
        <v>0</v>
      </c>
      <c r="H24" s="849" t="b">
        <v>0</v>
      </c>
      <c r="I24" s="849" t="b">
        <v>0</v>
      </c>
      <c r="J24" s="849" t="b">
        <v>0</v>
      </c>
      <c r="K24" s="849" t="b">
        <v>0</v>
      </c>
      <c r="L24" s="849" t="b">
        <v>0</v>
      </c>
      <c r="M24" s="849" t="b">
        <v>0</v>
      </c>
      <c r="N24" s="849" t="b">
        <v>0</v>
      </c>
      <c r="O24" s="849" t="b">
        <v>0</v>
      </c>
      <c r="P24" s="849" t="b">
        <v>0</v>
      </c>
      <c r="Q24" s="857" t="s">
        <v>1514</v>
      </c>
    </row>
    <row r="25" spans="1:17" ht="27.75" customHeight="1">
      <c r="A25" s="869" t="s">
        <v>1671</v>
      </c>
      <c r="B25" s="855" t="s">
        <v>295</v>
      </c>
      <c r="C25" s="856">
        <v>0.41062500000000002</v>
      </c>
      <c r="E25" s="849" t="b">
        <v>1</v>
      </c>
      <c r="F25" s="849" t="b">
        <v>0</v>
      </c>
      <c r="G25" s="849" t="b">
        <v>0</v>
      </c>
      <c r="H25" s="849" t="b">
        <v>0</v>
      </c>
      <c r="I25" s="849" t="b">
        <v>0</v>
      </c>
      <c r="J25" s="849" t="b">
        <v>0</v>
      </c>
      <c r="K25" s="849" t="b">
        <v>0</v>
      </c>
      <c r="L25" s="849" t="b">
        <v>0</v>
      </c>
      <c r="M25" s="849" t="b">
        <v>0</v>
      </c>
      <c r="N25" s="849" t="b">
        <v>0</v>
      </c>
      <c r="O25" s="849" t="b">
        <v>0</v>
      </c>
      <c r="P25" s="849" t="b">
        <v>0</v>
      </c>
      <c r="Q25" s="857" t="s">
        <v>1514</v>
      </c>
    </row>
    <row r="26" spans="1:17" ht="27.75" customHeight="1">
      <c r="A26" s="869" t="s">
        <v>1671</v>
      </c>
      <c r="B26" s="855" t="s">
        <v>296</v>
      </c>
      <c r="C26" s="856">
        <v>6.6779999999999999E-3</v>
      </c>
      <c r="E26" s="849" t="b">
        <v>1</v>
      </c>
      <c r="F26" s="849" t="b">
        <v>0</v>
      </c>
      <c r="G26" s="849" t="b">
        <v>0</v>
      </c>
      <c r="H26" s="849" t="b">
        <v>0</v>
      </c>
      <c r="I26" s="849" t="b">
        <v>0</v>
      </c>
      <c r="J26" s="849" t="b">
        <v>0</v>
      </c>
      <c r="K26" s="849" t="b">
        <v>0</v>
      </c>
      <c r="L26" s="849" t="b">
        <v>0</v>
      </c>
      <c r="M26" s="849" t="b">
        <v>0</v>
      </c>
      <c r="N26" s="849" t="b">
        <v>0</v>
      </c>
      <c r="O26" s="849" t="b">
        <v>0</v>
      </c>
      <c r="P26" s="849" t="b">
        <v>0</v>
      </c>
      <c r="Q26" s="857" t="s">
        <v>1514</v>
      </c>
    </row>
    <row r="27" spans="1:17" ht="27.75" customHeight="1">
      <c r="A27" s="869" t="s">
        <v>1671</v>
      </c>
      <c r="B27" s="855" t="s">
        <v>306</v>
      </c>
      <c r="C27" s="856">
        <v>42</v>
      </c>
      <c r="E27" s="849" t="b">
        <v>1</v>
      </c>
      <c r="F27" s="849" t="b">
        <v>0</v>
      </c>
      <c r="G27" s="849" t="b">
        <v>0</v>
      </c>
      <c r="H27" s="849" t="b">
        <v>0</v>
      </c>
      <c r="I27" s="849" t="b">
        <v>0</v>
      </c>
      <c r="J27" s="849" t="b">
        <v>0</v>
      </c>
      <c r="K27" s="849" t="b">
        <v>0</v>
      </c>
      <c r="L27" s="849" t="b">
        <v>0</v>
      </c>
      <c r="M27" s="849" t="b">
        <v>0</v>
      </c>
      <c r="N27" s="849" t="b">
        <v>0</v>
      </c>
      <c r="O27" s="849" t="b">
        <v>0</v>
      </c>
      <c r="P27" s="849" t="b">
        <v>0</v>
      </c>
      <c r="Q27" s="857" t="s">
        <v>1514</v>
      </c>
    </row>
    <row r="28" spans="1:17" ht="27.75" customHeight="1">
      <c r="A28" s="869" t="s">
        <v>1671</v>
      </c>
      <c r="B28" s="855" t="s">
        <v>307</v>
      </c>
      <c r="C28" s="856">
        <v>170</v>
      </c>
      <c r="E28" s="849" t="b">
        <v>1</v>
      </c>
      <c r="F28" s="849" t="b">
        <v>0</v>
      </c>
      <c r="G28" s="849" t="b">
        <v>0</v>
      </c>
      <c r="H28" s="849" t="b">
        <v>0</v>
      </c>
      <c r="I28" s="849" t="b">
        <v>0</v>
      </c>
      <c r="J28" s="849" t="b">
        <v>0</v>
      </c>
      <c r="K28" s="849" t="b">
        <v>0</v>
      </c>
      <c r="L28" s="849" t="b">
        <v>0</v>
      </c>
      <c r="M28" s="849" t="b">
        <v>0</v>
      </c>
      <c r="N28" s="849" t="b">
        <v>0</v>
      </c>
      <c r="O28" s="849" t="b">
        <v>0</v>
      </c>
      <c r="P28" s="849" t="b">
        <v>0</v>
      </c>
      <c r="Q28" s="857" t="s">
        <v>1514</v>
      </c>
    </row>
    <row r="29" spans="1:17" ht="27.75" customHeight="1">
      <c r="A29" s="869" t="s">
        <v>1671</v>
      </c>
      <c r="B29" s="855" t="s">
        <v>871</v>
      </c>
      <c r="C29" s="856">
        <v>40</v>
      </c>
      <c r="E29" s="849" t="b">
        <v>1</v>
      </c>
      <c r="F29" s="849" t="b">
        <v>0</v>
      </c>
      <c r="G29" s="849" t="b">
        <v>0</v>
      </c>
      <c r="H29" s="849" t="b">
        <v>0</v>
      </c>
      <c r="I29" s="849" t="b">
        <v>0</v>
      </c>
      <c r="J29" s="849" t="b">
        <v>0</v>
      </c>
      <c r="K29" s="849" t="b">
        <v>0</v>
      </c>
      <c r="L29" s="849" t="b">
        <v>0</v>
      </c>
      <c r="M29" s="849" t="b">
        <v>0</v>
      </c>
      <c r="N29" s="849" t="b">
        <v>0</v>
      </c>
      <c r="O29" s="849" t="b">
        <v>0</v>
      </c>
      <c r="P29" s="849" t="b">
        <v>0</v>
      </c>
      <c r="Q29" s="857" t="s">
        <v>1514</v>
      </c>
    </row>
    <row r="30" spans="1:17" ht="27.75" customHeight="1">
      <c r="A30" s="869" t="s">
        <v>1671</v>
      </c>
      <c r="B30" s="855" t="s">
        <v>870</v>
      </c>
      <c r="C30" s="856">
        <v>11.132499999999999</v>
      </c>
      <c r="E30" s="849" t="b">
        <v>1</v>
      </c>
      <c r="F30" s="849" t="b">
        <v>0</v>
      </c>
      <c r="G30" s="849" t="b">
        <v>0</v>
      </c>
      <c r="H30" s="849" t="b">
        <v>0</v>
      </c>
      <c r="I30" s="849" t="b">
        <v>0</v>
      </c>
      <c r="J30" s="849" t="b">
        <v>0</v>
      </c>
      <c r="K30" s="849" t="b">
        <v>0</v>
      </c>
      <c r="L30" s="849" t="b">
        <v>0</v>
      </c>
      <c r="M30" s="849" t="b">
        <v>0</v>
      </c>
      <c r="N30" s="849" t="b">
        <v>0</v>
      </c>
      <c r="O30" s="849" t="b">
        <v>0</v>
      </c>
      <c r="P30" s="849" t="b">
        <v>0</v>
      </c>
      <c r="Q30" s="857" t="s">
        <v>1514</v>
      </c>
    </row>
    <row r="31" spans="1:17" ht="27.75" customHeight="1">
      <c r="A31" s="869" t="s">
        <v>1671</v>
      </c>
      <c r="B31" s="855" t="s">
        <v>872</v>
      </c>
      <c r="C31" s="856">
        <v>43</v>
      </c>
      <c r="E31" s="849" t="b">
        <v>1</v>
      </c>
      <c r="F31" s="849" t="b">
        <v>0</v>
      </c>
      <c r="G31" s="849" t="b">
        <v>0</v>
      </c>
      <c r="H31" s="849" t="b">
        <v>0</v>
      </c>
      <c r="I31" s="849" t="b">
        <v>0</v>
      </c>
      <c r="J31" s="849" t="b">
        <v>0</v>
      </c>
      <c r="K31" s="849" t="b">
        <v>0</v>
      </c>
      <c r="L31" s="849" t="b">
        <v>0</v>
      </c>
      <c r="M31" s="849" t="b">
        <v>0</v>
      </c>
      <c r="N31" s="849" t="b">
        <v>0</v>
      </c>
      <c r="O31" s="849" t="b">
        <v>0</v>
      </c>
      <c r="P31" s="849" t="b">
        <v>0</v>
      </c>
      <c r="Q31" s="857" t="s">
        <v>1514</v>
      </c>
    </row>
    <row r="32" spans="1:17" ht="27.75" customHeight="1">
      <c r="A32" s="869" t="s">
        <v>1671</v>
      </c>
      <c r="B32" s="855" t="s">
        <v>873</v>
      </c>
      <c r="C32" s="856">
        <v>8.6</v>
      </c>
      <c r="E32" s="849" t="b">
        <v>1</v>
      </c>
      <c r="F32" s="849" t="b">
        <v>0</v>
      </c>
      <c r="G32" s="849" t="b">
        <v>0</v>
      </c>
      <c r="H32" s="849" t="b">
        <v>0</v>
      </c>
      <c r="I32" s="849" t="b">
        <v>0</v>
      </c>
      <c r="J32" s="849" t="b">
        <v>0</v>
      </c>
      <c r="K32" s="849" t="b">
        <v>0</v>
      </c>
      <c r="L32" s="849" t="b">
        <v>0</v>
      </c>
      <c r="M32" s="849" t="b">
        <v>0</v>
      </c>
      <c r="N32" s="849" t="b">
        <v>0</v>
      </c>
      <c r="O32" s="849" t="b">
        <v>0</v>
      </c>
      <c r="P32" s="849" t="b">
        <v>0</v>
      </c>
      <c r="Q32" s="857" t="s">
        <v>1514</v>
      </c>
    </row>
    <row r="33" spans="1:17" ht="27.75" customHeight="1">
      <c r="A33" s="869" t="s">
        <v>1671</v>
      </c>
      <c r="B33" s="855" t="s">
        <v>874</v>
      </c>
      <c r="C33" s="856">
        <v>0.1</v>
      </c>
      <c r="E33" s="849" t="b">
        <v>1</v>
      </c>
      <c r="F33" s="849" t="b">
        <v>0</v>
      </c>
      <c r="G33" s="849" t="b">
        <v>0</v>
      </c>
      <c r="H33" s="849" t="b">
        <v>0</v>
      </c>
      <c r="I33" s="849" t="b">
        <v>0</v>
      </c>
      <c r="J33" s="849" t="b">
        <v>0</v>
      </c>
      <c r="K33" s="849" t="b">
        <v>0</v>
      </c>
      <c r="L33" s="849" t="b">
        <v>0</v>
      </c>
      <c r="M33" s="849" t="b">
        <v>0</v>
      </c>
      <c r="N33" s="849" t="b">
        <v>0</v>
      </c>
      <c r="O33" s="849" t="b">
        <v>0</v>
      </c>
      <c r="P33" s="849" t="b">
        <v>0</v>
      </c>
      <c r="Q33" s="857" t="s">
        <v>1514</v>
      </c>
    </row>
    <row r="34" spans="1:17" ht="27.75" customHeight="1">
      <c r="A34" s="869" t="s">
        <v>1671</v>
      </c>
      <c r="B34" s="855" t="s">
        <v>875</v>
      </c>
      <c r="C34" s="856">
        <v>0.95</v>
      </c>
      <c r="E34" s="849" t="b">
        <v>1</v>
      </c>
      <c r="F34" s="849" t="b">
        <v>0</v>
      </c>
      <c r="G34" s="849" t="b">
        <v>0</v>
      </c>
      <c r="H34" s="849" t="b">
        <v>0</v>
      </c>
      <c r="I34" s="849" t="b">
        <v>0</v>
      </c>
      <c r="J34" s="849" t="b">
        <v>0</v>
      </c>
      <c r="K34" s="849" t="b">
        <v>0</v>
      </c>
      <c r="L34" s="849" t="b">
        <v>0</v>
      </c>
      <c r="M34" s="849" t="b">
        <v>0</v>
      </c>
      <c r="N34" s="849" t="b">
        <v>0</v>
      </c>
      <c r="O34" s="849" t="b">
        <v>0</v>
      </c>
      <c r="P34" s="849" t="b">
        <v>0</v>
      </c>
      <c r="Q34" s="857" t="s">
        <v>1514</v>
      </c>
    </row>
    <row r="35" spans="1:17" ht="27.75" customHeight="1">
      <c r="A35" s="869" t="s">
        <v>1671</v>
      </c>
      <c r="B35" s="855" t="s">
        <v>876</v>
      </c>
      <c r="C35" s="856">
        <v>10</v>
      </c>
      <c r="E35" s="849" t="b">
        <v>1</v>
      </c>
      <c r="F35" s="849" t="b">
        <v>0</v>
      </c>
      <c r="G35" s="849" t="b">
        <v>0</v>
      </c>
      <c r="H35" s="849" t="b">
        <v>0</v>
      </c>
      <c r="I35" s="849" t="b">
        <v>0</v>
      </c>
      <c r="J35" s="849" t="b">
        <v>0</v>
      </c>
      <c r="K35" s="849" t="b">
        <v>0</v>
      </c>
      <c r="L35" s="849" t="b">
        <v>0</v>
      </c>
      <c r="M35" s="849" t="b">
        <v>0</v>
      </c>
      <c r="N35" s="849" t="b">
        <v>0</v>
      </c>
      <c r="O35" s="849" t="b">
        <v>0</v>
      </c>
      <c r="P35" s="849" t="b">
        <v>0</v>
      </c>
      <c r="Q35" s="857" t="s">
        <v>1514</v>
      </c>
    </row>
    <row r="36" spans="1:17" ht="27.75" customHeight="1">
      <c r="A36" s="869" t="s">
        <v>1671</v>
      </c>
      <c r="B36" s="855" t="s">
        <v>473</v>
      </c>
      <c r="C36" s="856">
        <v>15.4</v>
      </c>
      <c r="E36" s="849" t="b">
        <v>1</v>
      </c>
      <c r="F36" s="849" t="b">
        <v>0</v>
      </c>
      <c r="G36" s="849" t="b">
        <v>0</v>
      </c>
      <c r="H36" s="849" t="b">
        <v>0</v>
      </c>
      <c r="I36" s="849" t="b">
        <v>0</v>
      </c>
      <c r="J36" s="849" t="b">
        <v>0</v>
      </c>
      <c r="K36" s="849" t="b">
        <v>0</v>
      </c>
      <c r="L36" s="849" t="b">
        <v>0</v>
      </c>
      <c r="M36" s="849" t="b">
        <v>0</v>
      </c>
      <c r="N36" s="849" t="b">
        <v>0</v>
      </c>
      <c r="O36" s="849" t="b">
        <v>0</v>
      </c>
      <c r="P36" s="849" t="b">
        <v>0</v>
      </c>
      <c r="Q36" s="857" t="s">
        <v>1514</v>
      </c>
    </row>
    <row r="37" spans="1:17" ht="27.75" customHeight="1">
      <c r="A37" s="869" t="s">
        <v>1671</v>
      </c>
      <c r="B37" s="855" t="s">
        <v>477</v>
      </c>
      <c r="C37" s="856">
        <v>46.079000000000001</v>
      </c>
      <c r="E37" s="849" t="b">
        <v>1</v>
      </c>
      <c r="F37" s="849" t="b">
        <v>0</v>
      </c>
      <c r="G37" s="849" t="b">
        <v>0</v>
      </c>
      <c r="H37" s="849" t="b">
        <v>0</v>
      </c>
      <c r="I37" s="849" t="b">
        <v>0</v>
      </c>
      <c r="J37" s="849" t="b">
        <v>0</v>
      </c>
      <c r="K37" s="849" t="b">
        <v>0</v>
      </c>
      <c r="L37" s="849" t="b">
        <v>0</v>
      </c>
      <c r="M37" s="849" t="b">
        <v>0</v>
      </c>
      <c r="N37" s="849" t="b">
        <v>0</v>
      </c>
      <c r="O37" s="849" t="b">
        <v>0</v>
      </c>
      <c r="P37" s="849" t="b">
        <v>0</v>
      </c>
      <c r="Q37" s="857" t="s">
        <v>1514</v>
      </c>
    </row>
    <row r="38" spans="1:17" ht="27.75" customHeight="1">
      <c r="A38" s="869" t="s">
        <v>1671</v>
      </c>
      <c r="B38" s="855" t="s">
        <v>479</v>
      </c>
      <c r="C38" s="856">
        <v>53.867000000000004</v>
      </c>
      <c r="E38" s="849" t="b">
        <v>1</v>
      </c>
      <c r="F38" s="849" t="b">
        <v>0</v>
      </c>
      <c r="G38" s="849" t="b">
        <v>0</v>
      </c>
      <c r="H38" s="849" t="b">
        <v>0</v>
      </c>
      <c r="I38" s="849" t="b">
        <v>0</v>
      </c>
      <c r="J38" s="849" t="b">
        <v>0</v>
      </c>
      <c r="K38" s="849" t="b">
        <v>0</v>
      </c>
      <c r="L38" s="849" t="b">
        <v>0</v>
      </c>
      <c r="M38" s="849" t="b">
        <v>0</v>
      </c>
      <c r="N38" s="849" t="b">
        <v>0</v>
      </c>
      <c r="O38" s="849" t="b">
        <v>0</v>
      </c>
      <c r="P38" s="849" t="b">
        <v>0</v>
      </c>
      <c r="Q38" s="857" t="s">
        <v>1514</v>
      </c>
    </row>
    <row r="39" spans="1:17" ht="27.75" customHeight="1">
      <c r="A39" s="869" t="s">
        <v>1671</v>
      </c>
      <c r="B39" s="855" t="s">
        <v>483</v>
      </c>
      <c r="C39" s="856">
        <v>1.1399999999999999</v>
      </c>
      <c r="E39" s="849" t="b">
        <v>1</v>
      </c>
      <c r="F39" s="849" t="b">
        <v>0</v>
      </c>
      <c r="G39" s="849" t="b">
        <v>0</v>
      </c>
      <c r="H39" s="849" t="b">
        <v>0</v>
      </c>
      <c r="I39" s="849" t="b">
        <v>0</v>
      </c>
      <c r="J39" s="849" t="b">
        <v>0</v>
      </c>
      <c r="K39" s="849" t="b">
        <v>0</v>
      </c>
      <c r="L39" s="849" t="b">
        <v>0</v>
      </c>
      <c r="M39" s="849" t="b">
        <v>0</v>
      </c>
      <c r="N39" s="849" t="b">
        <v>0</v>
      </c>
      <c r="O39" s="849" t="b">
        <v>0</v>
      </c>
      <c r="P39" s="849" t="b">
        <v>0</v>
      </c>
      <c r="Q39" s="857" t="s">
        <v>1514</v>
      </c>
    </row>
    <row r="40" spans="1:17" ht="27.75" customHeight="1">
      <c r="A40" s="869" t="s">
        <v>1671</v>
      </c>
      <c r="B40" s="855" t="s">
        <v>486</v>
      </c>
      <c r="C40" s="856">
        <v>23.5</v>
      </c>
      <c r="E40" s="849" t="b">
        <v>1</v>
      </c>
      <c r="F40" s="849" t="b">
        <v>0</v>
      </c>
      <c r="G40" s="849" t="b">
        <v>0</v>
      </c>
      <c r="H40" s="849" t="b">
        <v>0</v>
      </c>
      <c r="I40" s="849" t="b">
        <v>0</v>
      </c>
      <c r="J40" s="849" t="b">
        <v>0</v>
      </c>
      <c r="K40" s="849" t="b">
        <v>0</v>
      </c>
      <c r="L40" s="849" t="b">
        <v>0</v>
      </c>
      <c r="M40" s="849" t="b">
        <v>0</v>
      </c>
      <c r="N40" s="849" t="b">
        <v>0</v>
      </c>
      <c r="O40" s="849" t="b">
        <v>0</v>
      </c>
      <c r="P40" s="849" t="b">
        <v>0</v>
      </c>
      <c r="Q40" s="857" t="s">
        <v>1514</v>
      </c>
    </row>
    <row r="41" spans="1:17" ht="27.75" customHeight="1">
      <c r="A41" s="869" t="s">
        <v>1671</v>
      </c>
      <c r="B41" s="855" t="s">
        <v>489</v>
      </c>
      <c r="C41" s="856">
        <v>8.3000000000000007</v>
      </c>
      <c r="E41" s="849" t="b">
        <v>1</v>
      </c>
      <c r="F41" s="849" t="b">
        <v>0</v>
      </c>
      <c r="G41" s="849" t="b">
        <v>0</v>
      </c>
      <c r="H41" s="849" t="b">
        <v>0</v>
      </c>
      <c r="I41" s="849" t="b">
        <v>0</v>
      </c>
      <c r="J41" s="849" t="b">
        <v>0</v>
      </c>
      <c r="K41" s="849" t="b">
        <v>0</v>
      </c>
      <c r="L41" s="849" t="b">
        <v>0</v>
      </c>
      <c r="M41" s="849" t="b">
        <v>0</v>
      </c>
      <c r="N41" s="849" t="b">
        <v>0</v>
      </c>
      <c r="O41" s="849" t="b">
        <v>0</v>
      </c>
      <c r="P41" s="849" t="b">
        <v>0</v>
      </c>
      <c r="Q41" s="857" t="s">
        <v>1514</v>
      </c>
    </row>
    <row r="42" spans="1:17" ht="27.75" customHeight="1">
      <c r="A42" s="869" t="s">
        <v>1671</v>
      </c>
      <c r="B42" s="855" t="s">
        <v>492</v>
      </c>
      <c r="C42" s="856">
        <v>7.3</v>
      </c>
      <c r="E42" s="849" t="b">
        <v>1</v>
      </c>
      <c r="F42" s="849" t="b">
        <v>0</v>
      </c>
      <c r="G42" s="849" t="b">
        <v>0</v>
      </c>
      <c r="H42" s="849" t="b">
        <v>0</v>
      </c>
      <c r="I42" s="849" t="b">
        <v>0</v>
      </c>
      <c r="J42" s="849" t="b">
        <v>0</v>
      </c>
      <c r="K42" s="849" t="b">
        <v>0</v>
      </c>
      <c r="L42" s="849" t="b">
        <v>0</v>
      </c>
      <c r="M42" s="849" t="b">
        <v>0</v>
      </c>
      <c r="N42" s="849" t="b">
        <v>0</v>
      </c>
      <c r="O42" s="849" t="b">
        <v>0</v>
      </c>
      <c r="P42" s="849" t="b">
        <v>0</v>
      </c>
      <c r="Q42" s="857" t="s">
        <v>1514</v>
      </c>
    </row>
    <row r="43" spans="1:17" ht="27.75" customHeight="1">
      <c r="A43" s="869" t="s">
        <v>1671</v>
      </c>
      <c r="B43" s="876" t="s">
        <v>495</v>
      </c>
      <c r="C43" s="877">
        <v>5.4</v>
      </c>
      <c r="D43" s="878"/>
      <c r="E43" s="878" t="b">
        <v>1</v>
      </c>
      <c r="F43" s="878" t="b">
        <v>0</v>
      </c>
      <c r="G43" s="878" t="b">
        <v>0</v>
      </c>
      <c r="H43" s="878" t="b">
        <v>0</v>
      </c>
      <c r="I43" s="878" t="b">
        <v>0</v>
      </c>
      <c r="J43" s="878" t="b">
        <v>0</v>
      </c>
      <c r="K43" s="878" t="b">
        <v>0</v>
      </c>
      <c r="L43" s="878" t="b">
        <v>0</v>
      </c>
      <c r="M43" s="878" t="b">
        <v>0</v>
      </c>
      <c r="N43" s="878" t="b">
        <v>0</v>
      </c>
      <c r="O43" s="878" t="b">
        <v>0</v>
      </c>
      <c r="P43" s="878" t="b">
        <v>0</v>
      </c>
      <c r="Q43" s="876" t="s">
        <v>1514</v>
      </c>
    </row>
    <row r="44" spans="1:17" ht="27.75" customHeight="1">
      <c r="A44" s="869" t="s">
        <v>1671</v>
      </c>
      <c r="B44" s="876" t="s">
        <v>500</v>
      </c>
      <c r="C44" s="877">
        <v>15.457983884229568</v>
      </c>
      <c r="D44" s="878"/>
      <c r="E44" s="878" t="b">
        <v>1</v>
      </c>
      <c r="F44" s="878" t="b">
        <v>0</v>
      </c>
      <c r="G44" s="878" t="b">
        <v>0</v>
      </c>
      <c r="H44" s="878" t="b">
        <v>0</v>
      </c>
      <c r="I44" s="878" t="b">
        <v>0</v>
      </c>
      <c r="J44" s="878" t="b">
        <v>0</v>
      </c>
      <c r="K44" s="878" t="b">
        <v>0</v>
      </c>
      <c r="L44" s="878" t="b">
        <v>0</v>
      </c>
      <c r="M44" s="878" t="b">
        <v>0</v>
      </c>
      <c r="N44" s="878" t="b">
        <v>0</v>
      </c>
      <c r="O44" s="878" t="b">
        <v>0</v>
      </c>
      <c r="P44" s="878" t="b">
        <v>0</v>
      </c>
      <c r="Q44" s="876" t="s">
        <v>1514</v>
      </c>
    </row>
    <row r="45" spans="1:17" ht="27.75" customHeight="1">
      <c r="A45" s="869" t="s">
        <v>1671</v>
      </c>
      <c r="B45" s="876" t="s">
        <v>504</v>
      </c>
      <c r="C45" s="877">
        <v>0.84937712344280936</v>
      </c>
      <c r="D45" s="878"/>
      <c r="E45" s="878" t="b">
        <v>1</v>
      </c>
      <c r="F45" s="879" t="b">
        <v>0</v>
      </c>
      <c r="G45" s="878" t="b">
        <v>0</v>
      </c>
      <c r="H45" s="878" t="b">
        <v>0</v>
      </c>
      <c r="I45" s="878" t="b">
        <v>0</v>
      </c>
      <c r="J45" s="878" t="b">
        <v>0</v>
      </c>
      <c r="K45" s="878" t="b">
        <v>0</v>
      </c>
      <c r="L45" s="878" t="b">
        <v>0</v>
      </c>
      <c r="M45" s="878" t="b">
        <v>0</v>
      </c>
      <c r="N45" s="878" t="b">
        <v>0</v>
      </c>
      <c r="O45" s="878" t="b">
        <v>0</v>
      </c>
      <c r="P45" s="878" t="b">
        <v>0</v>
      </c>
      <c r="Q45" s="876" t="s">
        <v>1514</v>
      </c>
    </row>
    <row r="46" spans="1:17" ht="27.75" customHeight="1">
      <c r="A46" s="869" t="s">
        <v>1671</v>
      </c>
      <c r="B46" s="876" t="s">
        <v>505</v>
      </c>
      <c r="C46" s="877">
        <v>0.50395968322534201</v>
      </c>
      <c r="D46" s="878"/>
      <c r="E46" s="878" t="b">
        <v>1</v>
      </c>
      <c r="F46" s="879" t="b">
        <v>0</v>
      </c>
      <c r="G46" s="878" t="b">
        <v>0</v>
      </c>
      <c r="H46" s="878" t="b">
        <v>0</v>
      </c>
      <c r="I46" s="878" t="b">
        <v>0</v>
      </c>
      <c r="J46" s="878" t="b">
        <v>0</v>
      </c>
      <c r="K46" s="878" t="b">
        <v>0</v>
      </c>
      <c r="L46" s="878" t="b">
        <v>0</v>
      </c>
      <c r="M46" s="878" t="b">
        <v>0</v>
      </c>
      <c r="N46" s="878" t="b">
        <v>0</v>
      </c>
      <c r="O46" s="878" t="b">
        <v>0</v>
      </c>
      <c r="P46" s="878" t="b">
        <v>0</v>
      </c>
      <c r="Q46" s="876" t="s">
        <v>1514</v>
      </c>
    </row>
    <row r="47" spans="1:17" ht="27.75" customHeight="1">
      <c r="A47" s="869" t="s">
        <v>1671</v>
      </c>
      <c r="B47" s="855" t="s">
        <v>527</v>
      </c>
      <c r="C47" s="856">
        <v>24.016000000000002</v>
      </c>
      <c r="E47" s="849" t="b">
        <v>1</v>
      </c>
      <c r="F47" s="849" t="b">
        <v>0</v>
      </c>
      <c r="G47" s="849" t="b">
        <v>0</v>
      </c>
      <c r="H47" s="849" t="b">
        <v>0</v>
      </c>
      <c r="I47" s="849" t="b">
        <v>0</v>
      </c>
      <c r="J47" s="849" t="b">
        <v>0</v>
      </c>
      <c r="K47" s="849" t="b">
        <v>0</v>
      </c>
      <c r="L47" s="849" t="b">
        <v>0</v>
      </c>
      <c r="M47" s="849" t="b">
        <v>0</v>
      </c>
      <c r="N47" s="849" t="b">
        <v>0</v>
      </c>
      <c r="O47" s="849" t="b">
        <v>0</v>
      </c>
      <c r="P47" s="849" t="b">
        <v>0</v>
      </c>
      <c r="Q47" s="857" t="s">
        <v>1514</v>
      </c>
    </row>
    <row r="48" spans="1:17" ht="27.75" customHeight="1">
      <c r="A48" s="869" t="s">
        <v>1671</v>
      </c>
      <c r="B48" s="855" t="s">
        <v>531</v>
      </c>
      <c r="C48" s="856">
        <v>25.596000000000004</v>
      </c>
      <c r="E48" s="849" t="b">
        <v>1</v>
      </c>
      <c r="F48" s="849" t="b">
        <v>0</v>
      </c>
      <c r="G48" s="849" t="b">
        <v>0</v>
      </c>
      <c r="H48" s="849" t="b">
        <v>0</v>
      </c>
      <c r="I48" s="849" t="b">
        <v>0</v>
      </c>
      <c r="J48" s="849" t="b">
        <v>0</v>
      </c>
      <c r="K48" s="849" t="b">
        <v>0</v>
      </c>
      <c r="L48" s="849" t="b">
        <v>0</v>
      </c>
      <c r="M48" s="849" t="b">
        <v>0</v>
      </c>
      <c r="N48" s="849" t="b">
        <v>0</v>
      </c>
      <c r="O48" s="849" t="b">
        <v>0</v>
      </c>
      <c r="P48" s="849" t="b">
        <v>0</v>
      </c>
      <c r="Q48" s="857" t="s">
        <v>1514</v>
      </c>
    </row>
    <row r="49" spans="1:17" ht="27.75" customHeight="1">
      <c r="A49" s="869" t="s">
        <v>1671</v>
      </c>
      <c r="B49" s="855" t="s">
        <v>533</v>
      </c>
      <c r="C49" s="856">
        <v>234.72000000000003</v>
      </c>
      <c r="E49" s="849" t="b">
        <v>1</v>
      </c>
      <c r="F49" s="849" t="b">
        <v>0</v>
      </c>
      <c r="G49" s="849" t="b">
        <v>0</v>
      </c>
      <c r="H49" s="849" t="b">
        <v>0</v>
      </c>
      <c r="I49" s="849" t="b">
        <v>0</v>
      </c>
      <c r="J49" s="849" t="b">
        <v>0</v>
      </c>
      <c r="K49" s="849" t="b">
        <v>0</v>
      </c>
      <c r="L49" s="849" t="b">
        <v>0</v>
      </c>
      <c r="M49" s="849" t="b">
        <v>0</v>
      </c>
      <c r="N49" s="849" t="b">
        <v>0</v>
      </c>
      <c r="O49" s="849" t="b">
        <v>0</v>
      </c>
      <c r="P49" s="849" t="b">
        <v>0</v>
      </c>
      <c r="Q49" s="857" t="s">
        <v>1514</v>
      </c>
    </row>
    <row r="50" spans="1:17" ht="27.75" customHeight="1">
      <c r="A50" s="869" t="s">
        <v>1671</v>
      </c>
      <c r="B50" s="855" t="s">
        <v>536</v>
      </c>
      <c r="C50" s="856">
        <v>125</v>
      </c>
      <c r="E50" s="849" t="b">
        <v>1</v>
      </c>
      <c r="F50" s="849" t="b">
        <v>0</v>
      </c>
      <c r="G50" s="849" t="b">
        <v>0</v>
      </c>
      <c r="H50" s="849" t="b">
        <v>0</v>
      </c>
      <c r="I50" s="849" t="b">
        <v>0</v>
      </c>
      <c r="J50" s="849" t="b">
        <v>0</v>
      </c>
      <c r="K50" s="849" t="b">
        <v>0</v>
      </c>
      <c r="L50" s="849" t="b">
        <v>0</v>
      </c>
      <c r="M50" s="849" t="b">
        <v>0</v>
      </c>
      <c r="N50" s="849" t="b">
        <v>0</v>
      </c>
      <c r="O50" s="849" t="b">
        <v>0</v>
      </c>
      <c r="P50" s="849" t="b">
        <v>0</v>
      </c>
      <c r="Q50" s="857" t="s">
        <v>1514</v>
      </c>
    </row>
    <row r="51" spans="1:17" ht="27.75" customHeight="1">
      <c r="A51" s="869" t="s">
        <v>1671</v>
      </c>
      <c r="B51" s="855" t="s">
        <v>538</v>
      </c>
      <c r="C51" s="856">
        <v>1.1250000000000004</v>
      </c>
      <c r="E51" s="849" t="b">
        <v>1</v>
      </c>
      <c r="F51" s="849" t="b">
        <v>0</v>
      </c>
      <c r="G51" s="849" t="b">
        <v>0</v>
      </c>
      <c r="H51" s="849" t="b">
        <v>0</v>
      </c>
      <c r="I51" s="849" t="b">
        <v>0</v>
      </c>
      <c r="J51" s="849" t="b">
        <v>0</v>
      </c>
      <c r="K51" s="849" t="b">
        <v>0</v>
      </c>
      <c r="L51" s="849" t="b">
        <v>0</v>
      </c>
      <c r="M51" s="849" t="b">
        <v>0</v>
      </c>
      <c r="N51" s="849" t="b">
        <v>0</v>
      </c>
      <c r="O51" s="849" t="b">
        <v>0</v>
      </c>
      <c r="P51" s="849" t="b">
        <v>0</v>
      </c>
      <c r="Q51" s="857" t="s">
        <v>1514</v>
      </c>
    </row>
    <row r="52" spans="1:17" ht="27.75" customHeight="1">
      <c r="A52" s="869" t="s">
        <v>1671</v>
      </c>
      <c r="B52" s="855" t="s">
        <v>540</v>
      </c>
      <c r="C52" s="856">
        <v>126.25</v>
      </c>
      <c r="E52" s="849" t="b">
        <v>1</v>
      </c>
      <c r="F52" s="849" t="b">
        <v>0</v>
      </c>
      <c r="G52" s="849" t="b">
        <v>0</v>
      </c>
      <c r="H52" s="849" t="b">
        <v>0</v>
      </c>
      <c r="I52" s="849" t="b">
        <v>0</v>
      </c>
      <c r="J52" s="849" t="b">
        <v>0</v>
      </c>
      <c r="K52" s="849" t="b">
        <v>0</v>
      </c>
      <c r="L52" s="849" t="b">
        <v>0</v>
      </c>
      <c r="M52" s="849" t="b">
        <v>0</v>
      </c>
      <c r="N52" s="849" t="b">
        <v>0</v>
      </c>
      <c r="O52" s="849" t="b">
        <v>0</v>
      </c>
      <c r="P52" s="849" t="b">
        <v>0</v>
      </c>
      <c r="Q52" s="857" t="s">
        <v>1514</v>
      </c>
    </row>
    <row r="53" spans="1:17" ht="27.75" customHeight="1">
      <c r="A53" s="869" t="s">
        <v>1671</v>
      </c>
      <c r="B53" s="855" t="s">
        <v>541</v>
      </c>
      <c r="C53" s="856">
        <v>1.25</v>
      </c>
      <c r="E53" s="849" t="b">
        <v>1</v>
      </c>
      <c r="F53" s="849" t="b">
        <v>0</v>
      </c>
      <c r="G53" s="849" t="b">
        <v>0</v>
      </c>
      <c r="H53" s="849" t="b">
        <v>0</v>
      </c>
      <c r="I53" s="849" t="b">
        <v>0</v>
      </c>
      <c r="J53" s="849" t="b">
        <v>0</v>
      </c>
      <c r="K53" s="849" t="b">
        <v>0</v>
      </c>
      <c r="L53" s="849" t="b">
        <v>0</v>
      </c>
      <c r="M53" s="849" t="b">
        <v>0</v>
      </c>
      <c r="N53" s="849" t="b">
        <v>0</v>
      </c>
      <c r="O53" s="849" t="b">
        <v>0</v>
      </c>
      <c r="P53" s="849" t="b">
        <v>0</v>
      </c>
      <c r="Q53" s="857" t="s">
        <v>1514</v>
      </c>
    </row>
    <row r="54" spans="1:17" ht="27.75" customHeight="1">
      <c r="A54" s="869" t="s">
        <v>1671</v>
      </c>
      <c r="B54" s="855" t="s">
        <v>542</v>
      </c>
      <c r="C54" s="856">
        <v>123.75</v>
      </c>
      <c r="E54" s="849" t="b">
        <v>1</v>
      </c>
      <c r="F54" s="849" t="b">
        <v>0</v>
      </c>
      <c r="G54" s="849" t="b">
        <v>0</v>
      </c>
      <c r="H54" s="849" t="b">
        <v>0</v>
      </c>
      <c r="I54" s="849" t="b">
        <v>0</v>
      </c>
      <c r="J54" s="849" t="b">
        <v>0</v>
      </c>
      <c r="K54" s="849" t="b">
        <v>0</v>
      </c>
      <c r="L54" s="849" t="b">
        <v>0</v>
      </c>
      <c r="M54" s="849" t="b">
        <v>0</v>
      </c>
      <c r="N54" s="849" t="b">
        <v>0</v>
      </c>
      <c r="O54" s="849" t="b">
        <v>0</v>
      </c>
      <c r="P54" s="849" t="b">
        <v>0</v>
      </c>
      <c r="Q54" s="857" t="s">
        <v>1514</v>
      </c>
    </row>
    <row r="55" spans="1:17" ht="27.75" customHeight="1">
      <c r="A55" s="869" t="s">
        <v>1671</v>
      </c>
      <c r="B55" s="855" t="s">
        <v>543</v>
      </c>
      <c r="C55" s="856">
        <v>0.74999999999999956</v>
      </c>
      <c r="E55" s="849" t="b">
        <v>1</v>
      </c>
      <c r="F55" s="849" t="b">
        <v>0</v>
      </c>
      <c r="G55" s="849" t="b">
        <v>0</v>
      </c>
      <c r="H55" s="849" t="b">
        <v>0</v>
      </c>
      <c r="I55" s="849" t="b">
        <v>0</v>
      </c>
      <c r="J55" s="849" t="b">
        <v>0</v>
      </c>
      <c r="K55" s="849" t="b">
        <v>0</v>
      </c>
      <c r="L55" s="849" t="b">
        <v>0</v>
      </c>
      <c r="M55" s="849" t="b">
        <v>0</v>
      </c>
      <c r="N55" s="849" t="b">
        <v>0</v>
      </c>
      <c r="O55" s="849" t="b">
        <v>0</v>
      </c>
      <c r="P55" s="849" t="b">
        <v>0</v>
      </c>
      <c r="Q55" s="857" t="s">
        <v>1514</v>
      </c>
    </row>
    <row r="56" spans="1:17" ht="27.75" customHeight="1">
      <c r="A56" s="869" t="s">
        <v>1671</v>
      </c>
      <c r="B56" s="855" t="s">
        <v>544</v>
      </c>
      <c r="C56" s="856">
        <v>11.232000000000001</v>
      </c>
      <c r="E56" s="849" t="b">
        <v>1</v>
      </c>
      <c r="F56" s="849" t="b">
        <v>0</v>
      </c>
      <c r="G56" s="849" t="b">
        <v>0</v>
      </c>
      <c r="H56" s="849" t="b">
        <v>0</v>
      </c>
      <c r="I56" s="849" t="b">
        <v>0</v>
      </c>
      <c r="J56" s="849" t="b">
        <v>0</v>
      </c>
      <c r="K56" s="849" t="b">
        <v>0</v>
      </c>
      <c r="L56" s="849" t="b">
        <v>0</v>
      </c>
      <c r="M56" s="849" t="b">
        <v>0</v>
      </c>
      <c r="N56" s="849" t="b">
        <v>0</v>
      </c>
      <c r="O56" s="849" t="b">
        <v>0</v>
      </c>
      <c r="P56" s="849" t="b">
        <v>0</v>
      </c>
      <c r="Q56" s="857" t="s">
        <v>1514</v>
      </c>
    </row>
    <row r="57" spans="1:17" ht="27.75" customHeight="1">
      <c r="A57" s="869" t="s">
        <v>1671</v>
      </c>
      <c r="B57" s="855" t="s">
        <v>547</v>
      </c>
      <c r="C57" s="856">
        <v>6.6</v>
      </c>
      <c r="E57" s="849" t="b">
        <v>1</v>
      </c>
      <c r="F57" s="849" t="b">
        <v>0</v>
      </c>
      <c r="G57" s="849" t="b">
        <v>0</v>
      </c>
      <c r="H57" s="849" t="b">
        <v>0</v>
      </c>
      <c r="I57" s="849" t="b">
        <v>0</v>
      </c>
      <c r="J57" s="849" t="b">
        <v>0</v>
      </c>
      <c r="K57" s="849" t="b">
        <v>0</v>
      </c>
      <c r="L57" s="849" t="b">
        <v>0</v>
      </c>
      <c r="M57" s="849" t="b">
        <v>0</v>
      </c>
      <c r="N57" s="849" t="b">
        <v>0</v>
      </c>
      <c r="O57" s="849" t="b">
        <v>0</v>
      </c>
      <c r="P57" s="849" t="b">
        <v>0</v>
      </c>
      <c r="Q57" s="857" t="s">
        <v>1514</v>
      </c>
    </row>
    <row r="58" spans="1:17" ht="27.75" customHeight="1">
      <c r="A58" s="869" t="s">
        <v>1671</v>
      </c>
      <c r="B58" s="855" t="s">
        <v>553</v>
      </c>
      <c r="C58" s="856">
        <v>5.8</v>
      </c>
      <c r="E58" s="849" t="b">
        <v>1</v>
      </c>
      <c r="F58" s="849" t="b">
        <v>0</v>
      </c>
      <c r="G58" s="849" t="b">
        <v>0</v>
      </c>
      <c r="H58" s="849" t="b">
        <v>0</v>
      </c>
      <c r="I58" s="849" t="b">
        <v>0</v>
      </c>
      <c r="J58" s="849" t="b">
        <v>0</v>
      </c>
      <c r="K58" s="849" t="b">
        <v>0</v>
      </c>
      <c r="L58" s="849" t="b">
        <v>0</v>
      </c>
      <c r="M58" s="849" t="b">
        <v>0</v>
      </c>
      <c r="N58" s="849" t="b">
        <v>0</v>
      </c>
      <c r="O58" s="849" t="b">
        <v>0</v>
      </c>
      <c r="P58" s="849" t="b">
        <v>0</v>
      </c>
      <c r="Q58" s="857" t="s">
        <v>1514</v>
      </c>
    </row>
  </sheetData>
  <phoneticPr fontId="7"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sheetPr>
    <tabColor theme="8" tint="0.39997558519241921"/>
  </sheetPr>
  <dimension ref="A1:Q28"/>
  <sheetViews>
    <sheetView topLeftCell="A7" zoomScale="70" zoomScaleNormal="70" workbookViewId="0">
      <selection activeCell="A24" sqref="A24:XFD24"/>
    </sheetView>
  </sheetViews>
  <sheetFormatPr defaultRowHeight="24" customHeight="1"/>
  <cols>
    <col min="1" max="1" width="32.625" style="868" customWidth="1"/>
    <col min="2" max="2" width="24.375" style="858" customWidth="1"/>
    <col min="3" max="3" width="26.375" style="859" customWidth="1"/>
    <col min="4" max="4" width="9" style="849"/>
    <col min="5" max="16" width="9" style="849" hidden="1" customWidth="1"/>
    <col min="17" max="16384" width="9" style="849"/>
  </cols>
  <sheetData>
    <row r="1" spans="1:17" ht="65.25" customHeight="1">
      <c r="A1" s="864" t="s">
        <v>318</v>
      </c>
      <c r="B1" s="847"/>
      <c r="C1" s="848"/>
    </row>
    <row r="2" spans="1:17" s="852" customFormat="1" ht="24" customHeight="1">
      <c r="A2" s="867" t="s">
        <v>319</v>
      </c>
      <c r="B2" s="850" t="s">
        <v>320</v>
      </c>
      <c r="C2" s="851" t="s">
        <v>328</v>
      </c>
      <c r="E2" s="853">
        <v>1</v>
      </c>
      <c r="F2" s="853" t="s">
        <v>831</v>
      </c>
      <c r="G2" s="853">
        <v>2</v>
      </c>
      <c r="H2" s="853" t="s">
        <v>831</v>
      </c>
      <c r="I2" s="853">
        <v>3</v>
      </c>
      <c r="J2" s="853" t="s">
        <v>831</v>
      </c>
      <c r="K2" s="853">
        <v>4</v>
      </c>
      <c r="L2" s="853" t="s">
        <v>831</v>
      </c>
      <c r="M2" s="853">
        <v>5</v>
      </c>
      <c r="N2" s="853" t="s">
        <v>831</v>
      </c>
      <c r="O2" s="853">
        <v>6</v>
      </c>
      <c r="P2" s="853" t="s">
        <v>831</v>
      </c>
      <c r="Q2" s="854">
        <v>2</v>
      </c>
    </row>
    <row r="3" spans="1:17" s="852" customFormat="1" ht="24" customHeight="1">
      <c r="A3" s="867" t="s">
        <v>343</v>
      </c>
      <c r="B3" s="850" t="s">
        <v>344</v>
      </c>
      <c r="C3" s="851" t="s">
        <v>351</v>
      </c>
      <c r="Q3" s="861"/>
    </row>
    <row r="4" spans="1:17" ht="24" customHeight="1">
      <c r="A4" s="869" t="s">
        <v>1672</v>
      </c>
      <c r="B4" s="855" t="s">
        <v>262</v>
      </c>
      <c r="C4" s="856">
        <v>70.416499999999999</v>
      </c>
      <c r="E4" s="849" t="b">
        <v>0</v>
      </c>
      <c r="F4" s="849" t="b">
        <v>0</v>
      </c>
      <c r="G4" s="849" t="b">
        <v>1</v>
      </c>
      <c r="H4" s="849" t="b">
        <v>0</v>
      </c>
      <c r="I4" s="849" t="b">
        <v>0</v>
      </c>
      <c r="J4" s="849" t="b">
        <v>0</v>
      </c>
      <c r="K4" s="849" t="b">
        <v>0</v>
      </c>
      <c r="L4" s="849" t="b">
        <v>0</v>
      </c>
      <c r="M4" s="849" t="b">
        <v>0</v>
      </c>
      <c r="N4" s="849" t="b">
        <v>0</v>
      </c>
      <c r="O4" s="849" t="b">
        <v>0</v>
      </c>
      <c r="P4" s="849" t="b">
        <v>0</v>
      </c>
      <c r="Q4" s="857" t="s">
        <v>1514</v>
      </c>
    </row>
    <row r="5" spans="1:17" ht="24" customHeight="1">
      <c r="A5" s="869" t="s">
        <v>1672</v>
      </c>
      <c r="B5" s="855" t="s">
        <v>263</v>
      </c>
      <c r="C5" s="856">
        <v>72.688000000000002</v>
      </c>
      <c r="E5" s="849" t="b">
        <v>0</v>
      </c>
      <c r="F5" s="849" t="b">
        <v>0</v>
      </c>
      <c r="G5" s="849" t="b">
        <v>1</v>
      </c>
      <c r="H5" s="849" t="b">
        <v>0</v>
      </c>
      <c r="I5" s="849" t="b">
        <v>0</v>
      </c>
      <c r="J5" s="849" t="b">
        <v>0</v>
      </c>
      <c r="K5" s="849" t="b">
        <v>0</v>
      </c>
      <c r="L5" s="849" t="b">
        <v>0</v>
      </c>
      <c r="M5" s="849" t="b">
        <v>0</v>
      </c>
      <c r="N5" s="849" t="b">
        <v>0</v>
      </c>
      <c r="O5" s="849" t="b">
        <v>0</v>
      </c>
      <c r="P5" s="849" t="b">
        <v>0</v>
      </c>
      <c r="Q5" s="857" t="s">
        <v>1514</v>
      </c>
    </row>
    <row r="6" spans="1:17" ht="24" customHeight="1">
      <c r="A6" s="869" t="s">
        <v>1672</v>
      </c>
      <c r="B6" s="855" t="s">
        <v>264</v>
      </c>
      <c r="C6" s="856">
        <v>63.063000000000002</v>
      </c>
      <c r="E6" s="849" t="b">
        <v>0</v>
      </c>
      <c r="F6" s="849" t="b">
        <v>0</v>
      </c>
      <c r="G6" s="849" t="b">
        <v>1</v>
      </c>
      <c r="H6" s="849" t="b">
        <v>0</v>
      </c>
      <c r="I6" s="849" t="b">
        <v>0</v>
      </c>
      <c r="J6" s="849" t="b">
        <v>0</v>
      </c>
      <c r="K6" s="849" t="b">
        <v>0</v>
      </c>
      <c r="L6" s="849" t="b">
        <v>0</v>
      </c>
      <c r="M6" s="849" t="b">
        <v>0</v>
      </c>
      <c r="N6" s="849" t="b">
        <v>0</v>
      </c>
      <c r="O6" s="849" t="b">
        <v>0</v>
      </c>
      <c r="P6" s="849" t="b">
        <v>0</v>
      </c>
      <c r="Q6" s="857" t="s">
        <v>1514</v>
      </c>
    </row>
    <row r="7" spans="1:17" ht="24" customHeight="1">
      <c r="A7" s="869" t="s">
        <v>1672</v>
      </c>
      <c r="B7" s="855" t="s">
        <v>265</v>
      </c>
      <c r="C7" s="856">
        <v>60.291000000000004</v>
      </c>
      <c r="E7" s="849" t="b">
        <v>0</v>
      </c>
      <c r="F7" s="849" t="b">
        <v>0</v>
      </c>
      <c r="G7" s="849" t="b">
        <v>1</v>
      </c>
      <c r="H7" s="849" t="b">
        <v>0</v>
      </c>
      <c r="I7" s="849" t="b">
        <v>0</v>
      </c>
      <c r="J7" s="849" t="b">
        <v>0</v>
      </c>
      <c r="K7" s="849" t="b">
        <v>0</v>
      </c>
      <c r="L7" s="849" t="b">
        <v>0</v>
      </c>
      <c r="M7" s="849" t="b">
        <v>0</v>
      </c>
      <c r="N7" s="849" t="b">
        <v>0</v>
      </c>
      <c r="O7" s="849" t="b">
        <v>0</v>
      </c>
      <c r="P7" s="849" t="b">
        <v>0</v>
      </c>
      <c r="Q7" s="857" t="s">
        <v>1514</v>
      </c>
    </row>
    <row r="8" spans="1:17" ht="24" customHeight="1">
      <c r="A8" s="869" t="s">
        <v>1672</v>
      </c>
      <c r="B8" s="855" t="s">
        <v>266</v>
      </c>
      <c r="C8" s="856">
        <v>141.6</v>
      </c>
      <c r="E8" s="849" t="b">
        <v>0</v>
      </c>
      <c r="F8" s="849" t="b">
        <v>0</v>
      </c>
      <c r="G8" s="849" t="b">
        <v>1</v>
      </c>
      <c r="H8" s="849" t="b">
        <v>0</v>
      </c>
      <c r="I8" s="849" t="b">
        <v>0</v>
      </c>
      <c r="J8" s="849" t="b">
        <v>0</v>
      </c>
      <c r="K8" s="849" t="b">
        <v>0</v>
      </c>
      <c r="L8" s="849" t="b">
        <v>0</v>
      </c>
      <c r="M8" s="849" t="b">
        <v>0</v>
      </c>
      <c r="N8" s="849" t="b">
        <v>0</v>
      </c>
      <c r="O8" s="849" t="b">
        <v>0</v>
      </c>
      <c r="P8" s="849" t="b">
        <v>0</v>
      </c>
      <c r="Q8" s="857" t="s">
        <v>1514</v>
      </c>
    </row>
    <row r="9" spans="1:17" ht="24" customHeight="1">
      <c r="A9" s="869" t="s">
        <v>1672</v>
      </c>
      <c r="B9" s="855" t="s">
        <v>267</v>
      </c>
      <c r="C9" s="856">
        <v>10.66</v>
      </c>
      <c r="E9" s="849" t="b">
        <v>0</v>
      </c>
      <c r="F9" s="849" t="b">
        <v>0</v>
      </c>
      <c r="G9" s="849" t="b">
        <v>1</v>
      </c>
      <c r="H9" s="849" t="b">
        <v>0</v>
      </c>
      <c r="I9" s="849" t="b">
        <v>0</v>
      </c>
      <c r="J9" s="849" t="b">
        <v>0</v>
      </c>
      <c r="K9" s="849" t="b">
        <v>0</v>
      </c>
      <c r="L9" s="849" t="b">
        <v>0</v>
      </c>
      <c r="M9" s="849" t="b">
        <v>0</v>
      </c>
      <c r="N9" s="849" t="b">
        <v>0</v>
      </c>
      <c r="O9" s="849" t="b">
        <v>0</v>
      </c>
      <c r="P9" s="849" t="b">
        <v>0</v>
      </c>
      <c r="Q9" s="857" t="s">
        <v>1514</v>
      </c>
    </row>
    <row r="10" spans="1:17" ht="24" customHeight="1">
      <c r="A10" s="869" t="s">
        <v>1672</v>
      </c>
      <c r="B10" s="855" t="s">
        <v>268</v>
      </c>
      <c r="C10" s="856">
        <v>6.3262799999999997</v>
      </c>
      <c r="E10" s="849" t="b">
        <v>0</v>
      </c>
      <c r="F10" s="849" t="b">
        <v>0</v>
      </c>
      <c r="G10" s="849" t="b">
        <v>1</v>
      </c>
      <c r="H10" s="849" t="b">
        <v>0</v>
      </c>
      <c r="I10" s="849" t="b">
        <v>0</v>
      </c>
      <c r="J10" s="849" t="b">
        <v>0</v>
      </c>
      <c r="K10" s="849" t="b">
        <v>0</v>
      </c>
      <c r="L10" s="849" t="b">
        <v>0</v>
      </c>
      <c r="M10" s="849" t="b">
        <v>0</v>
      </c>
      <c r="N10" s="849" t="b">
        <v>0</v>
      </c>
      <c r="O10" s="849" t="b">
        <v>0</v>
      </c>
      <c r="P10" s="849" t="b">
        <v>0</v>
      </c>
      <c r="Q10" s="857" t="s">
        <v>1514</v>
      </c>
    </row>
    <row r="11" spans="1:17" ht="24" customHeight="1">
      <c r="A11" s="869" t="s">
        <v>1672</v>
      </c>
      <c r="B11" s="855" t="s">
        <v>269</v>
      </c>
      <c r="C11" s="856">
        <v>3</v>
      </c>
      <c r="E11" s="849" t="b">
        <v>0</v>
      </c>
      <c r="F11" s="849" t="b">
        <v>0</v>
      </c>
      <c r="G11" s="849" t="b">
        <v>1</v>
      </c>
      <c r="H11" s="849" t="b">
        <v>0</v>
      </c>
      <c r="I11" s="849" t="b">
        <v>0</v>
      </c>
      <c r="J11" s="849" t="b">
        <v>0</v>
      </c>
      <c r="K11" s="849" t="b">
        <v>0</v>
      </c>
      <c r="L11" s="849" t="b">
        <v>0</v>
      </c>
      <c r="M11" s="849" t="b">
        <v>0</v>
      </c>
      <c r="N11" s="849" t="b">
        <v>0</v>
      </c>
      <c r="O11" s="849" t="b">
        <v>0</v>
      </c>
      <c r="P11" s="849" t="b">
        <v>0</v>
      </c>
      <c r="Q11" s="857" t="s">
        <v>1514</v>
      </c>
    </row>
    <row r="12" spans="1:17" ht="24" customHeight="1">
      <c r="A12" s="869" t="s">
        <v>1672</v>
      </c>
      <c r="B12" s="855" t="s">
        <v>270</v>
      </c>
      <c r="C12" s="856">
        <v>0.46765624999999994</v>
      </c>
      <c r="E12" s="849" t="b">
        <v>0</v>
      </c>
      <c r="F12" s="849" t="b">
        <v>0</v>
      </c>
      <c r="G12" s="849" t="b">
        <v>1</v>
      </c>
      <c r="H12" s="849" t="b">
        <v>0</v>
      </c>
      <c r="I12" s="849" t="b">
        <v>0</v>
      </c>
      <c r="J12" s="849" t="b">
        <v>0</v>
      </c>
      <c r="K12" s="849" t="b">
        <v>0</v>
      </c>
      <c r="L12" s="849" t="b">
        <v>0</v>
      </c>
      <c r="M12" s="849" t="b">
        <v>0</v>
      </c>
      <c r="N12" s="849" t="b">
        <v>0</v>
      </c>
      <c r="O12" s="849" t="b">
        <v>0</v>
      </c>
      <c r="P12" s="849" t="b">
        <v>0</v>
      </c>
      <c r="Q12" s="857" t="s">
        <v>1514</v>
      </c>
    </row>
    <row r="13" spans="1:17" ht="24" customHeight="1">
      <c r="A13" s="869" t="s">
        <v>1672</v>
      </c>
      <c r="B13" s="855" t="s">
        <v>273</v>
      </c>
      <c r="C13" s="856">
        <v>1.0709999999999999E-2</v>
      </c>
      <c r="E13" s="849" t="b">
        <v>0</v>
      </c>
      <c r="F13" s="849" t="b">
        <v>0</v>
      </c>
      <c r="G13" s="849" t="b">
        <v>1</v>
      </c>
      <c r="H13" s="849" t="b">
        <v>0</v>
      </c>
      <c r="I13" s="849" t="b">
        <v>0</v>
      </c>
      <c r="J13" s="849" t="b">
        <v>0</v>
      </c>
      <c r="K13" s="849" t="b">
        <v>0</v>
      </c>
      <c r="L13" s="849" t="b">
        <v>0</v>
      </c>
      <c r="M13" s="849" t="b">
        <v>0</v>
      </c>
      <c r="N13" s="849" t="b">
        <v>0</v>
      </c>
      <c r="O13" s="849" t="b">
        <v>0</v>
      </c>
      <c r="P13" s="849" t="b">
        <v>0</v>
      </c>
      <c r="Q13" s="857" t="s">
        <v>1514</v>
      </c>
    </row>
    <row r="14" spans="1:17" ht="24" customHeight="1">
      <c r="A14" s="869" t="s">
        <v>1672</v>
      </c>
      <c r="B14" s="855" t="s">
        <v>283</v>
      </c>
      <c r="C14" s="856">
        <v>142</v>
      </c>
      <c r="E14" s="849" t="b">
        <v>0</v>
      </c>
      <c r="F14" s="849" t="b">
        <v>0</v>
      </c>
      <c r="G14" s="849" t="b">
        <v>1</v>
      </c>
      <c r="H14" s="849" t="b">
        <v>0</v>
      </c>
      <c r="I14" s="849" t="b">
        <v>0</v>
      </c>
      <c r="J14" s="849" t="b">
        <v>0</v>
      </c>
      <c r="K14" s="849" t="b">
        <v>0</v>
      </c>
      <c r="L14" s="849" t="b">
        <v>0</v>
      </c>
      <c r="M14" s="849" t="b">
        <v>0</v>
      </c>
      <c r="N14" s="849" t="b">
        <v>0</v>
      </c>
      <c r="O14" s="849" t="b">
        <v>0</v>
      </c>
      <c r="P14" s="849" t="b">
        <v>0</v>
      </c>
      <c r="Q14" s="857" t="s">
        <v>1514</v>
      </c>
    </row>
    <row r="15" spans="1:17" ht="24" customHeight="1">
      <c r="A15" s="869" t="s">
        <v>1672</v>
      </c>
      <c r="B15" s="855" t="s">
        <v>284</v>
      </c>
      <c r="C15" s="856">
        <v>40</v>
      </c>
      <c r="E15" s="849" t="b">
        <v>0</v>
      </c>
      <c r="F15" s="849" t="b">
        <v>0</v>
      </c>
      <c r="G15" s="849" t="b">
        <v>1</v>
      </c>
      <c r="H15" s="849" t="b">
        <v>0</v>
      </c>
      <c r="I15" s="849" t="b">
        <v>0</v>
      </c>
      <c r="J15" s="849" t="b">
        <v>0</v>
      </c>
      <c r="K15" s="849" t="b">
        <v>0</v>
      </c>
      <c r="L15" s="849" t="b">
        <v>0</v>
      </c>
      <c r="M15" s="849" t="b">
        <v>0</v>
      </c>
      <c r="N15" s="849" t="b">
        <v>0</v>
      </c>
      <c r="O15" s="849" t="b">
        <v>0</v>
      </c>
      <c r="P15" s="849" t="b">
        <v>0</v>
      </c>
      <c r="Q15" s="857" t="s">
        <v>1514</v>
      </c>
    </row>
    <row r="16" spans="1:17" ht="24" customHeight="1">
      <c r="A16" s="869" t="s">
        <v>1672</v>
      </c>
      <c r="B16" s="855" t="s">
        <v>285</v>
      </c>
      <c r="C16" s="856">
        <v>48.675000000000004</v>
      </c>
      <c r="E16" s="849" t="b">
        <v>0</v>
      </c>
      <c r="F16" s="849" t="b">
        <v>0</v>
      </c>
      <c r="G16" s="849" t="b">
        <v>1</v>
      </c>
      <c r="H16" s="849" t="b">
        <v>0</v>
      </c>
      <c r="I16" s="849" t="b">
        <v>0</v>
      </c>
      <c r="J16" s="849" t="b">
        <v>0</v>
      </c>
      <c r="K16" s="849" t="b">
        <v>0</v>
      </c>
      <c r="L16" s="849" t="b">
        <v>0</v>
      </c>
      <c r="M16" s="849" t="b">
        <v>0</v>
      </c>
      <c r="N16" s="849" t="b">
        <v>0</v>
      </c>
      <c r="O16" s="849" t="b">
        <v>0</v>
      </c>
      <c r="P16" s="849" t="b">
        <v>0</v>
      </c>
      <c r="Q16" s="857" t="s">
        <v>1514</v>
      </c>
    </row>
    <row r="17" spans="1:17" ht="24" customHeight="1">
      <c r="A17" s="869" t="s">
        <v>1672</v>
      </c>
      <c r="B17" s="855" t="s">
        <v>286</v>
      </c>
      <c r="C17" s="856">
        <v>47.701499999999996</v>
      </c>
      <c r="E17" s="849" t="b">
        <v>0</v>
      </c>
      <c r="F17" s="849" t="b">
        <v>0</v>
      </c>
      <c r="G17" s="849" t="b">
        <v>1</v>
      </c>
      <c r="H17" s="849" t="b">
        <v>0</v>
      </c>
      <c r="I17" s="849" t="b">
        <v>0</v>
      </c>
      <c r="J17" s="849" t="b">
        <v>0</v>
      </c>
      <c r="K17" s="849" t="b">
        <v>0</v>
      </c>
      <c r="L17" s="849" t="b">
        <v>0</v>
      </c>
      <c r="M17" s="849" t="b">
        <v>0</v>
      </c>
      <c r="N17" s="849" t="b">
        <v>0</v>
      </c>
      <c r="O17" s="849" t="b">
        <v>0</v>
      </c>
      <c r="P17" s="849" t="b">
        <v>0</v>
      </c>
      <c r="Q17" s="857" t="s">
        <v>1514</v>
      </c>
    </row>
    <row r="18" spans="1:17" ht="24" customHeight="1">
      <c r="A18" s="869" t="s">
        <v>1672</v>
      </c>
      <c r="B18" s="855" t="s">
        <v>287</v>
      </c>
      <c r="C18" s="856">
        <v>58.211999999999996</v>
      </c>
      <c r="E18" s="849" t="b">
        <v>0</v>
      </c>
      <c r="F18" s="849" t="b">
        <v>0</v>
      </c>
      <c r="G18" s="849" t="b">
        <v>1</v>
      </c>
      <c r="H18" s="849" t="b">
        <v>0</v>
      </c>
      <c r="I18" s="849" t="b">
        <v>0</v>
      </c>
      <c r="J18" s="849" t="b">
        <v>0</v>
      </c>
      <c r="K18" s="849" t="b">
        <v>0</v>
      </c>
      <c r="L18" s="849" t="b">
        <v>0</v>
      </c>
      <c r="M18" s="849" t="b">
        <v>0</v>
      </c>
      <c r="N18" s="849" t="b">
        <v>0</v>
      </c>
      <c r="O18" s="849" t="b">
        <v>0</v>
      </c>
      <c r="P18" s="849" t="b">
        <v>0</v>
      </c>
      <c r="Q18" s="857" t="s">
        <v>1514</v>
      </c>
    </row>
    <row r="19" spans="1:17" ht="24" customHeight="1">
      <c r="A19" s="869" t="s">
        <v>1672</v>
      </c>
      <c r="B19" s="855" t="s">
        <v>288</v>
      </c>
      <c r="C19" s="856">
        <v>59.598000000000006</v>
      </c>
      <c r="E19" s="849" t="b">
        <v>0</v>
      </c>
      <c r="F19" s="849" t="b">
        <v>0</v>
      </c>
      <c r="G19" s="849" t="b">
        <v>1</v>
      </c>
      <c r="H19" s="849" t="b">
        <v>0</v>
      </c>
      <c r="I19" s="849" t="b">
        <v>0</v>
      </c>
      <c r="J19" s="849" t="b">
        <v>0</v>
      </c>
      <c r="K19" s="849" t="b">
        <v>0</v>
      </c>
      <c r="L19" s="849" t="b">
        <v>0</v>
      </c>
      <c r="M19" s="849" t="b">
        <v>0</v>
      </c>
      <c r="N19" s="849" t="b">
        <v>0</v>
      </c>
      <c r="O19" s="849" t="b">
        <v>0</v>
      </c>
      <c r="P19" s="849" t="b">
        <v>0</v>
      </c>
      <c r="Q19" s="857" t="s">
        <v>1514</v>
      </c>
    </row>
    <row r="20" spans="1:17" ht="24" customHeight="1">
      <c r="A20" s="869" t="s">
        <v>1672</v>
      </c>
      <c r="B20" s="855" t="s">
        <v>289</v>
      </c>
      <c r="C20" s="856">
        <v>140</v>
      </c>
      <c r="E20" s="849" t="b">
        <v>0</v>
      </c>
      <c r="F20" s="849" t="b">
        <v>0</v>
      </c>
      <c r="G20" s="849" t="b">
        <v>1</v>
      </c>
      <c r="H20" s="849" t="b">
        <v>0</v>
      </c>
      <c r="I20" s="849" t="b">
        <v>0</v>
      </c>
      <c r="J20" s="849" t="b">
        <v>0</v>
      </c>
      <c r="K20" s="849" t="b">
        <v>0</v>
      </c>
      <c r="L20" s="849" t="b">
        <v>0</v>
      </c>
      <c r="M20" s="849" t="b">
        <v>0</v>
      </c>
      <c r="N20" s="849" t="b">
        <v>0</v>
      </c>
      <c r="O20" s="849" t="b">
        <v>0</v>
      </c>
      <c r="P20" s="849" t="b">
        <v>0</v>
      </c>
      <c r="Q20" s="857" t="s">
        <v>1514</v>
      </c>
    </row>
    <row r="21" spans="1:17" ht="24" customHeight="1">
      <c r="A21" s="869" t="s">
        <v>1672</v>
      </c>
      <c r="B21" s="855" t="s">
        <v>290</v>
      </c>
      <c r="C21" s="856">
        <v>8.4500000000000011</v>
      </c>
      <c r="E21" s="849" t="b">
        <v>0</v>
      </c>
      <c r="F21" s="849" t="b">
        <v>0</v>
      </c>
      <c r="G21" s="849" t="b">
        <v>1</v>
      </c>
      <c r="H21" s="849" t="b">
        <v>0</v>
      </c>
      <c r="I21" s="849" t="b">
        <v>0</v>
      </c>
      <c r="J21" s="849" t="b">
        <v>0</v>
      </c>
      <c r="K21" s="849" t="b">
        <v>0</v>
      </c>
      <c r="L21" s="849" t="b">
        <v>0</v>
      </c>
      <c r="M21" s="849" t="b">
        <v>0</v>
      </c>
      <c r="N21" s="849" t="b">
        <v>0</v>
      </c>
      <c r="O21" s="849" t="b">
        <v>0</v>
      </c>
      <c r="P21" s="849" t="b">
        <v>0</v>
      </c>
      <c r="Q21" s="857" t="s">
        <v>1514</v>
      </c>
    </row>
    <row r="22" spans="1:17" ht="24" customHeight="1">
      <c r="A22" s="869" t="s">
        <v>1672</v>
      </c>
      <c r="B22" s="855" t="s">
        <v>291</v>
      </c>
      <c r="C22" s="856">
        <v>6.4745750000000006</v>
      </c>
      <c r="E22" s="849" t="b">
        <v>0</v>
      </c>
      <c r="F22" s="849" t="b">
        <v>0</v>
      </c>
      <c r="G22" s="849" t="b">
        <v>1</v>
      </c>
      <c r="H22" s="849" t="b">
        <v>0</v>
      </c>
      <c r="I22" s="849" t="b">
        <v>0</v>
      </c>
      <c r="J22" s="849" t="b">
        <v>0</v>
      </c>
      <c r="K22" s="849" t="b">
        <v>0</v>
      </c>
      <c r="L22" s="849" t="b">
        <v>0</v>
      </c>
      <c r="M22" s="849" t="b">
        <v>0</v>
      </c>
      <c r="N22" s="849" t="b">
        <v>0</v>
      </c>
      <c r="O22" s="849" t="b">
        <v>0</v>
      </c>
      <c r="P22" s="849" t="b">
        <v>0</v>
      </c>
      <c r="Q22" s="857" t="s">
        <v>1514</v>
      </c>
    </row>
    <row r="23" spans="1:17" ht="24" customHeight="1">
      <c r="A23" s="869" t="s">
        <v>1672</v>
      </c>
      <c r="B23" s="855" t="s">
        <v>292</v>
      </c>
      <c r="C23" s="856">
        <v>2.1800000000000002</v>
      </c>
      <c r="E23" s="849" t="b">
        <v>0</v>
      </c>
      <c r="F23" s="849" t="b">
        <v>0</v>
      </c>
      <c r="G23" s="849" t="b">
        <v>1</v>
      </c>
      <c r="H23" s="849" t="b">
        <v>0</v>
      </c>
      <c r="I23" s="849" t="b">
        <v>0</v>
      </c>
      <c r="J23" s="849" t="b">
        <v>0</v>
      </c>
      <c r="K23" s="849" t="b">
        <v>0</v>
      </c>
      <c r="L23" s="849" t="b">
        <v>0</v>
      </c>
      <c r="M23" s="849" t="b">
        <v>0</v>
      </c>
      <c r="N23" s="849" t="b">
        <v>0</v>
      </c>
      <c r="O23" s="849" t="b">
        <v>0</v>
      </c>
      <c r="P23" s="849" t="b">
        <v>0</v>
      </c>
      <c r="Q23" s="857" t="s">
        <v>1514</v>
      </c>
    </row>
    <row r="24" spans="1:17" ht="24" customHeight="1">
      <c r="A24" s="869" t="s">
        <v>1672</v>
      </c>
      <c r="B24" s="855" t="s">
        <v>294</v>
      </c>
      <c r="C24" s="856">
        <v>0.46993750000000001</v>
      </c>
      <c r="E24" s="849" t="b">
        <v>0</v>
      </c>
      <c r="F24" s="849" t="b">
        <v>0</v>
      </c>
      <c r="G24" s="849" t="b">
        <v>1</v>
      </c>
      <c r="H24" s="849" t="b">
        <v>0</v>
      </c>
      <c r="I24" s="849" t="b">
        <v>0</v>
      </c>
      <c r="J24" s="849" t="b">
        <v>0</v>
      </c>
      <c r="K24" s="849" t="b">
        <v>0</v>
      </c>
      <c r="L24" s="849" t="b">
        <v>0</v>
      </c>
      <c r="M24" s="849" t="b">
        <v>0</v>
      </c>
      <c r="N24" s="849" t="b">
        <v>0</v>
      </c>
      <c r="O24" s="849" t="b">
        <v>0</v>
      </c>
      <c r="P24" s="849" t="b">
        <v>0</v>
      </c>
      <c r="Q24" s="857" t="s">
        <v>1514</v>
      </c>
    </row>
    <row r="25" spans="1:17" ht="24" customHeight="1">
      <c r="A25" s="869" t="s">
        <v>1672</v>
      </c>
      <c r="B25" s="855" t="s">
        <v>295</v>
      </c>
      <c r="C25" s="856">
        <v>0.40606249999999994</v>
      </c>
      <c r="E25" s="849" t="b">
        <v>0</v>
      </c>
      <c r="F25" s="849" t="b">
        <v>0</v>
      </c>
      <c r="G25" s="849" t="b">
        <v>1</v>
      </c>
      <c r="H25" s="849" t="b">
        <v>0</v>
      </c>
      <c r="I25" s="849" t="b">
        <v>0</v>
      </c>
      <c r="J25" s="849" t="b">
        <v>0</v>
      </c>
      <c r="K25" s="849" t="b">
        <v>0</v>
      </c>
      <c r="L25" s="849" t="b">
        <v>0</v>
      </c>
      <c r="M25" s="849" t="b">
        <v>0</v>
      </c>
      <c r="N25" s="849" t="b">
        <v>0</v>
      </c>
      <c r="O25" s="849" t="b">
        <v>0</v>
      </c>
      <c r="P25" s="849" t="b">
        <v>0</v>
      </c>
      <c r="Q25" s="857" t="s">
        <v>1514</v>
      </c>
    </row>
    <row r="26" spans="1:17" ht="24" customHeight="1">
      <c r="A26" s="869" t="s">
        <v>1672</v>
      </c>
      <c r="B26" s="855" t="s">
        <v>296</v>
      </c>
      <c r="C26" s="856">
        <v>6.5519999999999997E-3</v>
      </c>
      <c r="E26" s="849" t="b">
        <v>0</v>
      </c>
      <c r="F26" s="849" t="b">
        <v>0</v>
      </c>
      <c r="G26" s="849" t="b">
        <v>1</v>
      </c>
      <c r="H26" s="849" t="b">
        <v>0</v>
      </c>
      <c r="I26" s="849" t="b">
        <v>0</v>
      </c>
      <c r="J26" s="849" t="b">
        <v>0</v>
      </c>
      <c r="K26" s="849" t="b">
        <v>0</v>
      </c>
      <c r="L26" s="849" t="b">
        <v>0</v>
      </c>
      <c r="M26" s="849" t="b">
        <v>0</v>
      </c>
      <c r="N26" s="849" t="b">
        <v>0</v>
      </c>
      <c r="O26" s="849" t="b">
        <v>0</v>
      </c>
      <c r="P26" s="849" t="b">
        <v>0</v>
      </c>
      <c r="Q26" s="857" t="s">
        <v>1514</v>
      </c>
    </row>
    <row r="27" spans="1:17" ht="24" customHeight="1">
      <c r="A27" s="869" t="s">
        <v>1672</v>
      </c>
      <c r="B27" s="855" t="s">
        <v>306</v>
      </c>
      <c r="C27" s="856">
        <v>40</v>
      </c>
      <c r="E27" s="849" t="b">
        <v>0</v>
      </c>
      <c r="F27" s="849" t="b">
        <v>0</v>
      </c>
      <c r="G27" s="849" t="b">
        <v>1</v>
      </c>
      <c r="H27" s="849" t="b">
        <v>0</v>
      </c>
      <c r="I27" s="849" t="b">
        <v>0</v>
      </c>
      <c r="J27" s="849" t="b">
        <v>0</v>
      </c>
      <c r="K27" s="849" t="b">
        <v>0</v>
      </c>
      <c r="L27" s="849" t="b">
        <v>0</v>
      </c>
      <c r="M27" s="849" t="b">
        <v>0</v>
      </c>
      <c r="N27" s="849" t="b">
        <v>0</v>
      </c>
      <c r="O27" s="849" t="b">
        <v>0</v>
      </c>
      <c r="P27" s="849" t="b">
        <v>0</v>
      </c>
      <c r="Q27" s="857" t="s">
        <v>1514</v>
      </c>
    </row>
    <row r="28" spans="1:17" ht="24" customHeight="1">
      <c r="A28" s="869" t="s">
        <v>1672</v>
      </c>
      <c r="B28" s="855" t="s">
        <v>307</v>
      </c>
      <c r="C28" s="856">
        <v>172</v>
      </c>
      <c r="E28" s="849" t="b">
        <v>0</v>
      </c>
      <c r="F28" s="849" t="b">
        <v>0</v>
      </c>
      <c r="G28" s="849" t="b">
        <v>1</v>
      </c>
      <c r="H28" s="849" t="b">
        <v>0</v>
      </c>
      <c r="I28" s="849" t="b">
        <v>0</v>
      </c>
      <c r="J28" s="849" t="b">
        <v>0</v>
      </c>
      <c r="K28" s="849" t="b">
        <v>0</v>
      </c>
      <c r="L28" s="849" t="b">
        <v>0</v>
      </c>
      <c r="M28" s="849" t="b">
        <v>0</v>
      </c>
      <c r="N28" s="849" t="b">
        <v>0</v>
      </c>
      <c r="O28" s="849" t="b">
        <v>0</v>
      </c>
      <c r="P28" s="849" t="b">
        <v>0</v>
      </c>
      <c r="Q28" s="857" t="s">
        <v>1514</v>
      </c>
    </row>
  </sheetData>
  <phoneticPr fontId="7"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Q35"/>
  <sheetViews>
    <sheetView zoomScale="70" zoomScaleNormal="70" workbookViewId="0"/>
  </sheetViews>
  <sheetFormatPr defaultRowHeight="23.25" customHeight="1"/>
  <cols>
    <col min="1" max="1" width="34.75" style="868" customWidth="1"/>
    <col min="2" max="2" width="23.625" style="858" customWidth="1"/>
    <col min="3" max="3" width="29" style="859" customWidth="1"/>
    <col min="4" max="4" width="9" style="849"/>
    <col min="5" max="16" width="9" style="849" hidden="1" customWidth="1"/>
    <col min="17" max="16384" width="9" style="849"/>
  </cols>
  <sheetData>
    <row r="1" spans="1:17" ht="78" customHeight="1">
      <c r="A1" s="864" t="s">
        <v>318</v>
      </c>
      <c r="B1" s="847"/>
      <c r="C1" s="848"/>
    </row>
    <row r="2" spans="1:17" s="852" customFormat="1" ht="23.25" customHeight="1">
      <c r="A2" s="867" t="s">
        <v>319</v>
      </c>
      <c r="B2" s="850" t="s">
        <v>320</v>
      </c>
      <c r="C2" s="851" t="s">
        <v>331</v>
      </c>
      <c r="E2" s="853">
        <v>1</v>
      </c>
      <c r="F2" s="853" t="s">
        <v>831</v>
      </c>
      <c r="G2" s="853">
        <v>2</v>
      </c>
      <c r="H2" s="853" t="s">
        <v>831</v>
      </c>
      <c r="I2" s="853">
        <v>3</v>
      </c>
      <c r="J2" s="853" t="s">
        <v>831</v>
      </c>
      <c r="K2" s="853">
        <v>4</v>
      </c>
      <c r="L2" s="853" t="s">
        <v>831</v>
      </c>
      <c r="M2" s="853">
        <v>5</v>
      </c>
      <c r="N2" s="853" t="s">
        <v>831</v>
      </c>
      <c r="O2" s="853">
        <v>6</v>
      </c>
      <c r="P2" s="860" t="s">
        <v>831</v>
      </c>
      <c r="Q2" s="854">
        <v>3</v>
      </c>
    </row>
    <row r="3" spans="1:17" s="852" customFormat="1" ht="23.25" customHeight="1">
      <c r="A3" s="867" t="s">
        <v>343</v>
      </c>
      <c r="B3" s="850" t="s">
        <v>344</v>
      </c>
      <c r="C3" s="851" t="s">
        <v>352</v>
      </c>
      <c r="Q3" s="861"/>
    </row>
    <row r="4" spans="1:17" ht="23.25" customHeight="1">
      <c r="A4" s="869" t="s">
        <v>1673</v>
      </c>
      <c r="B4" s="855" t="s">
        <v>262</v>
      </c>
      <c r="C4" s="856">
        <v>68.144999999999996</v>
      </c>
      <c r="E4" s="849" t="b">
        <v>0</v>
      </c>
      <c r="F4" s="849" t="b">
        <v>0</v>
      </c>
      <c r="G4" s="849" t="b">
        <v>0</v>
      </c>
      <c r="H4" s="849" t="b">
        <v>0</v>
      </c>
      <c r="I4" s="849" t="b">
        <v>1</v>
      </c>
      <c r="J4" s="849" t="b">
        <v>0</v>
      </c>
      <c r="K4" s="849" t="b">
        <v>0</v>
      </c>
      <c r="L4" s="849" t="b">
        <v>0</v>
      </c>
      <c r="M4" s="849" t="b">
        <v>0</v>
      </c>
      <c r="N4" s="849" t="b">
        <v>0</v>
      </c>
      <c r="O4" s="849" t="b">
        <v>0</v>
      </c>
      <c r="P4" s="849" t="b">
        <v>0</v>
      </c>
      <c r="Q4" s="857" t="s">
        <v>1514</v>
      </c>
    </row>
    <row r="5" spans="1:17" ht="23.25" customHeight="1">
      <c r="A5" s="869" t="s">
        <v>1673</v>
      </c>
      <c r="B5" s="855" t="s">
        <v>263</v>
      </c>
      <c r="C5" s="856">
        <v>71.714500000000001</v>
      </c>
      <c r="E5" s="849" t="b">
        <v>0</v>
      </c>
      <c r="F5" s="849" t="b">
        <v>0</v>
      </c>
      <c r="G5" s="849" t="b">
        <v>0</v>
      </c>
      <c r="H5" s="849" t="b">
        <v>0</v>
      </c>
      <c r="I5" s="849" t="b">
        <v>1</v>
      </c>
      <c r="J5" s="849" t="b">
        <v>0</v>
      </c>
      <c r="K5" s="849" t="b">
        <v>0</v>
      </c>
      <c r="L5" s="849" t="b">
        <v>0</v>
      </c>
      <c r="M5" s="849" t="b">
        <v>0</v>
      </c>
      <c r="N5" s="849" t="b">
        <v>0</v>
      </c>
      <c r="O5" s="849" t="b">
        <v>0</v>
      </c>
      <c r="P5" s="849" t="b">
        <v>0</v>
      </c>
      <c r="Q5" s="857" t="s">
        <v>1514</v>
      </c>
    </row>
    <row r="6" spans="1:17" ht="23.25" customHeight="1">
      <c r="A6" s="869" t="s">
        <v>1673</v>
      </c>
      <c r="B6" s="855" t="s">
        <v>264</v>
      </c>
      <c r="C6" s="856">
        <v>64.680000000000007</v>
      </c>
      <c r="E6" s="849" t="b">
        <v>0</v>
      </c>
      <c r="F6" s="849" t="b">
        <v>0</v>
      </c>
      <c r="G6" s="849" t="b">
        <v>0</v>
      </c>
      <c r="H6" s="849" t="b">
        <v>0</v>
      </c>
      <c r="I6" s="849" t="b">
        <v>1</v>
      </c>
      <c r="J6" s="849" t="b">
        <v>0</v>
      </c>
      <c r="K6" s="849" t="b">
        <v>0</v>
      </c>
      <c r="L6" s="849" t="b">
        <v>0</v>
      </c>
      <c r="M6" s="849" t="b">
        <v>0</v>
      </c>
      <c r="N6" s="849" t="b">
        <v>0</v>
      </c>
      <c r="O6" s="849" t="b">
        <v>0</v>
      </c>
      <c r="P6" s="849" t="b">
        <v>0</v>
      </c>
      <c r="Q6" s="857" t="s">
        <v>1514</v>
      </c>
    </row>
    <row r="7" spans="1:17" ht="23.25" customHeight="1">
      <c r="A7" s="869" t="s">
        <v>1673</v>
      </c>
      <c r="B7" s="855" t="s">
        <v>265</v>
      </c>
      <c r="C7" s="856">
        <v>60.06</v>
      </c>
      <c r="E7" s="849" t="b">
        <v>0</v>
      </c>
      <c r="F7" s="849" t="b">
        <v>0</v>
      </c>
      <c r="G7" s="849" t="b">
        <v>0</v>
      </c>
      <c r="H7" s="849" t="b">
        <v>0</v>
      </c>
      <c r="I7" s="849" t="b">
        <v>1</v>
      </c>
      <c r="J7" s="849" t="b">
        <v>0</v>
      </c>
      <c r="K7" s="849" t="b">
        <v>0</v>
      </c>
      <c r="L7" s="849" t="b">
        <v>0</v>
      </c>
      <c r="M7" s="849" t="b">
        <v>0</v>
      </c>
      <c r="N7" s="849" t="b">
        <v>0</v>
      </c>
      <c r="O7" s="849" t="b">
        <v>0</v>
      </c>
      <c r="P7" s="849" t="b">
        <v>0</v>
      </c>
      <c r="Q7" s="857" t="s">
        <v>1514</v>
      </c>
    </row>
    <row r="8" spans="1:17" ht="23.25" customHeight="1">
      <c r="A8" s="869" t="s">
        <v>1673</v>
      </c>
      <c r="B8" s="855" t="s">
        <v>266</v>
      </c>
      <c r="C8" s="856">
        <v>141.19999999999999</v>
      </c>
      <c r="E8" s="849" t="b">
        <v>0</v>
      </c>
      <c r="F8" s="849" t="b">
        <v>0</v>
      </c>
      <c r="G8" s="849" t="b">
        <v>0</v>
      </c>
      <c r="H8" s="849" t="b">
        <v>0</v>
      </c>
      <c r="I8" s="849" t="b">
        <v>1</v>
      </c>
      <c r="J8" s="849" t="b">
        <v>0</v>
      </c>
      <c r="K8" s="849" t="b">
        <v>0</v>
      </c>
      <c r="L8" s="849" t="b">
        <v>0</v>
      </c>
      <c r="M8" s="849" t="b">
        <v>0</v>
      </c>
      <c r="N8" s="849" t="b">
        <v>0</v>
      </c>
      <c r="O8" s="849" t="b">
        <v>0</v>
      </c>
      <c r="P8" s="849" t="b">
        <v>0</v>
      </c>
      <c r="Q8" s="857" t="s">
        <v>1514</v>
      </c>
    </row>
    <row r="9" spans="1:17" ht="23.25" customHeight="1">
      <c r="A9" s="869" t="s">
        <v>1673</v>
      </c>
      <c r="B9" s="855" t="s">
        <v>267</v>
      </c>
      <c r="C9" s="856">
        <v>10.790000000000001</v>
      </c>
      <c r="E9" s="849" t="b">
        <v>0</v>
      </c>
      <c r="F9" s="849" t="b">
        <v>0</v>
      </c>
      <c r="G9" s="849" t="b">
        <v>0</v>
      </c>
      <c r="H9" s="849" t="b">
        <v>0</v>
      </c>
      <c r="I9" s="849" t="b">
        <v>1</v>
      </c>
      <c r="J9" s="849" t="b">
        <v>0</v>
      </c>
      <c r="K9" s="849" t="b">
        <v>0</v>
      </c>
      <c r="L9" s="849" t="b">
        <v>0</v>
      </c>
      <c r="M9" s="849" t="b">
        <v>0</v>
      </c>
      <c r="N9" s="849" t="b">
        <v>0</v>
      </c>
      <c r="O9" s="849" t="b">
        <v>0</v>
      </c>
      <c r="P9" s="849" t="b">
        <v>0</v>
      </c>
      <c r="Q9" s="857" t="s">
        <v>1514</v>
      </c>
    </row>
    <row r="10" spans="1:17" ht="23.25" customHeight="1">
      <c r="A10" s="869" t="s">
        <v>1673</v>
      </c>
      <c r="B10" s="855" t="s">
        <v>268</v>
      </c>
      <c r="C10" s="856">
        <v>6.1568000000000005</v>
      </c>
      <c r="E10" s="849" t="b">
        <v>0</v>
      </c>
      <c r="F10" s="849" t="b">
        <v>0</v>
      </c>
      <c r="G10" s="849" t="b">
        <v>0</v>
      </c>
      <c r="H10" s="849" t="b">
        <v>0</v>
      </c>
      <c r="I10" s="849" t="b">
        <v>1</v>
      </c>
      <c r="J10" s="849" t="b">
        <v>0</v>
      </c>
      <c r="K10" s="849" t="b">
        <v>0</v>
      </c>
      <c r="L10" s="849" t="b">
        <v>0</v>
      </c>
      <c r="M10" s="849" t="b">
        <v>0</v>
      </c>
      <c r="N10" s="849" t="b">
        <v>0</v>
      </c>
      <c r="O10" s="849" t="b">
        <v>0</v>
      </c>
      <c r="P10" s="849" t="b">
        <v>0</v>
      </c>
      <c r="Q10" s="857" t="s">
        <v>1514</v>
      </c>
    </row>
    <row r="11" spans="1:17" ht="23.25" customHeight="1">
      <c r="A11" s="869" t="s">
        <v>1673</v>
      </c>
      <c r="B11" s="855" t="s">
        <v>269</v>
      </c>
      <c r="C11" s="856">
        <v>2.2000000000000002</v>
      </c>
      <c r="E11" s="849" t="b">
        <v>0</v>
      </c>
      <c r="F11" s="849" t="b">
        <v>0</v>
      </c>
      <c r="G11" s="849" t="b">
        <v>0</v>
      </c>
      <c r="H11" s="849" t="b">
        <v>0</v>
      </c>
      <c r="I11" s="849" t="b">
        <v>1</v>
      </c>
      <c r="J11" s="849" t="b">
        <v>0</v>
      </c>
      <c r="K11" s="849" t="b">
        <v>0</v>
      </c>
      <c r="L11" s="849" t="b">
        <v>0</v>
      </c>
      <c r="M11" s="849" t="b">
        <v>0</v>
      </c>
      <c r="N11" s="849" t="b">
        <v>0</v>
      </c>
      <c r="O11" s="849" t="b">
        <v>0</v>
      </c>
      <c r="P11" s="849" t="b">
        <v>0</v>
      </c>
      <c r="Q11" s="857" t="s">
        <v>1514</v>
      </c>
    </row>
    <row r="12" spans="1:17" ht="23.25" customHeight="1">
      <c r="A12" s="869" t="s">
        <v>1673</v>
      </c>
      <c r="B12" s="855" t="s">
        <v>270</v>
      </c>
      <c r="C12" s="856">
        <v>0.45624999999999999</v>
      </c>
      <c r="E12" s="849" t="b">
        <v>0</v>
      </c>
      <c r="F12" s="849" t="b">
        <v>0</v>
      </c>
      <c r="G12" s="849" t="b">
        <v>0</v>
      </c>
      <c r="H12" s="849" t="b">
        <v>0</v>
      </c>
      <c r="I12" s="849" t="b">
        <v>1</v>
      </c>
      <c r="J12" s="849" t="b">
        <v>0</v>
      </c>
      <c r="K12" s="849" t="b">
        <v>0</v>
      </c>
      <c r="L12" s="849" t="b">
        <v>0</v>
      </c>
      <c r="M12" s="849" t="b">
        <v>0</v>
      </c>
      <c r="N12" s="849" t="b">
        <v>0</v>
      </c>
      <c r="O12" s="849" t="b">
        <v>0</v>
      </c>
      <c r="P12" s="849" t="b">
        <v>0</v>
      </c>
      <c r="Q12" s="857" t="s">
        <v>1514</v>
      </c>
    </row>
    <row r="13" spans="1:17" ht="23.25" customHeight="1">
      <c r="A13" s="869" t="s">
        <v>1673</v>
      </c>
      <c r="B13" s="855" t="s">
        <v>273</v>
      </c>
      <c r="C13" s="856">
        <v>1.008E-2</v>
      </c>
      <c r="E13" s="849" t="b">
        <v>0</v>
      </c>
      <c r="F13" s="849" t="b">
        <v>0</v>
      </c>
      <c r="G13" s="849" t="b">
        <v>0</v>
      </c>
      <c r="H13" s="849" t="b">
        <v>0</v>
      </c>
      <c r="I13" s="849" t="b">
        <v>1</v>
      </c>
      <c r="J13" s="849" t="b">
        <v>0</v>
      </c>
      <c r="K13" s="849" t="b">
        <v>0</v>
      </c>
      <c r="L13" s="849" t="b">
        <v>0</v>
      </c>
      <c r="M13" s="849" t="b">
        <v>0</v>
      </c>
      <c r="N13" s="849" t="b">
        <v>0</v>
      </c>
      <c r="O13" s="849" t="b">
        <v>0</v>
      </c>
      <c r="P13" s="849" t="b">
        <v>0</v>
      </c>
      <c r="Q13" s="857" t="s">
        <v>1514</v>
      </c>
    </row>
    <row r="14" spans="1:17" ht="23.25" customHeight="1">
      <c r="A14" s="869" t="s">
        <v>1673</v>
      </c>
      <c r="B14" s="855" t="s">
        <v>283</v>
      </c>
      <c r="C14" s="856">
        <v>142</v>
      </c>
      <c r="E14" s="849" t="b">
        <v>0</v>
      </c>
      <c r="F14" s="849" t="b">
        <v>0</v>
      </c>
      <c r="G14" s="849" t="b">
        <v>0</v>
      </c>
      <c r="H14" s="849" t="b">
        <v>0</v>
      </c>
      <c r="I14" s="849" t="b">
        <v>1</v>
      </c>
      <c r="J14" s="849" t="b">
        <v>0</v>
      </c>
      <c r="K14" s="849" t="b">
        <v>0</v>
      </c>
      <c r="L14" s="849" t="b">
        <v>0</v>
      </c>
      <c r="M14" s="849" t="b">
        <v>0</v>
      </c>
      <c r="N14" s="849" t="b">
        <v>0</v>
      </c>
      <c r="O14" s="849" t="b">
        <v>0</v>
      </c>
      <c r="P14" s="849" t="b">
        <v>0</v>
      </c>
      <c r="Q14" s="857" t="s">
        <v>1514</v>
      </c>
    </row>
    <row r="15" spans="1:17" ht="23.25" customHeight="1">
      <c r="A15" s="869" t="s">
        <v>1673</v>
      </c>
      <c r="B15" s="855" t="s">
        <v>284</v>
      </c>
      <c r="C15" s="856">
        <v>42</v>
      </c>
      <c r="E15" s="849" t="b">
        <v>0</v>
      </c>
      <c r="F15" s="849" t="b">
        <v>0</v>
      </c>
      <c r="G15" s="849" t="b">
        <v>0</v>
      </c>
      <c r="H15" s="849" t="b">
        <v>0</v>
      </c>
      <c r="I15" s="849" t="b">
        <v>1</v>
      </c>
      <c r="J15" s="849" t="b">
        <v>0</v>
      </c>
      <c r="K15" s="849" t="b">
        <v>0</v>
      </c>
      <c r="L15" s="849" t="b">
        <v>0</v>
      </c>
      <c r="M15" s="849" t="b">
        <v>0</v>
      </c>
      <c r="N15" s="849" t="b">
        <v>0</v>
      </c>
      <c r="O15" s="849" t="b">
        <v>0</v>
      </c>
      <c r="P15" s="849" t="b">
        <v>0</v>
      </c>
      <c r="Q15" s="857" t="s">
        <v>1514</v>
      </c>
    </row>
    <row r="16" spans="1:17" ht="23.25" customHeight="1">
      <c r="A16" s="869" t="s">
        <v>1673</v>
      </c>
      <c r="B16" s="855" t="s">
        <v>285</v>
      </c>
      <c r="C16" s="856">
        <v>52.244500000000009</v>
      </c>
      <c r="E16" s="849" t="b">
        <v>0</v>
      </c>
      <c r="F16" s="849" t="b">
        <v>0</v>
      </c>
      <c r="G16" s="849" t="b">
        <v>0</v>
      </c>
      <c r="H16" s="849" t="b">
        <v>0</v>
      </c>
      <c r="I16" s="849" t="b">
        <v>1</v>
      </c>
      <c r="J16" s="849" t="b">
        <v>0</v>
      </c>
      <c r="K16" s="849" t="b">
        <v>0</v>
      </c>
      <c r="L16" s="849" t="b">
        <v>0</v>
      </c>
      <c r="M16" s="849" t="b">
        <v>0</v>
      </c>
      <c r="N16" s="849" t="b">
        <v>0</v>
      </c>
      <c r="O16" s="849" t="b">
        <v>0</v>
      </c>
      <c r="P16" s="849" t="b">
        <v>0</v>
      </c>
      <c r="Q16" s="857" t="s">
        <v>1514</v>
      </c>
    </row>
    <row r="17" spans="1:17" ht="23.25" customHeight="1">
      <c r="A17" s="869" t="s">
        <v>1673</v>
      </c>
      <c r="B17" s="855" t="s">
        <v>286</v>
      </c>
      <c r="C17" s="856">
        <v>49.973000000000006</v>
      </c>
      <c r="E17" s="849" t="b">
        <v>0</v>
      </c>
      <c r="F17" s="849" t="b">
        <v>0</v>
      </c>
      <c r="G17" s="849" t="b">
        <v>0</v>
      </c>
      <c r="H17" s="849" t="b">
        <v>0</v>
      </c>
      <c r="I17" s="849" t="b">
        <v>1</v>
      </c>
      <c r="J17" s="849" t="b">
        <v>0</v>
      </c>
      <c r="K17" s="849" t="b">
        <v>0</v>
      </c>
      <c r="L17" s="849" t="b">
        <v>0</v>
      </c>
      <c r="M17" s="849" t="b">
        <v>0</v>
      </c>
      <c r="N17" s="849" t="b">
        <v>0</v>
      </c>
      <c r="O17" s="849" t="b">
        <v>0</v>
      </c>
      <c r="P17" s="849" t="b">
        <v>0</v>
      </c>
      <c r="Q17" s="857" t="s">
        <v>1514</v>
      </c>
    </row>
    <row r="18" spans="1:17" ht="23.25" customHeight="1">
      <c r="A18" s="869" t="s">
        <v>1673</v>
      </c>
      <c r="B18" s="855" t="s">
        <v>287</v>
      </c>
      <c r="C18" s="856">
        <v>64.680000000000007</v>
      </c>
      <c r="E18" s="849" t="b">
        <v>0</v>
      </c>
      <c r="F18" s="849" t="b">
        <v>0</v>
      </c>
      <c r="G18" s="849" t="b">
        <v>0</v>
      </c>
      <c r="H18" s="849" t="b">
        <v>0</v>
      </c>
      <c r="I18" s="849" t="b">
        <v>1</v>
      </c>
      <c r="J18" s="849" t="b">
        <v>0</v>
      </c>
      <c r="K18" s="849" t="b">
        <v>0</v>
      </c>
      <c r="L18" s="849" t="b">
        <v>0</v>
      </c>
      <c r="M18" s="849" t="b">
        <v>0</v>
      </c>
      <c r="N18" s="849" t="b">
        <v>0</v>
      </c>
      <c r="O18" s="849" t="b">
        <v>0</v>
      </c>
      <c r="P18" s="849" t="b">
        <v>0</v>
      </c>
      <c r="Q18" s="857" t="s">
        <v>1514</v>
      </c>
    </row>
    <row r="19" spans="1:17" ht="23.25" customHeight="1">
      <c r="A19" s="869" t="s">
        <v>1673</v>
      </c>
      <c r="B19" s="855" t="s">
        <v>288</v>
      </c>
      <c r="C19" s="856">
        <v>60.983999999999995</v>
      </c>
      <c r="E19" s="849" t="b">
        <v>0</v>
      </c>
      <c r="F19" s="849" t="b">
        <v>0</v>
      </c>
      <c r="G19" s="849" t="b">
        <v>0</v>
      </c>
      <c r="H19" s="849" t="b">
        <v>0</v>
      </c>
      <c r="I19" s="849" t="b">
        <v>1</v>
      </c>
      <c r="J19" s="849" t="b">
        <v>0</v>
      </c>
      <c r="K19" s="849" t="b">
        <v>0</v>
      </c>
      <c r="L19" s="849" t="b">
        <v>0</v>
      </c>
      <c r="M19" s="849" t="b">
        <v>0</v>
      </c>
      <c r="N19" s="849" t="b">
        <v>0</v>
      </c>
      <c r="O19" s="849" t="b">
        <v>0</v>
      </c>
      <c r="P19" s="849" t="b">
        <v>0</v>
      </c>
      <c r="Q19" s="857" t="s">
        <v>1514</v>
      </c>
    </row>
    <row r="20" spans="1:17" ht="23.25" customHeight="1">
      <c r="A20" s="869" t="s">
        <v>1673</v>
      </c>
      <c r="B20" s="855" t="s">
        <v>289</v>
      </c>
      <c r="C20" s="856">
        <v>137.6</v>
      </c>
      <c r="E20" s="849" t="b">
        <v>0</v>
      </c>
      <c r="F20" s="849" t="b">
        <v>0</v>
      </c>
      <c r="G20" s="849" t="b">
        <v>0</v>
      </c>
      <c r="H20" s="849" t="b">
        <v>0</v>
      </c>
      <c r="I20" s="849" t="b">
        <v>1</v>
      </c>
      <c r="J20" s="849" t="b">
        <v>0</v>
      </c>
      <c r="K20" s="849" t="b">
        <v>0</v>
      </c>
      <c r="L20" s="849" t="b">
        <v>0</v>
      </c>
      <c r="M20" s="849" t="b">
        <v>0</v>
      </c>
      <c r="N20" s="849" t="b">
        <v>0</v>
      </c>
      <c r="O20" s="849" t="b">
        <v>0</v>
      </c>
      <c r="P20" s="849" t="b">
        <v>0</v>
      </c>
      <c r="Q20" s="857" t="s">
        <v>1514</v>
      </c>
    </row>
    <row r="21" spans="1:17" ht="23.25" customHeight="1">
      <c r="A21" s="869" t="s">
        <v>1673</v>
      </c>
      <c r="B21" s="855" t="s">
        <v>290</v>
      </c>
      <c r="C21" s="856">
        <v>8.3849999999999998</v>
      </c>
      <c r="E21" s="849" t="b">
        <v>0</v>
      </c>
      <c r="F21" s="849" t="b">
        <v>0</v>
      </c>
      <c r="G21" s="849" t="b">
        <v>0</v>
      </c>
      <c r="H21" s="849" t="b">
        <v>0</v>
      </c>
      <c r="I21" s="849" t="b">
        <v>1</v>
      </c>
      <c r="J21" s="849" t="b">
        <v>0</v>
      </c>
      <c r="K21" s="849" t="b">
        <v>0</v>
      </c>
      <c r="L21" s="849" t="b">
        <v>0</v>
      </c>
      <c r="M21" s="849" t="b">
        <v>0</v>
      </c>
      <c r="N21" s="849" t="b">
        <v>0</v>
      </c>
      <c r="O21" s="849" t="b">
        <v>0</v>
      </c>
      <c r="P21" s="849" t="b">
        <v>0</v>
      </c>
      <c r="Q21" s="857" t="s">
        <v>1514</v>
      </c>
    </row>
    <row r="22" spans="1:17" ht="23.25" customHeight="1">
      <c r="A22" s="869" t="s">
        <v>1673</v>
      </c>
      <c r="B22" s="855" t="s">
        <v>291</v>
      </c>
      <c r="C22" s="856">
        <v>6.1568000000000005</v>
      </c>
      <c r="E22" s="849" t="b">
        <v>0</v>
      </c>
      <c r="F22" s="849" t="b">
        <v>0</v>
      </c>
      <c r="G22" s="849" t="b">
        <v>0</v>
      </c>
      <c r="H22" s="849" t="b">
        <v>0</v>
      </c>
      <c r="I22" s="849" t="b">
        <v>1</v>
      </c>
      <c r="J22" s="849" t="b">
        <v>0</v>
      </c>
      <c r="K22" s="849" t="b">
        <v>0</v>
      </c>
      <c r="L22" s="849" t="b">
        <v>0</v>
      </c>
      <c r="M22" s="849" t="b">
        <v>0</v>
      </c>
      <c r="N22" s="849" t="b">
        <v>0</v>
      </c>
      <c r="O22" s="849" t="b">
        <v>0</v>
      </c>
      <c r="P22" s="849" t="b">
        <v>0</v>
      </c>
      <c r="Q22" s="857" t="s">
        <v>1514</v>
      </c>
    </row>
    <row r="23" spans="1:17" ht="23.25" customHeight="1">
      <c r="A23" s="869" t="s">
        <v>1673</v>
      </c>
      <c r="B23" s="855" t="s">
        <v>292</v>
      </c>
      <c r="C23" s="856">
        <v>2.2000000000000002</v>
      </c>
      <c r="E23" s="849" t="b">
        <v>0</v>
      </c>
      <c r="F23" s="849" t="b">
        <v>0</v>
      </c>
      <c r="G23" s="849" t="b">
        <v>0</v>
      </c>
      <c r="H23" s="849" t="b">
        <v>0</v>
      </c>
      <c r="I23" s="849" t="b">
        <v>1</v>
      </c>
      <c r="J23" s="849" t="b">
        <v>0</v>
      </c>
      <c r="K23" s="849" t="b">
        <v>0</v>
      </c>
      <c r="L23" s="849" t="b">
        <v>0</v>
      </c>
      <c r="M23" s="849" t="b">
        <v>0</v>
      </c>
      <c r="N23" s="849" t="b">
        <v>0</v>
      </c>
      <c r="O23" s="849" t="b">
        <v>0</v>
      </c>
      <c r="P23" s="849" t="b">
        <v>0</v>
      </c>
      <c r="Q23" s="857" t="s">
        <v>1514</v>
      </c>
    </row>
    <row r="24" spans="1:17" ht="23.25" customHeight="1">
      <c r="A24" s="869" t="s">
        <v>1673</v>
      </c>
      <c r="B24" s="855" t="s">
        <v>294</v>
      </c>
      <c r="C24" s="856">
        <v>0.47906250000000006</v>
      </c>
      <c r="E24" s="849" t="b">
        <v>0</v>
      </c>
      <c r="F24" s="849" t="b">
        <v>0</v>
      </c>
      <c r="G24" s="849" t="b">
        <v>0</v>
      </c>
      <c r="H24" s="849" t="b">
        <v>0</v>
      </c>
      <c r="I24" s="849" t="b">
        <v>1</v>
      </c>
      <c r="J24" s="849" t="b">
        <v>0</v>
      </c>
      <c r="K24" s="849" t="b">
        <v>0</v>
      </c>
      <c r="L24" s="849" t="b">
        <v>0</v>
      </c>
      <c r="M24" s="849" t="b">
        <v>0</v>
      </c>
      <c r="N24" s="849" t="b">
        <v>0</v>
      </c>
      <c r="O24" s="849" t="b">
        <v>0</v>
      </c>
      <c r="P24" s="849" t="b">
        <v>0</v>
      </c>
      <c r="Q24" s="857" t="s">
        <v>1514</v>
      </c>
    </row>
    <row r="25" spans="1:17" ht="23.25" customHeight="1">
      <c r="A25" s="869" t="s">
        <v>1673</v>
      </c>
      <c r="B25" s="855" t="s">
        <v>295</v>
      </c>
      <c r="C25" s="856">
        <v>0.41062500000000002</v>
      </c>
      <c r="E25" s="849" t="b">
        <v>0</v>
      </c>
      <c r="F25" s="849" t="b">
        <v>0</v>
      </c>
      <c r="G25" s="849" t="b">
        <v>0</v>
      </c>
      <c r="H25" s="849" t="b">
        <v>0</v>
      </c>
      <c r="I25" s="849" t="b">
        <v>1</v>
      </c>
      <c r="J25" s="849" t="b">
        <v>0</v>
      </c>
      <c r="K25" s="849" t="b">
        <v>0</v>
      </c>
      <c r="L25" s="849" t="b">
        <v>0</v>
      </c>
      <c r="M25" s="849" t="b">
        <v>0</v>
      </c>
      <c r="N25" s="849" t="b">
        <v>0</v>
      </c>
      <c r="O25" s="849" t="b">
        <v>0</v>
      </c>
      <c r="P25" s="849" t="b">
        <v>0</v>
      </c>
      <c r="Q25" s="857" t="s">
        <v>1514</v>
      </c>
    </row>
    <row r="26" spans="1:17" ht="23.25" customHeight="1">
      <c r="A26" s="869" t="s">
        <v>1673</v>
      </c>
      <c r="B26" s="855" t="s">
        <v>296</v>
      </c>
      <c r="C26" s="856">
        <v>7.6859999999999993E-3</v>
      </c>
      <c r="E26" s="849" t="b">
        <v>0</v>
      </c>
      <c r="F26" s="849" t="b">
        <v>0</v>
      </c>
      <c r="G26" s="849" t="b">
        <v>0</v>
      </c>
      <c r="H26" s="849" t="b">
        <v>0</v>
      </c>
      <c r="I26" s="849" t="b">
        <v>1</v>
      </c>
      <c r="J26" s="849" t="b">
        <v>0</v>
      </c>
      <c r="K26" s="849" t="b">
        <v>0</v>
      </c>
      <c r="L26" s="849" t="b">
        <v>0</v>
      </c>
      <c r="M26" s="849" t="b">
        <v>0</v>
      </c>
      <c r="N26" s="849" t="b">
        <v>0</v>
      </c>
      <c r="O26" s="849" t="b">
        <v>0</v>
      </c>
      <c r="P26" s="849" t="b">
        <v>0</v>
      </c>
      <c r="Q26" s="857" t="s">
        <v>1514</v>
      </c>
    </row>
    <row r="27" spans="1:17" ht="23.25" customHeight="1">
      <c r="A27" s="869" t="s">
        <v>1673</v>
      </c>
      <c r="B27" s="855" t="s">
        <v>306</v>
      </c>
      <c r="C27" s="856">
        <v>42</v>
      </c>
      <c r="E27" s="849" t="b">
        <v>0</v>
      </c>
      <c r="F27" s="849" t="b">
        <v>0</v>
      </c>
      <c r="G27" s="849" t="b">
        <v>0</v>
      </c>
      <c r="H27" s="849" t="b">
        <v>0</v>
      </c>
      <c r="I27" s="849" t="b">
        <v>1</v>
      </c>
      <c r="J27" s="849" t="b">
        <v>0</v>
      </c>
      <c r="K27" s="849" t="b">
        <v>0</v>
      </c>
      <c r="L27" s="849" t="b">
        <v>0</v>
      </c>
      <c r="M27" s="849" t="b">
        <v>0</v>
      </c>
      <c r="N27" s="849" t="b">
        <v>0</v>
      </c>
      <c r="O27" s="849" t="b">
        <v>0</v>
      </c>
      <c r="P27" s="849" t="b">
        <v>0</v>
      </c>
      <c r="Q27" s="857" t="s">
        <v>1514</v>
      </c>
    </row>
    <row r="28" spans="1:17" ht="23.25" customHeight="1">
      <c r="A28" s="869" t="s">
        <v>1673</v>
      </c>
      <c r="B28" s="855" t="s">
        <v>307</v>
      </c>
      <c r="C28" s="856">
        <v>172</v>
      </c>
      <c r="E28" s="849" t="b">
        <v>0</v>
      </c>
      <c r="F28" s="849" t="b">
        <v>0</v>
      </c>
      <c r="G28" s="849" t="b">
        <v>0</v>
      </c>
      <c r="H28" s="849" t="b">
        <v>0</v>
      </c>
      <c r="I28" s="849" t="b">
        <v>1</v>
      </c>
      <c r="J28" s="849" t="b">
        <v>0</v>
      </c>
      <c r="K28" s="849" t="b">
        <v>0</v>
      </c>
      <c r="L28" s="849" t="b">
        <v>0</v>
      </c>
      <c r="M28" s="849" t="b">
        <v>0</v>
      </c>
      <c r="N28" s="849" t="b">
        <v>0</v>
      </c>
      <c r="O28" s="849" t="b">
        <v>0</v>
      </c>
      <c r="P28" s="849" t="b">
        <v>0</v>
      </c>
      <c r="Q28" s="857" t="s">
        <v>1514</v>
      </c>
    </row>
    <row r="29" spans="1:17" ht="23.25" customHeight="1">
      <c r="A29" s="869" t="s">
        <v>1673</v>
      </c>
      <c r="B29" s="855" t="s">
        <v>871</v>
      </c>
      <c r="C29" s="856">
        <v>50</v>
      </c>
      <c r="E29" s="849" t="b">
        <v>0</v>
      </c>
      <c r="F29" s="849" t="b">
        <v>0</v>
      </c>
      <c r="G29" s="849" t="b">
        <v>0</v>
      </c>
      <c r="H29" s="849" t="b">
        <v>0</v>
      </c>
      <c r="I29" s="849" t="b">
        <v>1</v>
      </c>
      <c r="J29" s="849" t="b">
        <v>0</v>
      </c>
      <c r="K29" s="849" t="b">
        <v>0</v>
      </c>
      <c r="L29" s="849" t="b">
        <v>0</v>
      </c>
      <c r="M29" s="849" t="b">
        <v>0</v>
      </c>
      <c r="N29" s="849" t="b">
        <v>0</v>
      </c>
      <c r="O29" s="849" t="b">
        <v>0</v>
      </c>
      <c r="P29" s="849" t="b">
        <v>0</v>
      </c>
      <c r="Q29" s="857" t="s">
        <v>1514</v>
      </c>
    </row>
    <row r="30" spans="1:17" ht="23.25" customHeight="1">
      <c r="A30" s="869" t="s">
        <v>1673</v>
      </c>
      <c r="B30" s="855" t="s">
        <v>870</v>
      </c>
      <c r="C30" s="856">
        <v>10.584999999999999</v>
      </c>
      <c r="E30" s="849" t="b">
        <v>0</v>
      </c>
      <c r="F30" s="849" t="b">
        <v>0</v>
      </c>
      <c r="G30" s="849" t="b">
        <v>0</v>
      </c>
      <c r="H30" s="849" t="b">
        <v>0</v>
      </c>
      <c r="I30" s="849" t="b">
        <v>1</v>
      </c>
      <c r="J30" s="849" t="b">
        <v>0</v>
      </c>
      <c r="K30" s="849" t="b">
        <v>0</v>
      </c>
      <c r="L30" s="849" t="b">
        <v>0</v>
      </c>
      <c r="M30" s="849" t="b">
        <v>0</v>
      </c>
      <c r="N30" s="849" t="b">
        <v>0</v>
      </c>
      <c r="O30" s="849" t="b">
        <v>0</v>
      </c>
      <c r="P30" s="849" t="b">
        <v>0</v>
      </c>
      <c r="Q30" s="857" t="s">
        <v>1514</v>
      </c>
    </row>
    <row r="31" spans="1:17" ht="23.25" customHeight="1">
      <c r="A31" s="869" t="s">
        <v>1673</v>
      </c>
      <c r="B31" s="855" t="s">
        <v>872</v>
      </c>
      <c r="C31" s="856">
        <v>44</v>
      </c>
      <c r="E31" s="849" t="b">
        <v>0</v>
      </c>
      <c r="F31" s="849" t="b">
        <v>0</v>
      </c>
      <c r="G31" s="849" t="b">
        <v>0</v>
      </c>
      <c r="H31" s="849" t="b">
        <v>0</v>
      </c>
      <c r="I31" s="849" t="b">
        <v>1</v>
      </c>
      <c r="J31" s="849" t="b">
        <v>0</v>
      </c>
      <c r="K31" s="849" t="b">
        <v>0</v>
      </c>
      <c r="L31" s="849" t="b">
        <v>0</v>
      </c>
      <c r="M31" s="849" t="b">
        <v>0</v>
      </c>
      <c r="N31" s="849" t="b">
        <v>0</v>
      </c>
      <c r="O31" s="849" t="b">
        <v>0</v>
      </c>
      <c r="P31" s="849" t="b">
        <v>0</v>
      </c>
      <c r="Q31" s="857" t="s">
        <v>1514</v>
      </c>
    </row>
    <row r="32" spans="1:17" ht="23.25" customHeight="1">
      <c r="A32" s="869" t="s">
        <v>1673</v>
      </c>
      <c r="B32" s="855" t="s">
        <v>873</v>
      </c>
      <c r="C32" s="856">
        <v>10</v>
      </c>
      <c r="E32" s="849" t="b">
        <v>0</v>
      </c>
      <c r="F32" s="849" t="b">
        <v>0</v>
      </c>
      <c r="G32" s="849" t="b">
        <v>0</v>
      </c>
      <c r="H32" s="849" t="b">
        <v>0</v>
      </c>
      <c r="I32" s="849" t="b">
        <v>1</v>
      </c>
      <c r="J32" s="849" t="b">
        <v>0</v>
      </c>
      <c r="K32" s="849" t="b">
        <v>0</v>
      </c>
      <c r="L32" s="849" t="b">
        <v>0</v>
      </c>
      <c r="M32" s="849" t="b">
        <v>0</v>
      </c>
      <c r="N32" s="849" t="b">
        <v>0</v>
      </c>
      <c r="O32" s="849" t="b">
        <v>0</v>
      </c>
      <c r="P32" s="849" t="b">
        <v>0</v>
      </c>
      <c r="Q32" s="857" t="s">
        <v>1514</v>
      </c>
    </row>
    <row r="33" spans="1:17" ht="23.25" customHeight="1">
      <c r="A33" s="869" t="s">
        <v>1673</v>
      </c>
      <c r="B33" s="855" t="s">
        <v>874</v>
      </c>
      <c r="C33" s="856">
        <v>0.08</v>
      </c>
      <c r="E33" s="849" t="b">
        <v>0</v>
      </c>
      <c r="F33" s="849" t="b">
        <v>0</v>
      </c>
      <c r="G33" s="849" t="b">
        <v>0</v>
      </c>
      <c r="H33" s="849" t="b">
        <v>0</v>
      </c>
      <c r="I33" s="849" t="b">
        <v>1</v>
      </c>
      <c r="J33" s="849" t="b">
        <v>0</v>
      </c>
      <c r="K33" s="849" t="b">
        <v>0</v>
      </c>
      <c r="L33" s="849" t="b">
        <v>0</v>
      </c>
      <c r="M33" s="849" t="b">
        <v>0</v>
      </c>
      <c r="N33" s="849" t="b">
        <v>0</v>
      </c>
      <c r="O33" s="849" t="b">
        <v>0</v>
      </c>
      <c r="P33" s="849" t="b">
        <v>0</v>
      </c>
      <c r="Q33" s="857" t="s">
        <v>1514</v>
      </c>
    </row>
    <row r="34" spans="1:17" ht="23.25" customHeight="1">
      <c r="A34" s="869" t="s">
        <v>1673</v>
      </c>
      <c r="B34" s="855" t="s">
        <v>875</v>
      </c>
      <c r="C34" s="856">
        <v>0.9</v>
      </c>
      <c r="E34" s="849" t="b">
        <v>0</v>
      </c>
      <c r="F34" s="849" t="b">
        <v>0</v>
      </c>
      <c r="G34" s="849" t="b">
        <v>0</v>
      </c>
      <c r="H34" s="849" t="b">
        <v>0</v>
      </c>
      <c r="I34" s="849" t="b">
        <v>1</v>
      </c>
      <c r="J34" s="849" t="b">
        <v>0</v>
      </c>
      <c r="K34" s="849" t="b">
        <v>0</v>
      </c>
      <c r="L34" s="849" t="b">
        <v>0</v>
      </c>
      <c r="M34" s="849" t="b">
        <v>0</v>
      </c>
      <c r="N34" s="849" t="b">
        <v>0</v>
      </c>
      <c r="O34" s="849" t="b">
        <v>0</v>
      </c>
      <c r="P34" s="849" t="b">
        <v>0</v>
      </c>
      <c r="Q34" s="857" t="s">
        <v>1514</v>
      </c>
    </row>
    <row r="35" spans="1:17" ht="23.25" customHeight="1">
      <c r="A35" s="869" t="s">
        <v>1673</v>
      </c>
      <c r="B35" s="855" t="s">
        <v>876</v>
      </c>
      <c r="C35" s="856">
        <v>10</v>
      </c>
      <c r="E35" s="849" t="b">
        <v>0</v>
      </c>
      <c r="F35" s="849" t="b">
        <v>0</v>
      </c>
      <c r="G35" s="849" t="b">
        <v>0</v>
      </c>
      <c r="H35" s="849" t="b">
        <v>0</v>
      </c>
      <c r="I35" s="849" t="b">
        <v>1</v>
      </c>
      <c r="J35" s="849" t="b">
        <v>0</v>
      </c>
      <c r="K35" s="849" t="b">
        <v>0</v>
      </c>
      <c r="L35" s="849" t="b">
        <v>0</v>
      </c>
      <c r="M35" s="849" t="b">
        <v>0</v>
      </c>
      <c r="N35" s="849" t="b">
        <v>0</v>
      </c>
      <c r="O35" s="849" t="b">
        <v>0</v>
      </c>
      <c r="P35" s="849" t="b">
        <v>0</v>
      </c>
      <c r="Q35" s="857" t="s">
        <v>1514</v>
      </c>
    </row>
  </sheetData>
  <phoneticPr fontId="7"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11"/>
  <sheetViews>
    <sheetView zoomScale="55" zoomScaleNormal="55" workbookViewId="0">
      <selection activeCell="A12" sqref="A12:XFD16"/>
    </sheetView>
  </sheetViews>
  <sheetFormatPr defaultRowHeight="23.25" customHeight="1"/>
  <cols>
    <col min="1" max="1" width="34.75" style="868" customWidth="1"/>
    <col min="2" max="2" width="23.625" style="858" customWidth="1"/>
    <col min="3" max="3" width="29" style="859" customWidth="1"/>
    <col min="4" max="4" width="9" style="849"/>
    <col min="5" max="16" width="9" style="849" hidden="1" customWidth="1"/>
    <col min="17" max="16384" width="9" style="849"/>
  </cols>
  <sheetData>
    <row r="1" spans="1:17" ht="78" customHeight="1">
      <c r="A1" s="864" t="s">
        <v>318</v>
      </c>
      <c r="B1" s="847"/>
      <c r="C1" s="848"/>
    </row>
    <row r="2" spans="1:17" s="852" customFormat="1" ht="23.25" customHeight="1">
      <c r="A2" s="867" t="s">
        <v>319</v>
      </c>
      <c r="B2" s="850" t="s">
        <v>320</v>
      </c>
      <c r="C2" s="851" t="s">
        <v>331</v>
      </c>
      <c r="E2" s="853">
        <v>1</v>
      </c>
      <c r="F2" s="853" t="s">
        <v>831</v>
      </c>
      <c r="G2" s="853">
        <v>2</v>
      </c>
      <c r="H2" s="853" t="s">
        <v>831</v>
      </c>
      <c r="I2" s="853">
        <v>3</v>
      </c>
      <c r="J2" s="853" t="s">
        <v>831</v>
      </c>
      <c r="K2" s="853">
        <v>4</v>
      </c>
      <c r="L2" s="853" t="s">
        <v>831</v>
      </c>
      <c r="M2" s="853">
        <v>5</v>
      </c>
      <c r="N2" s="853" t="s">
        <v>831</v>
      </c>
      <c r="O2" s="853">
        <v>6</v>
      </c>
      <c r="P2" s="860" t="s">
        <v>831</v>
      </c>
      <c r="Q2" s="854">
        <v>3</v>
      </c>
    </row>
    <row r="3" spans="1:17" s="852" customFormat="1" ht="23.25" customHeight="1">
      <c r="A3" s="867" t="s">
        <v>343</v>
      </c>
      <c r="B3" s="850" t="s">
        <v>344</v>
      </c>
      <c r="C3" s="851" t="s">
        <v>352</v>
      </c>
      <c r="Q3" s="861"/>
    </row>
    <row r="4" spans="1:17" ht="23.25" customHeight="1">
      <c r="A4" s="866" t="s">
        <v>1674</v>
      </c>
      <c r="B4" s="855" t="s">
        <v>239</v>
      </c>
      <c r="C4" s="856"/>
      <c r="E4" s="849" t="b">
        <v>0</v>
      </c>
      <c r="F4" s="849" t="b">
        <v>0</v>
      </c>
      <c r="G4" s="849" t="b">
        <v>0</v>
      </c>
      <c r="H4" s="849" t="b">
        <v>0</v>
      </c>
      <c r="I4" s="849" t="b">
        <v>0</v>
      </c>
      <c r="J4" s="849" t="b">
        <v>0</v>
      </c>
      <c r="K4" s="849" t="b">
        <v>0</v>
      </c>
      <c r="L4" s="849" t="b">
        <v>0</v>
      </c>
      <c r="M4" s="849" t="b">
        <v>0</v>
      </c>
      <c r="N4" s="849" t="b">
        <v>0</v>
      </c>
      <c r="O4" s="849" t="b">
        <v>0</v>
      </c>
      <c r="P4" s="849" t="b">
        <v>0</v>
      </c>
      <c r="Q4" s="857">
        <v>1</v>
      </c>
    </row>
    <row r="5" spans="1:17" ht="23.25" customHeight="1">
      <c r="A5" s="869" t="s">
        <v>1674</v>
      </c>
      <c r="B5" s="855" t="s">
        <v>871</v>
      </c>
      <c r="C5" s="856">
        <v>45</v>
      </c>
      <c r="E5" s="849" t="b">
        <v>0</v>
      </c>
      <c r="F5" s="849" t="b">
        <v>0</v>
      </c>
      <c r="G5" s="849" t="b">
        <v>0</v>
      </c>
      <c r="H5" s="849" t="b">
        <v>0</v>
      </c>
      <c r="I5" s="849" t="b">
        <v>1</v>
      </c>
      <c r="J5" s="849" t="b">
        <v>0</v>
      </c>
      <c r="K5" s="849" t="b">
        <v>0</v>
      </c>
      <c r="L5" s="849" t="b">
        <v>0</v>
      </c>
      <c r="M5" s="849" t="b">
        <v>0</v>
      </c>
      <c r="N5" s="849" t="b">
        <v>0</v>
      </c>
      <c r="O5" s="849" t="b">
        <v>0</v>
      </c>
      <c r="P5" s="849" t="b">
        <v>0</v>
      </c>
      <c r="Q5" s="857" t="s">
        <v>1514</v>
      </c>
    </row>
    <row r="6" spans="1:17" ht="23.25" customHeight="1">
      <c r="A6" s="869" t="s">
        <v>1674</v>
      </c>
      <c r="B6" s="855" t="s">
        <v>870</v>
      </c>
      <c r="C6" s="856">
        <v>10.95</v>
      </c>
      <c r="E6" s="849" t="b">
        <v>0</v>
      </c>
      <c r="F6" s="849" t="b">
        <v>0</v>
      </c>
      <c r="G6" s="849" t="b">
        <v>0</v>
      </c>
      <c r="H6" s="849" t="b">
        <v>0</v>
      </c>
      <c r="I6" s="849" t="b">
        <v>1</v>
      </c>
      <c r="J6" s="849" t="b">
        <v>0</v>
      </c>
      <c r="K6" s="849" t="b">
        <v>0</v>
      </c>
      <c r="L6" s="849" t="b">
        <v>0</v>
      </c>
      <c r="M6" s="849" t="b">
        <v>0</v>
      </c>
      <c r="N6" s="849" t="b">
        <v>0</v>
      </c>
      <c r="O6" s="849" t="b">
        <v>0</v>
      </c>
      <c r="P6" s="849" t="b">
        <v>0</v>
      </c>
      <c r="Q6" s="857" t="s">
        <v>1514</v>
      </c>
    </row>
    <row r="7" spans="1:17" ht="23.25" customHeight="1">
      <c r="A7" s="869" t="s">
        <v>1674</v>
      </c>
      <c r="B7" s="855" t="s">
        <v>872</v>
      </c>
      <c r="C7" s="856">
        <v>45</v>
      </c>
      <c r="E7" s="849" t="b">
        <v>0</v>
      </c>
      <c r="F7" s="849" t="b">
        <v>0</v>
      </c>
      <c r="G7" s="849" t="b">
        <v>0</v>
      </c>
      <c r="H7" s="849" t="b">
        <v>0</v>
      </c>
      <c r="I7" s="849" t="b">
        <v>1</v>
      </c>
      <c r="J7" s="849" t="b">
        <v>0</v>
      </c>
      <c r="K7" s="849" t="b">
        <v>0</v>
      </c>
      <c r="L7" s="849" t="b">
        <v>0</v>
      </c>
      <c r="M7" s="849" t="b">
        <v>0</v>
      </c>
      <c r="N7" s="849" t="b">
        <v>0</v>
      </c>
      <c r="O7" s="849" t="b">
        <v>0</v>
      </c>
      <c r="P7" s="849" t="b">
        <v>0</v>
      </c>
      <c r="Q7" s="857" t="s">
        <v>1514</v>
      </c>
    </row>
    <row r="8" spans="1:17" ht="23.25" customHeight="1">
      <c r="A8" s="869" t="s">
        <v>1674</v>
      </c>
      <c r="B8" s="855" t="s">
        <v>873</v>
      </c>
      <c r="C8" s="856">
        <v>10.227272727272727</v>
      </c>
      <c r="E8" s="849" t="b">
        <v>0</v>
      </c>
      <c r="F8" s="849" t="b">
        <v>0</v>
      </c>
      <c r="G8" s="849" t="b">
        <v>0</v>
      </c>
      <c r="H8" s="849" t="b">
        <v>0</v>
      </c>
      <c r="I8" s="849" t="b">
        <v>1</v>
      </c>
      <c r="J8" s="849" t="b">
        <v>0</v>
      </c>
      <c r="K8" s="849" t="b">
        <v>0</v>
      </c>
      <c r="L8" s="849" t="b">
        <v>0</v>
      </c>
      <c r="M8" s="849" t="b">
        <v>0</v>
      </c>
      <c r="N8" s="849" t="b">
        <v>0</v>
      </c>
      <c r="O8" s="849" t="b">
        <v>0</v>
      </c>
      <c r="P8" s="849" t="b">
        <v>0</v>
      </c>
      <c r="Q8" s="857" t="s">
        <v>1514</v>
      </c>
    </row>
    <row r="9" spans="1:17" ht="23.25" customHeight="1">
      <c r="A9" s="869" t="s">
        <v>1674</v>
      </c>
      <c r="B9" s="855" t="s">
        <v>874</v>
      </c>
      <c r="C9" s="856">
        <v>0.12</v>
      </c>
      <c r="E9" s="849" t="b">
        <v>0</v>
      </c>
      <c r="F9" s="849" t="b">
        <v>0</v>
      </c>
      <c r="G9" s="849" t="b">
        <v>0</v>
      </c>
      <c r="H9" s="849" t="b">
        <v>0</v>
      </c>
      <c r="I9" s="849" t="b">
        <v>1</v>
      </c>
      <c r="J9" s="849" t="b">
        <v>0</v>
      </c>
      <c r="K9" s="849" t="b">
        <v>0</v>
      </c>
      <c r="L9" s="849" t="b">
        <v>0</v>
      </c>
      <c r="M9" s="849" t="b">
        <v>0</v>
      </c>
      <c r="N9" s="849" t="b">
        <v>0</v>
      </c>
      <c r="O9" s="849" t="b">
        <v>0</v>
      </c>
      <c r="P9" s="849" t="b">
        <v>0</v>
      </c>
      <c r="Q9" s="857" t="s">
        <v>1514</v>
      </c>
    </row>
    <row r="10" spans="1:17" ht="23.25" customHeight="1">
      <c r="A10" s="869" t="s">
        <v>1674</v>
      </c>
      <c r="B10" s="855" t="s">
        <v>875</v>
      </c>
      <c r="C10" s="856">
        <v>0.95</v>
      </c>
      <c r="E10" s="849" t="b">
        <v>0</v>
      </c>
      <c r="F10" s="849" t="b">
        <v>0</v>
      </c>
      <c r="G10" s="849" t="b">
        <v>0</v>
      </c>
      <c r="H10" s="849" t="b">
        <v>0</v>
      </c>
      <c r="I10" s="849" t="b">
        <v>1</v>
      </c>
      <c r="J10" s="849" t="b">
        <v>0</v>
      </c>
      <c r="K10" s="849" t="b">
        <v>0</v>
      </c>
      <c r="L10" s="849" t="b">
        <v>0</v>
      </c>
      <c r="M10" s="849" t="b">
        <v>0</v>
      </c>
      <c r="N10" s="849" t="b">
        <v>0</v>
      </c>
      <c r="O10" s="849" t="b">
        <v>0</v>
      </c>
      <c r="P10" s="849" t="b">
        <v>0</v>
      </c>
      <c r="Q10" s="857" t="s">
        <v>1514</v>
      </c>
    </row>
    <row r="11" spans="1:17" ht="23.25" customHeight="1">
      <c r="A11" s="869" t="s">
        <v>1674</v>
      </c>
      <c r="B11" s="855" t="s">
        <v>876</v>
      </c>
      <c r="C11" s="856">
        <v>10</v>
      </c>
      <c r="E11" s="849" t="b">
        <v>0</v>
      </c>
      <c r="F11" s="849" t="b">
        <v>0</v>
      </c>
      <c r="G11" s="849" t="b">
        <v>0</v>
      </c>
      <c r="H11" s="849" t="b">
        <v>0</v>
      </c>
      <c r="I11" s="849" t="b">
        <v>1</v>
      </c>
      <c r="J11" s="849" t="b">
        <v>0</v>
      </c>
      <c r="K11" s="849" t="b">
        <v>0</v>
      </c>
      <c r="L11" s="849" t="b">
        <v>0</v>
      </c>
      <c r="M11" s="849" t="b">
        <v>0</v>
      </c>
      <c r="N11" s="849" t="b">
        <v>0</v>
      </c>
      <c r="O11" s="849" t="b">
        <v>0</v>
      </c>
      <c r="P11" s="849" t="b">
        <v>0</v>
      </c>
      <c r="Q11" s="857" t="s">
        <v>1514</v>
      </c>
    </row>
  </sheetData>
  <phoneticPr fontId="7"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34"/>
  <sheetViews>
    <sheetView zoomScale="70" zoomScaleNormal="70" workbookViewId="0">
      <selection activeCell="A35" sqref="A35:XFD48"/>
    </sheetView>
  </sheetViews>
  <sheetFormatPr defaultRowHeight="21" customHeight="1"/>
  <cols>
    <col min="1" max="1" width="24.75" style="871" customWidth="1"/>
    <col min="2" max="2" width="26.875" style="312" customWidth="1"/>
    <col min="3" max="3" width="27.125" style="790" customWidth="1"/>
    <col min="4" max="4" width="9" style="309"/>
    <col min="5" max="16" width="9" style="309" hidden="1" customWidth="1"/>
    <col min="17" max="16384" width="9" style="309"/>
  </cols>
  <sheetData>
    <row r="1" spans="1:17" ht="50.25" customHeight="1">
      <c r="A1" s="844" t="s">
        <v>318</v>
      </c>
      <c r="B1" s="768"/>
      <c r="C1" s="786"/>
    </row>
    <row r="2" spans="1:17" s="314" customFormat="1" ht="21" customHeight="1">
      <c r="A2" s="870" t="s">
        <v>319</v>
      </c>
      <c r="B2" s="311" t="s">
        <v>320</v>
      </c>
      <c r="C2" s="787" t="s">
        <v>334</v>
      </c>
      <c r="E2" s="781">
        <v>1</v>
      </c>
      <c r="F2" s="781" t="s">
        <v>831</v>
      </c>
      <c r="G2" s="781">
        <v>2</v>
      </c>
      <c r="H2" s="781" t="s">
        <v>831</v>
      </c>
      <c r="I2" s="781">
        <v>3</v>
      </c>
      <c r="J2" s="781" t="s">
        <v>831</v>
      </c>
      <c r="K2" s="781">
        <v>4</v>
      </c>
      <c r="L2" s="781" t="s">
        <v>831</v>
      </c>
      <c r="M2" s="781">
        <v>5</v>
      </c>
      <c r="N2" s="781" t="s">
        <v>831</v>
      </c>
      <c r="O2" s="781">
        <v>6</v>
      </c>
      <c r="P2" s="781" t="s">
        <v>831</v>
      </c>
      <c r="Q2" s="798">
        <v>4</v>
      </c>
    </row>
    <row r="3" spans="1:17" s="314" customFormat="1" ht="21" customHeight="1">
      <c r="A3" s="870" t="s">
        <v>343</v>
      </c>
      <c r="B3" s="311" t="s">
        <v>344</v>
      </c>
      <c r="C3" s="787" t="s">
        <v>353</v>
      </c>
      <c r="Q3" s="846"/>
    </row>
    <row r="4" spans="1:17" s="316" customFormat="1" ht="21" customHeight="1">
      <c r="A4" s="869" t="s">
        <v>1675</v>
      </c>
      <c r="B4" s="315" t="s">
        <v>262</v>
      </c>
      <c r="C4" s="784">
        <v>64.900000000000006</v>
      </c>
      <c r="E4" s="316" t="b">
        <v>0</v>
      </c>
      <c r="F4" s="316" t="b">
        <v>0</v>
      </c>
      <c r="G4" s="316" t="b">
        <v>0</v>
      </c>
      <c r="H4" s="316" t="b">
        <v>0</v>
      </c>
      <c r="I4" s="316" t="b">
        <v>0</v>
      </c>
      <c r="J4" s="316" t="b">
        <v>0</v>
      </c>
      <c r="K4" s="316" t="b">
        <v>1</v>
      </c>
      <c r="L4" s="316" t="b">
        <v>0</v>
      </c>
      <c r="M4" s="316" t="b">
        <v>0</v>
      </c>
      <c r="N4" s="316" t="b">
        <v>0</v>
      </c>
      <c r="O4" s="316" t="b">
        <v>0</v>
      </c>
      <c r="P4" s="316" t="b">
        <v>0</v>
      </c>
      <c r="Q4" s="845" t="s">
        <v>1514</v>
      </c>
    </row>
    <row r="5" spans="1:17" s="316" customFormat="1" ht="21" customHeight="1">
      <c r="A5" s="869" t="s">
        <v>1675</v>
      </c>
      <c r="B5" s="315" t="s">
        <v>263</v>
      </c>
      <c r="C5" s="784">
        <v>70.741</v>
      </c>
      <c r="E5" s="316" t="b">
        <v>0</v>
      </c>
      <c r="F5" s="316" t="b">
        <v>0</v>
      </c>
      <c r="G5" s="316" t="b">
        <v>0</v>
      </c>
      <c r="H5" s="316" t="b">
        <v>0</v>
      </c>
      <c r="I5" s="316" t="b">
        <v>0</v>
      </c>
      <c r="J5" s="316" t="b">
        <v>0</v>
      </c>
      <c r="K5" s="316" t="b">
        <v>1</v>
      </c>
      <c r="L5" s="316" t="b">
        <v>0</v>
      </c>
      <c r="M5" s="316" t="b">
        <v>0</v>
      </c>
      <c r="N5" s="316" t="b">
        <v>0</v>
      </c>
      <c r="O5" s="316" t="b">
        <v>0</v>
      </c>
      <c r="P5" s="316" t="b">
        <v>0</v>
      </c>
      <c r="Q5" s="845" t="s">
        <v>1514</v>
      </c>
    </row>
    <row r="6" spans="1:17" s="316" customFormat="1" ht="21" customHeight="1">
      <c r="A6" s="869" t="s">
        <v>1675</v>
      </c>
      <c r="B6" s="315" t="s">
        <v>264</v>
      </c>
      <c r="C6" s="784">
        <v>63.293999999999997</v>
      </c>
      <c r="E6" s="316" t="b">
        <v>0</v>
      </c>
      <c r="F6" s="316" t="b">
        <v>0</v>
      </c>
      <c r="G6" s="316" t="b">
        <v>0</v>
      </c>
      <c r="H6" s="316" t="b">
        <v>0</v>
      </c>
      <c r="I6" s="316" t="b">
        <v>0</v>
      </c>
      <c r="J6" s="316" t="b">
        <v>0</v>
      </c>
      <c r="K6" s="316" t="b">
        <v>1</v>
      </c>
      <c r="L6" s="316" t="b">
        <v>0</v>
      </c>
      <c r="M6" s="316" t="b">
        <v>0</v>
      </c>
      <c r="N6" s="316" t="b">
        <v>0</v>
      </c>
      <c r="O6" s="316" t="b">
        <v>0</v>
      </c>
      <c r="P6" s="316" t="b">
        <v>0</v>
      </c>
      <c r="Q6" s="845" t="s">
        <v>1514</v>
      </c>
    </row>
    <row r="7" spans="1:17" s="316" customFormat="1" ht="21" customHeight="1">
      <c r="A7" s="869" t="s">
        <v>1675</v>
      </c>
      <c r="B7" s="315" t="s">
        <v>265</v>
      </c>
      <c r="C7" s="784">
        <v>54.516000000000005</v>
      </c>
      <c r="E7" s="316" t="b">
        <v>0</v>
      </c>
      <c r="F7" s="316" t="b">
        <v>0</v>
      </c>
      <c r="G7" s="316" t="b">
        <v>0</v>
      </c>
      <c r="H7" s="316" t="b">
        <v>0</v>
      </c>
      <c r="I7" s="316" t="b">
        <v>0</v>
      </c>
      <c r="J7" s="316" t="b">
        <v>0</v>
      </c>
      <c r="K7" s="316" t="b">
        <v>1</v>
      </c>
      <c r="L7" s="316" t="b">
        <v>0</v>
      </c>
      <c r="M7" s="316" t="b">
        <v>0</v>
      </c>
      <c r="N7" s="316" t="b">
        <v>0</v>
      </c>
      <c r="O7" s="316" t="b">
        <v>0</v>
      </c>
      <c r="P7" s="316" t="b">
        <v>0</v>
      </c>
      <c r="Q7" s="845" t="s">
        <v>1514</v>
      </c>
    </row>
    <row r="8" spans="1:17" s="316" customFormat="1" ht="21" customHeight="1">
      <c r="A8" s="869" t="s">
        <v>1675</v>
      </c>
      <c r="B8" s="315" t="s">
        <v>266</v>
      </c>
      <c r="C8" s="784">
        <v>140.80000000000001</v>
      </c>
      <c r="E8" s="316" t="b">
        <v>0</v>
      </c>
      <c r="F8" s="316" t="b">
        <v>0</v>
      </c>
      <c r="G8" s="316" t="b">
        <v>0</v>
      </c>
      <c r="H8" s="316" t="b">
        <v>0</v>
      </c>
      <c r="I8" s="316" t="b">
        <v>0</v>
      </c>
      <c r="J8" s="316" t="b">
        <v>0</v>
      </c>
      <c r="K8" s="316" t="b">
        <v>1</v>
      </c>
      <c r="L8" s="316" t="b">
        <v>0</v>
      </c>
      <c r="M8" s="316" t="b">
        <v>0</v>
      </c>
      <c r="N8" s="316" t="b">
        <v>0</v>
      </c>
      <c r="O8" s="316" t="b">
        <v>0</v>
      </c>
      <c r="P8" s="316" t="b">
        <v>0</v>
      </c>
      <c r="Q8" s="845" t="s">
        <v>1514</v>
      </c>
    </row>
    <row r="9" spans="1:17" s="316" customFormat="1" ht="21" customHeight="1">
      <c r="A9" s="869" t="s">
        <v>1675</v>
      </c>
      <c r="B9" s="315" t="s">
        <v>267</v>
      </c>
      <c r="C9" s="784">
        <v>11.309999999999999</v>
      </c>
      <c r="E9" s="316" t="b">
        <v>0</v>
      </c>
      <c r="F9" s="316" t="b">
        <v>0</v>
      </c>
      <c r="G9" s="316" t="b">
        <v>0</v>
      </c>
      <c r="H9" s="316" t="b">
        <v>0</v>
      </c>
      <c r="I9" s="316" t="b">
        <v>0</v>
      </c>
      <c r="J9" s="316" t="b">
        <v>0</v>
      </c>
      <c r="K9" s="316" t="b">
        <v>1</v>
      </c>
      <c r="L9" s="316" t="b">
        <v>0</v>
      </c>
      <c r="M9" s="316" t="b">
        <v>0</v>
      </c>
      <c r="N9" s="316" t="b">
        <v>0</v>
      </c>
      <c r="O9" s="316" t="b">
        <v>0</v>
      </c>
      <c r="P9" s="316" t="b">
        <v>0</v>
      </c>
      <c r="Q9" s="845" t="s">
        <v>1514</v>
      </c>
    </row>
    <row r="10" spans="1:17" s="316" customFormat="1" ht="21" customHeight="1">
      <c r="A10" s="869" t="s">
        <v>1675</v>
      </c>
      <c r="B10" s="315" t="s">
        <v>268</v>
      </c>
      <c r="C10" s="784">
        <v>5.9025799999999995</v>
      </c>
      <c r="E10" s="316" t="b">
        <v>0</v>
      </c>
      <c r="F10" s="316" t="b">
        <v>0</v>
      </c>
      <c r="G10" s="316" t="b">
        <v>0</v>
      </c>
      <c r="H10" s="316" t="b">
        <v>0</v>
      </c>
      <c r="I10" s="316" t="b">
        <v>0</v>
      </c>
      <c r="J10" s="316" t="b">
        <v>0</v>
      </c>
      <c r="K10" s="316" t="b">
        <v>1</v>
      </c>
      <c r="L10" s="316" t="b">
        <v>0</v>
      </c>
      <c r="M10" s="316" t="b">
        <v>0</v>
      </c>
      <c r="N10" s="316" t="b">
        <v>0</v>
      </c>
      <c r="O10" s="316" t="b">
        <v>0</v>
      </c>
      <c r="P10" s="316" t="b">
        <v>0</v>
      </c>
      <c r="Q10" s="845" t="s">
        <v>1514</v>
      </c>
    </row>
    <row r="11" spans="1:17" s="316" customFormat="1" ht="21" customHeight="1">
      <c r="A11" s="869" t="s">
        <v>1675</v>
      </c>
      <c r="B11" s="315" t="s">
        <v>269</v>
      </c>
      <c r="C11" s="784">
        <v>2.68</v>
      </c>
      <c r="E11" s="316" t="b">
        <v>0</v>
      </c>
      <c r="F11" s="316" t="b">
        <v>0</v>
      </c>
      <c r="G11" s="316" t="b">
        <v>0</v>
      </c>
      <c r="H11" s="316" t="b">
        <v>0</v>
      </c>
      <c r="I11" s="316" t="b">
        <v>0</v>
      </c>
      <c r="J11" s="316" t="b">
        <v>0</v>
      </c>
      <c r="K11" s="316" t="b">
        <v>1</v>
      </c>
      <c r="L11" s="316" t="b">
        <v>0</v>
      </c>
      <c r="M11" s="316" t="b">
        <v>0</v>
      </c>
      <c r="N11" s="316" t="b">
        <v>0</v>
      </c>
      <c r="O11" s="316" t="b">
        <v>0</v>
      </c>
      <c r="P11" s="316" t="b">
        <v>0</v>
      </c>
      <c r="Q11" s="845" t="s">
        <v>1514</v>
      </c>
    </row>
    <row r="12" spans="1:17" s="316" customFormat="1" ht="21" customHeight="1">
      <c r="A12" s="869" t="s">
        <v>1675</v>
      </c>
      <c r="B12" s="315" t="s">
        <v>270</v>
      </c>
      <c r="C12" s="784">
        <v>0.45054687500000001</v>
      </c>
      <c r="E12" s="316" t="b">
        <v>0</v>
      </c>
      <c r="F12" s="316" t="b">
        <v>0</v>
      </c>
      <c r="G12" s="316" t="b">
        <v>0</v>
      </c>
      <c r="H12" s="316" t="b">
        <v>0</v>
      </c>
      <c r="I12" s="316" t="b">
        <v>0</v>
      </c>
      <c r="J12" s="316" t="b">
        <v>0</v>
      </c>
      <c r="K12" s="316" t="b">
        <v>1</v>
      </c>
      <c r="L12" s="316" t="b">
        <v>0</v>
      </c>
      <c r="M12" s="316" t="b">
        <v>0</v>
      </c>
      <c r="N12" s="316" t="b">
        <v>0</v>
      </c>
      <c r="O12" s="316" t="b">
        <v>0</v>
      </c>
      <c r="P12" s="316" t="b">
        <v>0</v>
      </c>
      <c r="Q12" s="845" t="s">
        <v>1514</v>
      </c>
    </row>
    <row r="13" spans="1:17" s="316" customFormat="1" ht="21" customHeight="1">
      <c r="A13" s="869" t="s">
        <v>1675</v>
      </c>
      <c r="B13" s="315" t="s">
        <v>283</v>
      </c>
      <c r="C13" s="784">
        <v>130</v>
      </c>
      <c r="E13" s="316" t="b">
        <v>0</v>
      </c>
      <c r="F13" s="316" t="b">
        <v>0</v>
      </c>
      <c r="G13" s="316" t="b">
        <v>0</v>
      </c>
      <c r="H13" s="316" t="b">
        <v>0</v>
      </c>
      <c r="I13" s="316" t="b">
        <v>0</v>
      </c>
      <c r="J13" s="316" t="b">
        <v>0</v>
      </c>
      <c r="K13" s="316" t="b">
        <v>1</v>
      </c>
      <c r="L13" s="316" t="b">
        <v>0</v>
      </c>
      <c r="M13" s="316" t="b">
        <v>0</v>
      </c>
      <c r="N13" s="316" t="b">
        <v>0</v>
      </c>
      <c r="O13" s="316" t="b">
        <v>0</v>
      </c>
      <c r="P13" s="316" t="b">
        <v>0</v>
      </c>
      <c r="Q13" s="845" t="s">
        <v>1514</v>
      </c>
    </row>
    <row r="14" spans="1:17" s="316" customFormat="1" ht="21" customHeight="1">
      <c r="A14" s="869" t="s">
        <v>1675</v>
      </c>
      <c r="B14" s="315" t="s">
        <v>284</v>
      </c>
      <c r="C14" s="784">
        <v>40</v>
      </c>
      <c r="E14" s="316" t="b">
        <v>0</v>
      </c>
      <c r="F14" s="316" t="b">
        <v>0</v>
      </c>
      <c r="G14" s="316" t="b">
        <v>0</v>
      </c>
      <c r="H14" s="316" t="b">
        <v>0</v>
      </c>
      <c r="I14" s="316" t="b">
        <v>0</v>
      </c>
      <c r="J14" s="316" t="b">
        <v>0</v>
      </c>
      <c r="K14" s="316" t="b">
        <v>1</v>
      </c>
      <c r="L14" s="316" t="b">
        <v>0</v>
      </c>
      <c r="M14" s="316" t="b">
        <v>0</v>
      </c>
      <c r="N14" s="316" t="b">
        <v>0</v>
      </c>
      <c r="O14" s="316" t="b">
        <v>0</v>
      </c>
      <c r="P14" s="316" t="b">
        <v>0</v>
      </c>
      <c r="Q14" s="845" t="s">
        <v>1514</v>
      </c>
    </row>
    <row r="15" spans="1:17" s="316" customFormat="1" ht="21" customHeight="1">
      <c r="A15" s="869" t="s">
        <v>1675</v>
      </c>
      <c r="B15" s="315" t="s">
        <v>285</v>
      </c>
      <c r="C15" s="784">
        <v>49.973000000000006</v>
      </c>
      <c r="E15" s="316" t="b">
        <v>0</v>
      </c>
      <c r="F15" s="316" t="b">
        <v>0</v>
      </c>
      <c r="G15" s="316" t="b">
        <v>0</v>
      </c>
      <c r="H15" s="316" t="b">
        <v>0</v>
      </c>
      <c r="I15" s="316" t="b">
        <v>0</v>
      </c>
      <c r="J15" s="316" t="b">
        <v>0</v>
      </c>
      <c r="K15" s="316" t="b">
        <v>1</v>
      </c>
      <c r="L15" s="316" t="b">
        <v>0</v>
      </c>
      <c r="M15" s="316" t="b">
        <v>0</v>
      </c>
      <c r="N15" s="316" t="b">
        <v>0</v>
      </c>
      <c r="O15" s="316" t="b">
        <v>0</v>
      </c>
      <c r="P15" s="316" t="b">
        <v>0</v>
      </c>
      <c r="Q15" s="845" t="s">
        <v>1514</v>
      </c>
    </row>
    <row r="16" spans="1:17" s="316" customFormat="1" ht="21" customHeight="1">
      <c r="A16" s="869" t="s">
        <v>1675</v>
      </c>
      <c r="B16" s="315" t="s">
        <v>286</v>
      </c>
      <c r="C16" s="784">
        <v>48.675000000000004</v>
      </c>
      <c r="E16" s="316" t="b">
        <v>0</v>
      </c>
      <c r="F16" s="316" t="b">
        <v>0</v>
      </c>
      <c r="G16" s="316" t="b">
        <v>0</v>
      </c>
      <c r="H16" s="316" t="b">
        <v>0</v>
      </c>
      <c r="I16" s="316" t="b">
        <v>0</v>
      </c>
      <c r="J16" s="316" t="b">
        <v>0</v>
      </c>
      <c r="K16" s="316" t="b">
        <v>1</v>
      </c>
      <c r="L16" s="316" t="b">
        <v>0</v>
      </c>
      <c r="M16" s="316" t="b">
        <v>0</v>
      </c>
      <c r="N16" s="316" t="b">
        <v>0</v>
      </c>
      <c r="O16" s="316" t="b">
        <v>0</v>
      </c>
      <c r="P16" s="316" t="b">
        <v>0</v>
      </c>
      <c r="Q16" s="845" t="s">
        <v>1514</v>
      </c>
    </row>
    <row r="17" spans="1:17" s="316" customFormat="1" ht="21" customHeight="1">
      <c r="A17" s="869" t="s">
        <v>1675</v>
      </c>
      <c r="B17" s="315" t="s">
        <v>287</v>
      </c>
      <c r="C17" s="784">
        <v>61.908000000000001</v>
      </c>
      <c r="E17" s="316" t="b">
        <v>0</v>
      </c>
      <c r="F17" s="316" t="b">
        <v>0</v>
      </c>
      <c r="G17" s="316" t="b">
        <v>0</v>
      </c>
      <c r="H17" s="316" t="b">
        <v>0</v>
      </c>
      <c r="I17" s="316" t="b">
        <v>0</v>
      </c>
      <c r="J17" s="316" t="b">
        <v>0</v>
      </c>
      <c r="K17" s="316" t="b">
        <v>1</v>
      </c>
      <c r="L17" s="316" t="b">
        <v>0</v>
      </c>
      <c r="M17" s="316" t="b">
        <v>0</v>
      </c>
      <c r="N17" s="316" t="b">
        <v>0</v>
      </c>
      <c r="O17" s="316" t="b">
        <v>0</v>
      </c>
      <c r="P17" s="316" t="b">
        <v>0</v>
      </c>
      <c r="Q17" s="845" t="s">
        <v>1514</v>
      </c>
    </row>
    <row r="18" spans="1:17" s="316" customFormat="1" ht="21" customHeight="1">
      <c r="A18" s="869" t="s">
        <v>1675</v>
      </c>
      <c r="B18" s="315" t="s">
        <v>288</v>
      </c>
      <c r="C18" s="784">
        <v>60.06</v>
      </c>
      <c r="E18" s="316" t="b">
        <v>0</v>
      </c>
      <c r="F18" s="316" t="b">
        <v>0</v>
      </c>
      <c r="G18" s="316" t="b">
        <v>0</v>
      </c>
      <c r="H18" s="316" t="b">
        <v>0</v>
      </c>
      <c r="I18" s="316" t="b">
        <v>0</v>
      </c>
      <c r="J18" s="316" t="b">
        <v>0</v>
      </c>
      <c r="K18" s="316" t="b">
        <v>1</v>
      </c>
      <c r="L18" s="316" t="b">
        <v>0</v>
      </c>
      <c r="M18" s="316" t="b">
        <v>0</v>
      </c>
      <c r="N18" s="316" t="b">
        <v>0</v>
      </c>
      <c r="O18" s="316" t="b">
        <v>0</v>
      </c>
      <c r="P18" s="316" t="b">
        <v>0</v>
      </c>
      <c r="Q18" s="845" t="s">
        <v>1514</v>
      </c>
    </row>
    <row r="19" spans="1:17" s="316" customFormat="1" ht="21" customHeight="1">
      <c r="A19" s="869" t="s">
        <v>1675</v>
      </c>
      <c r="B19" s="315" t="s">
        <v>289</v>
      </c>
      <c r="C19" s="784">
        <v>140</v>
      </c>
      <c r="E19" s="316" t="b">
        <v>0</v>
      </c>
      <c r="F19" s="316" t="b">
        <v>0</v>
      </c>
      <c r="G19" s="316" t="b">
        <v>0</v>
      </c>
      <c r="H19" s="316" t="b">
        <v>0</v>
      </c>
      <c r="I19" s="316" t="b">
        <v>0</v>
      </c>
      <c r="J19" s="316" t="b">
        <v>0</v>
      </c>
      <c r="K19" s="316" t="b">
        <v>1</v>
      </c>
      <c r="L19" s="316" t="b">
        <v>0</v>
      </c>
      <c r="M19" s="316" t="b">
        <v>0</v>
      </c>
      <c r="N19" s="316" t="b">
        <v>0</v>
      </c>
      <c r="O19" s="316" t="b">
        <v>0</v>
      </c>
      <c r="P19" s="316" t="b">
        <v>0</v>
      </c>
      <c r="Q19" s="845" t="s">
        <v>1514</v>
      </c>
    </row>
    <row r="20" spans="1:17" s="316" customFormat="1" ht="21" customHeight="1">
      <c r="A20" s="869" t="s">
        <v>1675</v>
      </c>
      <c r="B20" s="315" t="s">
        <v>290</v>
      </c>
      <c r="C20" s="784">
        <v>8.5150000000000006</v>
      </c>
      <c r="E20" s="316" t="b">
        <v>0</v>
      </c>
      <c r="F20" s="316" t="b">
        <v>0</v>
      </c>
      <c r="G20" s="316" t="b">
        <v>0</v>
      </c>
      <c r="H20" s="316" t="b">
        <v>0</v>
      </c>
      <c r="I20" s="316" t="b">
        <v>0</v>
      </c>
      <c r="J20" s="316" t="b">
        <v>0</v>
      </c>
      <c r="K20" s="316" t="b">
        <v>1</v>
      </c>
      <c r="L20" s="316" t="b">
        <v>0</v>
      </c>
      <c r="M20" s="316" t="b">
        <v>0</v>
      </c>
      <c r="N20" s="316" t="b">
        <v>0</v>
      </c>
      <c r="O20" s="316" t="b">
        <v>0</v>
      </c>
      <c r="P20" s="316" t="b">
        <v>0</v>
      </c>
      <c r="Q20" s="845" t="s">
        <v>1514</v>
      </c>
    </row>
    <row r="21" spans="1:17" s="316" customFormat="1" ht="21" customHeight="1">
      <c r="A21" s="869" t="s">
        <v>1675</v>
      </c>
      <c r="B21" s="315" t="s">
        <v>291</v>
      </c>
      <c r="C21" s="784">
        <v>6.2839100000000006</v>
      </c>
      <c r="E21" s="316" t="b">
        <v>0</v>
      </c>
      <c r="F21" s="316" t="b">
        <v>0</v>
      </c>
      <c r="G21" s="316" t="b">
        <v>0</v>
      </c>
      <c r="H21" s="316" t="b">
        <v>0</v>
      </c>
      <c r="I21" s="316" t="b">
        <v>0</v>
      </c>
      <c r="J21" s="316" t="b">
        <v>0</v>
      </c>
      <c r="K21" s="316" t="b">
        <v>1</v>
      </c>
      <c r="L21" s="316" t="b">
        <v>0</v>
      </c>
      <c r="M21" s="316" t="b">
        <v>0</v>
      </c>
      <c r="N21" s="316" t="b">
        <v>0</v>
      </c>
      <c r="O21" s="316" t="b">
        <v>0</v>
      </c>
      <c r="P21" s="316" t="b">
        <v>0</v>
      </c>
      <c r="Q21" s="845" t="s">
        <v>1514</v>
      </c>
    </row>
    <row r="22" spans="1:17" s="316" customFormat="1" ht="21" customHeight="1">
      <c r="A22" s="869" t="s">
        <v>1675</v>
      </c>
      <c r="B22" s="315" t="s">
        <v>292</v>
      </c>
      <c r="C22" s="784">
        <v>2.1800000000000002</v>
      </c>
      <c r="E22" s="316" t="b">
        <v>0</v>
      </c>
      <c r="F22" s="316" t="b">
        <v>0</v>
      </c>
      <c r="G22" s="316" t="b">
        <v>0</v>
      </c>
      <c r="H22" s="316" t="b">
        <v>0</v>
      </c>
      <c r="I22" s="316" t="b">
        <v>0</v>
      </c>
      <c r="J22" s="316" t="b">
        <v>0</v>
      </c>
      <c r="K22" s="316" t="b">
        <v>1</v>
      </c>
      <c r="L22" s="316" t="b">
        <v>0</v>
      </c>
      <c r="M22" s="316" t="b">
        <v>0</v>
      </c>
      <c r="N22" s="316" t="b">
        <v>0</v>
      </c>
      <c r="O22" s="316" t="b">
        <v>0</v>
      </c>
      <c r="P22" s="316" t="b">
        <v>0</v>
      </c>
      <c r="Q22" s="845" t="s">
        <v>1514</v>
      </c>
    </row>
    <row r="23" spans="1:17" s="316" customFormat="1" ht="21" customHeight="1">
      <c r="A23" s="869" t="s">
        <v>1675</v>
      </c>
      <c r="B23" s="315" t="s">
        <v>294</v>
      </c>
      <c r="C23" s="784">
        <v>0.47906250000000006</v>
      </c>
      <c r="E23" s="316" t="b">
        <v>0</v>
      </c>
      <c r="F23" s="316" t="b">
        <v>0</v>
      </c>
      <c r="G23" s="316" t="b">
        <v>0</v>
      </c>
      <c r="H23" s="316" t="b">
        <v>0</v>
      </c>
      <c r="I23" s="316" t="b">
        <v>0</v>
      </c>
      <c r="J23" s="316" t="b">
        <v>0</v>
      </c>
      <c r="K23" s="316" t="b">
        <v>1</v>
      </c>
      <c r="L23" s="316" t="b">
        <v>0</v>
      </c>
      <c r="M23" s="316" t="b">
        <v>0</v>
      </c>
      <c r="N23" s="316" t="b">
        <v>0</v>
      </c>
      <c r="O23" s="316" t="b">
        <v>0</v>
      </c>
      <c r="P23" s="316" t="b">
        <v>0</v>
      </c>
      <c r="Q23" s="845" t="s">
        <v>1514</v>
      </c>
    </row>
    <row r="24" spans="1:17" s="316" customFormat="1" ht="21" customHeight="1">
      <c r="A24" s="869" t="s">
        <v>1675</v>
      </c>
      <c r="B24" s="315" t="s">
        <v>295</v>
      </c>
      <c r="C24" s="784">
        <v>0.41062500000000002</v>
      </c>
      <c r="E24" s="316" t="b">
        <v>0</v>
      </c>
      <c r="F24" s="316" t="b">
        <v>0</v>
      </c>
      <c r="G24" s="316" t="b">
        <v>0</v>
      </c>
      <c r="H24" s="316" t="b">
        <v>0</v>
      </c>
      <c r="I24" s="316" t="b">
        <v>0</v>
      </c>
      <c r="J24" s="316" t="b">
        <v>0</v>
      </c>
      <c r="K24" s="316" t="b">
        <v>1</v>
      </c>
      <c r="L24" s="316" t="b">
        <v>0</v>
      </c>
      <c r="M24" s="316" t="b">
        <v>0</v>
      </c>
      <c r="N24" s="316" t="b">
        <v>0</v>
      </c>
      <c r="O24" s="316" t="b">
        <v>0</v>
      </c>
      <c r="P24" s="316" t="b">
        <v>0</v>
      </c>
      <c r="Q24" s="845" t="s">
        <v>1514</v>
      </c>
    </row>
    <row r="25" spans="1:17" s="316" customFormat="1" ht="21" customHeight="1">
      <c r="A25" s="869" t="s">
        <v>1675</v>
      </c>
      <c r="B25" s="315" t="s">
        <v>296</v>
      </c>
      <c r="C25" s="784">
        <v>7.8120000000000004E-3</v>
      </c>
      <c r="E25" s="316" t="b">
        <v>0</v>
      </c>
      <c r="F25" s="316" t="b">
        <v>0</v>
      </c>
      <c r="G25" s="316" t="b">
        <v>0</v>
      </c>
      <c r="H25" s="316" t="b">
        <v>0</v>
      </c>
      <c r="I25" s="316" t="b">
        <v>0</v>
      </c>
      <c r="J25" s="316" t="b">
        <v>0</v>
      </c>
      <c r="K25" s="316" t="b">
        <v>1</v>
      </c>
      <c r="L25" s="316" t="b">
        <v>0</v>
      </c>
      <c r="M25" s="316" t="b">
        <v>0</v>
      </c>
      <c r="N25" s="316" t="b">
        <v>0</v>
      </c>
      <c r="O25" s="316" t="b">
        <v>0</v>
      </c>
      <c r="P25" s="316" t="b">
        <v>0</v>
      </c>
      <c r="Q25" s="845" t="s">
        <v>1514</v>
      </c>
    </row>
    <row r="26" spans="1:17" s="316" customFormat="1" ht="21" customHeight="1">
      <c r="A26" s="869" t="s">
        <v>1675</v>
      </c>
      <c r="B26" s="315" t="s">
        <v>306</v>
      </c>
      <c r="C26" s="784">
        <v>42</v>
      </c>
      <c r="E26" s="316" t="b">
        <v>0</v>
      </c>
      <c r="F26" s="316" t="b">
        <v>0</v>
      </c>
      <c r="G26" s="316" t="b">
        <v>0</v>
      </c>
      <c r="H26" s="316" t="b">
        <v>0</v>
      </c>
      <c r="I26" s="316" t="b">
        <v>0</v>
      </c>
      <c r="J26" s="316" t="b">
        <v>0</v>
      </c>
      <c r="K26" s="316" t="b">
        <v>1</v>
      </c>
      <c r="L26" s="316" t="b">
        <v>0</v>
      </c>
      <c r="M26" s="316" t="b">
        <v>0</v>
      </c>
      <c r="N26" s="316" t="b">
        <v>0</v>
      </c>
      <c r="O26" s="316" t="b">
        <v>0</v>
      </c>
      <c r="P26" s="316" t="b">
        <v>0</v>
      </c>
      <c r="Q26" s="845" t="s">
        <v>1514</v>
      </c>
    </row>
    <row r="27" spans="1:17" s="316" customFormat="1" ht="21" customHeight="1">
      <c r="A27" s="869" t="s">
        <v>1675</v>
      </c>
      <c r="B27" s="315" t="s">
        <v>307</v>
      </c>
      <c r="C27" s="784">
        <v>170</v>
      </c>
      <c r="E27" s="316" t="b">
        <v>0</v>
      </c>
      <c r="F27" s="316" t="b">
        <v>0</v>
      </c>
      <c r="G27" s="316" t="b">
        <v>0</v>
      </c>
      <c r="H27" s="316" t="b">
        <v>0</v>
      </c>
      <c r="I27" s="316" t="b">
        <v>0</v>
      </c>
      <c r="J27" s="316" t="b">
        <v>0</v>
      </c>
      <c r="K27" s="316" t="b">
        <v>1</v>
      </c>
      <c r="L27" s="316" t="b">
        <v>0</v>
      </c>
      <c r="M27" s="316" t="b">
        <v>0</v>
      </c>
      <c r="N27" s="316" t="b">
        <v>0</v>
      </c>
      <c r="O27" s="316" t="b">
        <v>0</v>
      </c>
      <c r="P27" s="316" t="b">
        <v>0</v>
      </c>
      <c r="Q27" s="845" t="s">
        <v>1514</v>
      </c>
    </row>
    <row r="28" spans="1:17" ht="21" customHeight="1">
      <c r="A28" s="869" t="s">
        <v>1675</v>
      </c>
      <c r="B28" s="315" t="s">
        <v>871</v>
      </c>
      <c r="C28" s="784">
        <v>44</v>
      </c>
      <c r="E28" s="316" t="b">
        <v>0</v>
      </c>
      <c r="F28" s="316" t="b">
        <v>0</v>
      </c>
      <c r="G28" s="316" t="b">
        <v>0</v>
      </c>
      <c r="H28" s="316" t="b">
        <v>0</v>
      </c>
      <c r="I28" s="316" t="b">
        <v>0</v>
      </c>
      <c r="J28" s="316" t="b">
        <v>0</v>
      </c>
      <c r="K28" s="316" t="b">
        <v>1</v>
      </c>
      <c r="L28" s="316" t="b">
        <v>0</v>
      </c>
      <c r="M28" s="316" t="b">
        <v>0</v>
      </c>
      <c r="N28" s="316" t="b">
        <v>0</v>
      </c>
      <c r="O28" s="316" t="b">
        <v>0</v>
      </c>
      <c r="P28" s="316" t="b">
        <v>0</v>
      </c>
      <c r="Q28" s="845" t="s">
        <v>1514</v>
      </c>
    </row>
    <row r="29" spans="1:17" ht="21" customHeight="1">
      <c r="A29" s="869" t="s">
        <v>1675</v>
      </c>
      <c r="B29" s="315" t="s">
        <v>870</v>
      </c>
      <c r="C29" s="784">
        <v>10.95</v>
      </c>
      <c r="E29" s="316" t="b">
        <v>0</v>
      </c>
      <c r="F29" s="316" t="b">
        <v>0</v>
      </c>
      <c r="G29" s="316" t="b">
        <v>0</v>
      </c>
      <c r="H29" s="316" t="b">
        <v>0</v>
      </c>
      <c r="I29" s="316" t="b">
        <v>0</v>
      </c>
      <c r="J29" s="316" t="b">
        <v>0</v>
      </c>
      <c r="K29" s="316" t="b">
        <v>1</v>
      </c>
      <c r="L29" s="316" t="b">
        <v>0</v>
      </c>
      <c r="M29" s="316" t="b">
        <v>0</v>
      </c>
      <c r="N29" s="316" t="b">
        <v>0</v>
      </c>
      <c r="O29" s="316" t="b">
        <v>0</v>
      </c>
      <c r="P29" s="316" t="b">
        <v>0</v>
      </c>
      <c r="Q29" s="845" t="s">
        <v>1514</v>
      </c>
    </row>
    <row r="30" spans="1:17" ht="21" customHeight="1">
      <c r="A30" s="869" t="s">
        <v>1675</v>
      </c>
      <c r="B30" s="315" t="s">
        <v>872</v>
      </c>
      <c r="C30" s="784">
        <v>54</v>
      </c>
      <c r="E30" s="316" t="b">
        <v>0</v>
      </c>
      <c r="F30" s="316" t="b">
        <v>0</v>
      </c>
      <c r="G30" s="316" t="b">
        <v>0</v>
      </c>
      <c r="H30" s="316" t="b">
        <v>0</v>
      </c>
      <c r="I30" s="316" t="b">
        <v>0</v>
      </c>
      <c r="J30" s="316" t="b">
        <v>0</v>
      </c>
      <c r="K30" s="316" t="b">
        <v>1</v>
      </c>
      <c r="L30" s="316" t="b">
        <v>0</v>
      </c>
      <c r="M30" s="316" t="b">
        <v>0</v>
      </c>
      <c r="N30" s="316" t="b">
        <v>0</v>
      </c>
      <c r="O30" s="316" t="b">
        <v>0</v>
      </c>
      <c r="P30" s="316" t="b">
        <v>0</v>
      </c>
      <c r="Q30" s="845" t="s">
        <v>1514</v>
      </c>
    </row>
    <row r="31" spans="1:17" ht="21" customHeight="1">
      <c r="A31" s="869" t="s">
        <v>1675</v>
      </c>
      <c r="B31" s="315" t="s">
        <v>873</v>
      </c>
      <c r="C31" s="784">
        <v>8.7096774193548381</v>
      </c>
      <c r="E31" s="316" t="b">
        <v>0</v>
      </c>
      <c r="F31" s="316" t="b">
        <v>0</v>
      </c>
      <c r="G31" s="316" t="b">
        <v>0</v>
      </c>
      <c r="H31" s="316" t="b">
        <v>0</v>
      </c>
      <c r="I31" s="316" t="b">
        <v>0</v>
      </c>
      <c r="J31" s="316" t="b">
        <v>0</v>
      </c>
      <c r="K31" s="316" t="b">
        <v>1</v>
      </c>
      <c r="L31" s="316" t="b">
        <v>0</v>
      </c>
      <c r="M31" s="316" t="b">
        <v>0</v>
      </c>
      <c r="N31" s="316" t="b">
        <v>0</v>
      </c>
      <c r="O31" s="316" t="b">
        <v>0</v>
      </c>
      <c r="P31" s="316" t="b">
        <v>0</v>
      </c>
      <c r="Q31" s="845" t="s">
        <v>1514</v>
      </c>
    </row>
    <row r="32" spans="1:17" ht="21" customHeight="1">
      <c r="A32" s="869" t="s">
        <v>1675</v>
      </c>
      <c r="B32" s="315" t="s">
        <v>874</v>
      </c>
      <c r="C32" s="784">
        <v>0.12</v>
      </c>
      <c r="E32" s="316" t="b">
        <v>0</v>
      </c>
      <c r="F32" s="316" t="b">
        <v>0</v>
      </c>
      <c r="G32" s="316" t="b">
        <v>0</v>
      </c>
      <c r="H32" s="316" t="b">
        <v>0</v>
      </c>
      <c r="I32" s="316" t="b">
        <v>0</v>
      </c>
      <c r="J32" s="316" t="b">
        <v>0</v>
      </c>
      <c r="K32" s="316" t="b">
        <v>1</v>
      </c>
      <c r="L32" s="316" t="b">
        <v>0</v>
      </c>
      <c r="M32" s="316" t="b">
        <v>0</v>
      </c>
      <c r="N32" s="316" t="b">
        <v>0</v>
      </c>
      <c r="O32" s="316" t="b">
        <v>0</v>
      </c>
      <c r="P32" s="316" t="b">
        <v>0</v>
      </c>
      <c r="Q32" s="845" t="s">
        <v>1514</v>
      </c>
    </row>
    <row r="33" spans="1:17" ht="21" customHeight="1">
      <c r="A33" s="869" t="s">
        <v>1675</v>
      </c>
      <c r="B33" s="315" t="s">
        <v>875</v>
      </c>
      <c r="C33" s="784">
        <v>0.9</v>
      </c>
      <c r="E33" s="316" t="b">
        <v>0</v>
      </c>
      <c r="F33" s="316" t="b">
        <v>0</v>
      </c>
      <c r="G33" s="316" t="b">
        <v>0</v>
      </c>
      <c r="H33" s="316" t="b">
        <v>0</v>
      </c>
      <c r="I33" s="316" t="b">
        <v>0</v>
      </c>
      <c r="J33" s="316" t="b">
        <v>0</v>
      </c>
      <c r="K33" s="316" t="b">
        <v>1</v>
      </c>
      <c r="L33" s="316" t="b">
        <v>0</v>
      </c>
      <c r="M33" s="316" t="b">
        <v>0</v>
      </c>
      <c r="N33" s="316" t="b">
        <v>0</v>
      </c>
      <c r="O33" s="316" t="b">
        <v>0</v>
      </c>
      <c r="P33" s="316" t="b">
        <v>0</v>
      </c>
      <c r="Q33" s="845" t="s">
        <v>1514</v>
      </c>
    </row>
    <row r="34" spans="1:17" ht="21" customHeight="1">
      <c r="A34" s="869" t="s">
        <v>1675</v>
      </c>
      <c r="B34" s="315" t="s">
        <v>876</v>
      </c>
      <c r="C34" s="784">
        <v>9</v>
      </c>
      <c r="E34" s="316" t="b">
        <v>0</v>
      </c>
      <c r="F34" s="316" t="b">
        <v>0</v>
      </c>
      <c r="G34" s="316" t="b">
        <v>0</v>
      </c>
      <c r="H34" s="316" t="b">
        <v>0</v>
      </c>
      <c r="I34" s="316" t="b">
        <v>0</v>
      </c>
      <c r="J34" s="316" t="b">
        <v>0</v>
      </c>
      <c r="K34" s="316" t="b">
        <v>1</v>
      </c>
      <c r="L34" s="316" t="b">
        <v>0</v>
      </c>
      <c r="M34" s="316" t="b">
        <v>0</v>
      </c>
      <c r="N34" s="316" t="b">
        <v>0</v>
      </c>
      <c r="O34" s="316" t="b">
        <v>0</v>
      </c>
      <c r="P34" s="316" t="b">
        <v>0</v>
      </c>
      <c r="Q34" s="845" t="s">
        <v>1514</v>
      </c>
    </row>
  </sheetData>
  <phoneticPr fontId="7"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36"/>
  <sheetViews>
    <sheetView zoomScale="55" zoomScaleNormal="55" workbookViewId="0">
      <selection activeCell="A32" sqref="A32:XFD32"/>
    </sheetView>
  </sheetViews>
  <sheetFormatPr defaultRowHeight="27" customHeight="1"/>
  <cols>
    <col min="1" max="1" width="27.5" style="868" customWidth="1"/>
    <col min="2" max="2" width="21.625" style="858" customWidth="1"/>
    <col min="3" max="3" width="25.125" style="859" customWidth="1"/>
    <col min="4" max="4" width="9" style="849"/>
    <col min="5" max="16" width="9" style="849" hidden="1" customWidth="1"/>
    <col min="17" max="16384" width="9" style="849"/>
  </cols>
  <sheetData>
    <row r="1" spans="1:17" ht="57" customHeight="1">
      <c r="A1" s="864" t="s">
        <v>318</v>
      </c>
      <c r="B1" s="847"/>
      <c r="C1" s="848"/>
    </row>
    <row r="2" spans="1:17" s="852" customFormat="1" ht="27" customHeight="1">
      <c r="A2" s="867" t="s">
        <v>319</v>
      </c>
      <c r="B2" s="850" t="s">
        <v>320</v>
      </c>
      <c r="C2" s="851" t="s">
        <v>337</v>
      </c>
      <c r="E2" s="853">
        <v>1</v>
      </c>
      <c r="F2" s="853" t="s">
        <v>831</v>
      </c>
      <c r="G2" s="853">
        <v>2</v>
      </c>
      <c r="H2" s="853" t="s">
        <v>831</v>
      </c>
      <c r="I2" s="853">
        <v>3</v>
      </c>
      <c r="J2" s="853" t="s">
        <v>831</v>
      </c>
      <c r="K2" s="853">
        <v>4</v>
      </c>
      <c r="L2" s="853" t="s">
        <v>831</v>
      </c>
      <c r="M2" s="853">
        <v>5</v>
      </c>
      <c r="N2" s="853" t="s">
        <v>831</v>
      </c>
      <c r="O2" s="853">
        <v>6</v>
      </c>
      <c r="P2" s="853" t="s">
        <v>831</v>
      </c>
      <c r="Q2" s="854">
        <v>5</v>
      </c>
    </row>
    <row r="3" spans="1:17" s="852" customFormat="1" ht="27" customHeight="1">
      <c r="A3" s="867" t="s">
        <v>343</v>
      </c>
      <c r="B3" s="850" t="s">
        <v>344</v>
      </c>
      <c r="C3" s="851" t="s">
        <v>354</v>
      </c>
      <c r="Q3" s="861"/>
    </row>
    <row r="4" spans="1:17" ht="27" customHeight="1">
      <c r="A4" s="866" t="s">
        <v>1680</v>
      </c>
      <c r="B4" s="855" t="s">
        <v>239</v>
      </c>
      <c r="C4" s="856">
        <v>22</v>
      </c>
      <c r="E4" s="849" t="b">
        <v>0</v>
      </c>
      <c r="F4" s="849" t="b">
        <v>0</v>
      </c>
      <c r="G4" s="849" t="b">
        <v>0</v>
      </c>
      <c r="H4" s="849" t="b">
        <v>0</v>
      </c>
      <c r="I4" s="849" t="b">
        <v>0</v>
      </c>
      <c r="J4" s="849" t="b">
        <v>0</v>
      </c>
      <c r="K4" s="849" t="b">
        <v>0</v>
      </c>
      <c r="L4" s="849" t="b">
        <v>0</v>
      </c>
      <c r="M4" s="849" t="b">
        <v>1</v>
      </c>
      <c r="N4" s="849" t="b">
        <v>0</v>
      </c>
      <c r="O4" s="849" t="b">
        <v>0</v>
      </c>
      <c r="P4" s="849" t="b">
        <v>0</v>
      </c>
      <c r="Q4" s="857" t="s">
        <v>1514</v>
      </c>
    </row>
    <row r="5" spans="1:17" ht="27" customHeight="1">
      <c r="A5" s="869" t="s">
        <v>1680</v>
      </c>
      <c r="B5" s="855" t="s">
        <v>240</v>
      </c>
      <c r="C5" s="856">
        <v>23.2</v>
      </c>
      <c r="E5" s="849" t="b">
        <v>0</v>
      </c>
      <c r="F5" s="849" t="b">
        <v>0</v>
      </c>
      <c r="G5" s="849" t="b">
        <v>0</v>
      </c>
      <c r="H5" s="849" t="b">
        <v>0</v>
      </c>
      <c r="I5" s="849" t="b">
        <v>0</v>
      </c>
      <c r="J5" s="849" t="b">
        <v>0</v>
      </c>
      <c r="K5" s="849" t="b">
        <v>0</v>
      </c>
      <c r="L5" s="849" t="b">
        <v>0</v>
      </c>
      <c r="M5" s="849" t="b">
        <v>1</v>
      </c>
      <c r="N5" s="849" t="b">
        <v>0</v>
      </c>
      <c r="O5" s="849" t="b">
        <v>0</v>
      </c>
      <c r="P5" s="849" t="b">
        <v>0</v>
      </c>
      <c r="Q5" s="857" t="s">
        <v>1514</v>
      </c>
    </row>
    <row r="6" spans="1:17" ht="27" customHeight="1">
      <c r="A6" s="869" t="s">
        <v>1680</v>
      </c>
      <c r="B6" s="855" t="s">
        <v>241</v>
      </c>
      <c r="C6" s="856">
        <v>70.400000000000006</v>
      </c>
      <c r="E6" s="849" t="b">
        <v>0</v>
      </c>
      <c r="F6" s="849" t="b">
        <v>0</v>
      </c>
      <c r="G6" s="849" t="b">
        <v>0</v>
      </c>
      <c r="H6" s="849" t="b">
        <v>0</v>
      </c>
      <c r="I6" s="849" t="b">
        <v>0</v>
      </c>
      <c r="J6" s="849" t="b">
        <v>0</v>
      </c>
      <c r="K6" s="849" t="b">
        <v>0</v>
      </c>
      <c r="L6" s="849" t="b">
        <v>0</v>
      </c>
      <c r="M6" s="849" t="b">
        <v>1</v>
      </c>
      <c r="N6" s="849" t="b">
        <v>0</v>
      </c>
      <c r="O6" s="849" t="b">
        <v>0</v>
      </c>
      <c r="P6" s="849" t="b">
        <v>0</v>
      </c>
      <c r="Q6" s="857" t="s">
        <v>1514</v>
      </c>
    </row>
    <row r="7" spans="1:17" ht="27" customHeight="1">
      <c r="A7" s="869" t="s">
        <v>1680</v>
      </c>
      <c r="B7" s="855" t="s">
        <v>242</v>
      </c>
      <c r="C7" s="856">
        <v>74</v>
      </c>
      <c r="E7" s="849" t="b">
        <v>0</v>
      </c>
      <c r="F7" s="849" t="b">
        <v>0</v>
      </c>
      <c r="G7" s="849" t="b">
        <v>0</v>
      </c>
      <c r="H7" s="849" t="b">
        <v>0</v>
      </c>
      <c r="I7" s="849" t="b">
        <v>0</v>
      </c>
      <c r="J7" s="849" t="b">
        <v>0</v>
      </c>
      <c r="K7" s="849" t="b">
        <v>0</v>
      </c>
      <c r="L7" s="849" t="b">
        <v>0</v>
      </c>
      <c r="M7" s="849" t="b">
        <v>1</v>
      </c>
      <c r="N7" s="849" t="b">
        <v>0</v>
      </c>
      <c r="O7" s="849" t="b">
        <v>0</v>
      </c>
      <c r="P7" s="849" t="b">
        <v>0</v>
      </c>
      <c r="Q7" s="857" t="s">
        <v>1514</v>
      </c>
    </row>
    <row r="8" spans="1:17" ht="27" customHeight="1">
      <c r="A8" s="869" t="s">
        <v>1680</v>
      </c>
      <c r="B8" s="855" t="s">
        <v>243</v>
      </c>
      <c r="C8" s="856">
        <v>141.6</v>
      </c>
      <c r="E8" s="849" t="b">
        <v>0</v>
      </c>
      <c r="F8" s="849" t="b">
        <v>0</v>
      </c>
      <c r="G8" s="849" t="b">
        <v>0</v>
      </c>
      <c r="H8" s="849" t="b">
        <v>0</v>
      </c>
      <c r="I8" s="849" t="b">
        <v>0</v>
      </c>
      <c r="J8" s="849" t="b">
        <v>0</v>
      </c>
      <c r="K8" s="849" t="b">
        <v>0</v>
      </c>
      <c r="L8" s="849" t="b">
        <v>0</v>
      </c>
      <c r="M8" s="849" t="b">
        <v>1</v>
      </c>
      <c r="N8" s="849" t="b">
        <v>0</v>
      </c>
      <c r="O8" s="849" t="b">
        <v>0</v>
      </c>
      <c r="P8" s="849" t="b">
        <v>0</v>
      </c>
      <c r="Q8" s="857" t="s">
        <v>1514</v>
      </c>
    </row>
    <row r="9" spans="1:17" ht="27" customHeight="1">
      <c r="A9" s="869" t="s">
        <v>1680</v>
      </c>
      <c r="B9" s="855" t="s">
        <v>244</v>
      </c>
      <c r="C9" s="856">
        <v>11.57</v>
      </c>
      <c r="E9" s="849" t="b">
        <v>0</v>
      </c>
      <c r="F9" s="849" t="b">
        <v>0</v>
      </c>
      <c r="G9" s="849" t="b">
        <v>0</v>
      </c>
      <c r="H9" s="849" t="b">
        <v>0</v>
      </c>
      <c r="I9" s="849" t="b">
        <v>0</v>
      </c>
      <c r="J9" s="849" t="b">
        <v>0</v>
      </c>
      <c r="K9" s="849" t="b">
        <v>0</v>
      </c>
      <c r="L9" s="849" t="b">
        <v>0</v>
      </c>
      <c r="M9" s="849" t="b">
        <v>1</v>
      </c>
      <c r="N9" s="849" t="b">
        <v>0</v>
      </c>
      <c r="O9" s="849" t="b">
        <v>0</v>
      </c>
      <c r="P9" s="849" t="b">
        <v>0</v>
      </c>
      <c r="Q9" s="857" t="s">
        <v>1514</v>
      </c>
    </row>
    <row r="10" spans="1:17" ht="27" customHeight="1">
      <c r="A10" s="869" t="s">
        <v>1680</v>
      </c>
      <c r="B10" s="855" t="s">
        <v>250</v>
      </c>
      <c r="C10" s="856">
        <v>16.978417266187048</v>
      </c>
      <c r="E10" s="849" t="b">
        <v>0</v>
      </c>
      <c r="F10" s="849" t="b">
        <v>0</v>
      </c>
      <c r="G10" s="849" t="b">
        <v>0</v>
      </c>
      <c r="H10" s="849" t="b">
        <v>0</v>
      </c>
      <c r="I10" s="849" t="b">
        <v>0</v>
      </c>
      <c r="J10" s="849" t="b">
        <v>0</v>
      </c>
      <c r="K10" s="849" t="b">
        <v>0</v>
      </c>
      <c r="L10" s="849" t="b">
        <v>0</v>
      </c>
      <c r="M10" s="849" t="b">
        <v>1</v>
      </c>
      <c r="N10" s="849" t="b">
        <v>0</v>
      </c>
      <c r="O10" s="849" t="b">
        <v>0</v>
      </c>
      <c r="P10" s="849" t="b">
        <v>0</v>
      </c>
      <c r="Q10" s="857" t="s">
        <v>1514</v>
      </c>
    </row>
    <row r="11" spans="1:17" ht="27" customHeight="1">
      <c r="A11" s="869" t="s">
        <v>1680</v>
      </c>
      <c r="B11" s="855" t="s">
        <v>252</v>
      </c>
      <c r="C11" s="856">
        <v>1.48</v>
      </c>
      <c r="E11" s="849" t="b">
        <v>0</v>
      </c>
      <c r="F11" s="849" t="b">
        <v>0</v>
      </c>
      <c r="G11" s="849" t="b">
        <v>0</v>
      </c>
      <c r="H11" s="849" t="b">
        <v>0</v>
      </c>
      <c r="I11" s="849" t="b">
        <v>0</v>
      </c>
      <c r="J11" s="849" t="b">
        <v>0</v>
      </c>
      <c r="K11" s="849" t="b">
        <v>0</v>
      </c>
      <c r="L11" s="849" t="b">
        <v>0</v>
      </c>
      <c r="M11" s="849" t="b">
        <v>1</v>
      </c>
      <c r="N11" s="849" t="b">
        <v>0</v>
      </c>
      <c r="O11" s="849" t="b">
        <v>0</v>
      </c>
      <c r="P11" s="849" t="b">
        <v>0</v>
      </c>
      <c r="Q11" s="857" t="s">
        <v>1514</v>
      </c>
    </row>
    <row r="12" spans="1:17" ht="27" customHeight="1">
      <c r="A12" s="869" t="s">
        <v>1680</v>
      </c>
      <c r="B12" s="855" t="s">
        <v>245</v>
      </c>
      <c r="C12" s="856">
        <v>0.3878125</v>
      </c>
      <c r="E12" s="849" t="b">
        <v>0</v>
      </c>
      <c r="F12" s="849" t="b">
        <v>0</v>
      </c>
      <c r="G12" s="849" t="b">
        <v>0</v>
      </c>
      <c r="H12" s="849" t="b">
        <v>0</v>
      </c>
      <c r="I12" s="849" t="b">
        <v>0</v>
      </c>
      <c r="J12" s="849" t="b">
        <v>0</v>
      </c>
      <c r="K12" s="849" t="b">
        <v>0</v>
      </c>
      <c r="L12" s="849" t="b">
        <v>0</v>
      </c>
      <c r="M12" s="849" t="b">
        <v>1</v>
      </c>
      <c r="N12" s="849" t="b">
        <v>0</v>
      </c>
      <c r="O12" s="849" t="b">
        <v>0</v>
      </c>
      <c r="P12" s="849" t="b">
        <v>0</v>
      </c>
      <c r="Q12" s="857" t="s">
        <v>1514</v>
      </c>
    </row>
    <row r="13" spans="1:17" ht="27" customHeight="1">
      <c r="A13" s="869" t="s">
        <v>1680</v>
      </c>
      <c r="B13" s="855" t="s">
        <v>262</v>
      </c>
      <c r="C13" s="856">
        <v>68.793999999999997</v>
      </c>
      <c r="E13" s="849" t="b">
        <v>0</v>
      </c>
      <c r="F13" s="849" t="b">
        <v>0</v>
      </c>
      <c r="G13" s="849" t="b">
        <v>0</v>
      </c>
      <c r="H13" s="849" t="b">
        <v>0</v>
      </c>
      <c r="I13" s="849" t="b">
        <v>0</v>
      </c>
      <c r="J13" s="849" t="b">
        <v>0</v>
      </c>
      <c r="K13" s="849" t="b">
        <v>0</v>
      </c>
      <c r="L13" s="849" t="b">
        <v>0</v>
      </c>
      <c r="M13" s="849" t="b">
        <v>1</v>
      </c>
      <c r="N13" s="849" t="b">
        <v>0</v>
      </c>
      <c r="O13" s="849" t="b">
        <v>0</v>
      </c>
      <c r="P13" s="849" t="b">
        <v>0</v>
      </c>
      <c r="Q13" s="857" t="s">
        <v>1514</v>
      </c>
    </row>
    <row r="14" spans="1:17" ht="27" customHeight="1">
      <c r="A14" s="869" t="s">
        <v>1680</v>
      </c>
      <c r="B14" s="855" t="s">
        <v>263</v>
      </c>
      <c r="C14" s="856">
        <v>71.39</v>
      </c>
      <c r="E14" s="849" t="b">
        <v>0</v>
      </c>
      <c r="F14" s="849" t="b">
        <v>0</v>
      </c>
      <c r="G14" s="849" t="b">
        <v>0</v>
      </c>
      <c r="H14" s="849" t="b">
        <v>0</v>
      </c>
      <c r="I14" s="849" t="b">
        <v>0</v>
      </c>
      <c r="J14" s="849" t="b">
        <v>0</v>
      </c>
      <c r="K14" s="849" t="b">
        <v>0</v>
      </c>
      <c r="L14" s="849" t="b">
        <v>0</v>
      </c>
      <c r="M14" s="849" t="b">
        <v>1</v>
      </c>
      <c r="N14" s="849" t="b">
        <v>0</v>
      </c>
      <c r="O14" s="849" t="b">
        <v>0</v>
      </c>
      <c r="P14" s="849" t="b">
        <v>0</v>
      </c>
      <c r="Q14" s="857" t="s">
        <v>1514</v>
      </c>
    </row>
    <row r="15" spans="1:17" ht="27" customHeight="1">
      <c r="A15" s="869" t="s">
        <v>1680</v>
      </c>
      <c r="B15" s="855" t="s">
        <v>264</v>
      </c>
      <c r="C15" s="856">
        <v>62.370000000000005</v>
      </c>
      <c r="E15" s="849" t="b">
        <v>0</v>
      </c>
      <c r="F15" s="849" t="b">
        <v>0</v>
      </c>
      <c r="G15" s="849" t="b">
        <v>0</v>
      </c>
      <c r="H15" s="849" t="b">
        <v>0</v>
      </c>
      <c r="I15" s="849" t="b">
        <v>0</v>
      </c>
      <c r="J15" s="849" t="b">
        <v>0</v>
      </c>
      <c r="K15" s="849" t="b">
        <v>0</v>
      </c>
      <c r="L15" s="849" t="b">
        <v>0</v>
      </c>
      <c r="M15" s="849" t="b">
        <v>1</v>
      </c>
      <c r="N15" s="849" t="b">
        <v>0</v>
      </c>
      <c r="O15" s="849" t="b">
        <v>0</v>
      </c>
      <c r="P15" s="849" t="b">
        <v>0</v>
      </c>
      <c r="Q15" s="857" t="s">
        <v>1514</v>
      </c>
    </row>
    <row r="16" spans="1:17" ht="27" customHeight="1">
      <c r="A16" s="869" t="s">
        <v>1680</v>
      </c>
      <c r="B16" s="855" t="s">
        <v>265</v>
      </c>
      <c r="C16" s="856">
        <v>66.989999999999995</v>
      </c>
      <c r="E16" s="849" t="b">
        <v>0</v>
      </c>
      <c r="F16" s="849" t="b">
        <v>0</v>
      </c>
      <c r="G16" s="849" t="b">
        <v>0</v>
      </c>
      <c r="H16" s="849" t="b">
        <v>0</v>
      </c>
      <c r="I16" s="849" t="b">
        <v>0</v>
      </c>
      <c r="J16" s="849" t="b">
        <v>0</v>
      </c>
      <c r="K16" s="849" t="b">
        <v>0</v>
      </c>
      <c r="L16" s="849" t="b">
        <v>0</v>
      </c>
      <c r="M16" s="849" t="b">
        <v>1</v>
      </c>
      <c r="N16" s="849" t="b">
        <v>0</v>
      </c>
      <c r="O16" s="849" t="b">
        <v>0</v>
      </c>
      <c r="P16" s="849" t="b">
        <v>0</v>
      </c>
      <c r="Q16" s="857" t="s">
        <v>1514</v>
      </c>
    </row>
    <row r="17" spans="1:17" ht="27" customHeight="1">
      <c r="A17" s="869" t="s">
        <v>1680</v>
      </c>
      <c r="B17" s="855" t="s">
        <v>266</v>
      </c>
      <c r="C17" s="856">
        <v>141.6</v>
      </c>
      <c r="E17" s="849" t="b">
        <v>0</v>
      </c>
      <c r="F17" s="849" t="b">
        <v>0</v>
      </c>
      <c r="G17" s="849" t="b">
        <v>0</v>
      </c>
      <c r="H17" s="849" t="b">
        <v>0</v>
      </c>
      <c r="I17" s="849" t="b">
        <v>0</v>
      </c>
      <c r="J17" s="849" t="b">
        <v>0</v>
      </c>
      <c r="K17" s="849" t="b">
        <v>0</v>
      </c>
      <c r="L17" s="849" t="b">
        <v>0</v>
      </c>
      <c r="M17" s="849" t="b">
        <v>1</v>
      </c>
      <c r="N17" s="849" t="b">
        <v>0</v>
      </c>
      <c r="O17" s="849" t="b">
        <v>0</v>
      </c>
      <c r="P17" s="849" t="b">
        <v>0</v>
      </c>
      <c r="Q17" s="857" t="s">
        <v>1514</v>
      </c>
    </row>
    <row r="18" spans="1:17" ht="27" customHeight="1">
      <c r="A18" s="869" t="s">
        <v>1680</v>
      </c>
      <c r="B18" s="855" t="s">
        <v>267</v>
      </c>
      <c r="C18" s="856">
        <v>11.05</v>
      </c>
      <c r="E18" s="849" t="b">
        <v>0</v>
      </c>
      <c r="F18" s="849" t="b">
        <v>0</v>
      </c>
      <c r="G18" s="849" t="b">
        <v>0</v>
      </c>
      <c r="H18" s="849" t="b">
        <v>0</v>
      </c>
      <c r="I18" s="849" t="b">
        <v>0</v>
      </c>
      <c r="J18" s="849" t="b">
        <v>0</v>
      </c>
      <c r="K18" s="849" t="b">
        <v>0</v>
      </c>
      <c r="L18" s="849" t="b">
        <v>0</v>
      </c>
      <c r="M18" s="849" t="b">
        <v>1</v>
      </c>
      <c r="N18" s="849" t="b">
        <v>0</v>
      </c>
      <c r="O18" s="849" t="b">
        <v>0</v>
      </c>
      <c r="P18" s="849" t="b">
        <v>0</v>
      </c>
      <c r="Q18" s="857" t="s">
        <v>1514</v>
      </c>
    </row>
    <row r="19" spans="1:17" ht="27" customHeight="1">
      <c r="A19" s="869" t="s">
        <v>1680</v>
      </c>
      <c r="B19" s="855" t="s">
        <v>268</v>
      </c>
      <c r="C19" s="856">
        <v>6.0296900000000004</v>
      </c>
      <c r="E19" s="849" t="b">
        <v>0</v>
      </c>
      <c r="F19" s="849" t="b">
        <v>0</v>
      </c>
      <c r="G19" s="849" t="b">
        <v>0</v>
      </c>
      <c r="H19" s="849" t="b">
        <v>0</v>
      </c>
      <c r="I19" s="849" t="b">
        <v>0</v>
      </c>
      <c r="J19" s="849" t="b">
        <v>0</v>
      </c>
      <c r="K19" s="849" t="b">
        <v>0</v>
      </c>
      <c r="L19" s="849" t="b">
        <v>0</v>
      </c>
      <c r="M19" s="849" t="b">
        <v>1</v>
      </c>
      <c r="N19" s="849" t="b">
        <v>0</v>
      </c>
      <c r="O19" s="849" t="b">
        <v>0</v>
      </c>
      <c r="P19" s="849" t="b">
        <v>0</v>
      </c>
      <c r="Q19" s="857" t="s">
        <v>1514</v>
      </c>
    </row>
    <row r="20" spans="1:17" ht="27" customHeight="1">
      <c r="A20" s="869" t="s">
        <v>1680</v>
      </c>
      <c r="B20" s="855" t="s">
        <v>269</v>
      </c>
      <c r="C20" s="856">
        <v>2.6</v>
      </c>
      <c r="E20" s="849" t="b">
        <v>0</v>
      </c>
      <c r="F20" s="849" t="b">
        <v>0</v>
      </c>
      <c r="G20" s="849" t="b">
        <v>0</v>
      </c>
      <c r="H20" s="849" t="b">
        <v>0</v>
      </c>
      <c r="I20" s="849" t="b">
        <v>0</v>
      </c>
      <c r="J20" s="849" t="b">
        <v>0</v>
      </c>
      <c r="K20" s="849" t="b">
        <v>0</v>
      </c>
      <c r="L20" s="849" t="b">
        <v>0</v>
      </c>
      <c r="M20" s="849" t="b">
        <v>1</v>
      </c>
      <c r="N20" s="849" t="b">
        <v>0</v>
      </c>
      <c r="O20" s="849" t="b">
        <v>0</v>
      </c>
      <c r="P20" s="849" t="b">
        <v>0</v>
      </c>
      <c r="Q20" s="857" t="s">
        <v>1514</v>
      </c>
    </row>
    <row r="21" spans="1:17" ht="27" customHeight="1">
      <c r="A21" s="869" t="s">
        <v>1680</v>
      </c>
      <c r="B21" s="855" t="s">
        <v>270</v>
      </c>
      <c r="C21" s="856">
        <v>0.47906250000000006</v>
      </c>
      <c r="E21" s="849" t="b">
        <v>0</v>
      </c>
      <c r="F21" s="849" t="b">
        <v>0</v>
      </c>
      <c r="G21" s="849" t="b">
        <v>0</v>
      </c>
      <c r="H21" s="849" t="b">
        <v>0</v>
      </c>
      <c r="I21" s="849" t="b">
        <v>0</v>
      </c>
      <c r="J21" s="849" t="b">
        <v>0</v>
      </c>
      <c r="K21" s="849" t="b">
        <v>0</v>
      </c>
      <c r="L21" s="849" t="b">
        <v>0</v>
      </c>
      <c r="M21" s="849" t="b">
        <v>1</v>
      </c>
      <c r="N21" s="849" t="b">
        <v>0</v>
      </c>
      <c r="O21" s="849" t="b">
        <v>0</v>
      </c>
      <c r="P21" s="849" t="b">
        <v>0</v>
      </c>
      <c r="Q21" s="857" t="s">
        <v>1514</v>
      </c>
    </row>
    <row r="22" spans="1:17" ht="27" customHeight="1">
      <c r="A22" s="869" t="s">
        <v>1680</v>
      </c>
      <c r="B22" s="855" t="s">
        <v>283</v>
      </c>
      <c r="C22" s="856">
        <v>125</v>
      </c>
      <c r="E22" s="849" t="b">
        <v>0</v>
      </c>
      <c r="F22" s="849" t="b">
        <v>0</v>
      </c>
      <c r="G22" s="849" t="b">
        <v>0</v>
      </c>
      <c r="H22" s="849" t="b">
        <v>0</v>
      </c>
      <c r="I22" s="849" t="b">
        <v>0</v>
      </c>
      <c r="J22" s="849" t="b">
        <v>0</v>
      </c>
      <c r="K22" s="849" t="b">
        <v>0</v>
      </c>
      <c r="L22" s="849" t="b">
        <v>0</v>
      </c>
      <c r="M22" s="849" t="b">
        <v>1</v>
      </c>
      <c r="N22" s="849" t="b">
        <v>0</v>
      </c>
      <c r="O22" s="849" t="b">
        <v>0</v>
      </c>
      <c r="P22" s="849" t="b">
        <v>0</v>
      </c>
      <c r="Q22" s="857" t="s">
        <v>1514</v>
      </c>
    </row>
    <row r="23" spans="1:17" ht="27" customHeight="1">
      <c r="A23" s="869" t="s">
        <v>1680</v>
      </c>
      <c r="B23" s="855" t="s">
        <v>284</v>
      </c>
      <c r="C23" s="856">
        <v>42</v>
      </c>
      <c r="E23" s="849" t="b">
        <v>0</v>
      </c>
      <c r="F23" s="849" t="b">
        <v>0</v>
      </c>
      <c r="G23" s="849" t="b">
        <v>0</v>
      </c>
      <c r="H23" s="849" t="b">
        <v>0</v>
      </c>
      <c r="I23" s="849" t="b">
        <v>0</v>
      </c>
      <c r="J23" s="849" t="b">
        <v>0</v>
      </c>
      <c r="K23" s="849" t="b">
        <v>0</v>
      </c>
      <c r="L23" s="849" t="b">
        <v>0</v>
      </c>
      <c r="M23" s="849" t="b">
        <v>1</v>
      </c>
      <c r="N23" s="849" t="b">
        <v>0</v>
      </c>
      <c r="O23" s="849" t="b">
        <v>0</v>
      </c>
      <c r="P23" s="849" t="b">
        <v>0</v>
      </c>
      <c r="Q23" s="857" t="s">
        <v>1514</v>
      </c>
    </row>
    <row r="24" spans="1:17" ht="27" customHeight="1">
      <c r="A24" s="869" t="s">
        <v>1680</v>
      </c>
      <c r="B24" s="855" t="s">
        <v>285</v>
      </c>
      <c r="C24" s="856">
        <v>49.973000000000006</v>
      </c>
      <c r="E24" s="849" t="b">
        <v>0</v>
      </c>
      <c r="F24" s="849" t="b">
        <v>0</v>
      </c>
      <c r="G24" s="849" t="b">
        <v>0</v>
      </c>
      <c r="H24" s="849" t="b">
        <v>0</v>
      </c>
      <c r="I24" s="849" t="b">
        <v>0</v>
      </c>
      <c r="J24" s="849" t="b">
        <v>0</v>
      </c>
      <c r="K24" s="849" t="b">
        <v>0</v>
      </c>
      <c r="L24" s="849" t="b">
        <v>0</v>
      </c>
      <c r="M24" s="849" t="b">
        <v>1</v>
      </c>
      <c r="N24" s="849" t="b">
        <v>0</v>
      </c>
      <c r="O24" s="849" t="b">
        <v>0</v>
      </c>
      <c r="P24" s="849" t="b">
        <v>0</v>
      </c>
      <c r="Q24" s="857" t="s">
        <v>1514</v>
      </c>
    </row>
    <row r="25" spans="1:17" ht="27" customHeight="1">
      <c r="A25" s="869" t="s">
        <v>1680</v>
      </c>
      <c r="B25" s="855" t="s">
        <v>286</v>
      </c>
      <c r="C25" s="856">
        <v>49.323999999999998</v>
      </c>
      <c r="E25" s="849" t="b">
        <v>0</v>
      </c>
      <c r="F25" s="849" t="b">
        <v>0</v>
      </c>
      <c r="G25" s="849" t="b">
        <v>0</v>
      </c>
      <c r="H25" s="849" t="b">
        <v>0</v>
      </c>
      <c r="I25" s="849" t="b">
        <v>0</v>
      </c>
      <c r="J25" s="849" t="b">
        <v>0</v>
      </c>
      <c r="K25" s="849" t="b">
        <v>0</v>
      </c>
      <c r="L25" s="849" t="b">
        <v>0</v>
      </c>
      <c r="M25" s="849" t="b">
        <v>1</v>
      </c>
      <c r="N25" s="849" t="b">
        <v>0</v>
      </c>
      <c r="O25" s="849" t="b">
        <v>0</v>
      </c>
      <c r="P25" s="849" t="b">
        <v>0</v>
      </c>
      <c r="Q25" s="857" t="s">
        <v>1514</v>
      </c>
    </row>
    <row r="26" spans="1:17" ht="27" customHeight="1">
      <c r="A26" s="869" t="s">
        <v>1680</v>
      </c>
      <c r="B26" s="855" t="s">
        <v>287</v>
      </c>
      <c r="C26" s="856">
        <v>61.446000000000005</v>
      </c>
      <c r="E26" s="849" t="b">
        <v>0</v>
      </c>
      <c r="F26" s="849" t="b">
        <v>0</v>
      </c>
      <c r="G26" s="849" t="b">
        <v>0</v>
      </c>
      <c r="H26" s="849" t="b">
        <v>0</v>
      </c>
      <c r="I26" s="849" t="b">
        <v>0</v>
      </c>
      <c r="J26" s="849" t="b">
        <v>0</v>
      </c>
      <c r="K26" s="849" t="b">
        <v>0</v>
      </c>
      <c r="L26" s="849" t="b">
        <v>0</v>
      </c>
      <c r="M26" s="849" t="b">
        <v>1</v>
      </c>
      <c r="N26" s="849" t="b">
        <v>0</v>
      </c>
      <c r="O26" s="849" t="b">
        <v>0</v>
      </c>
      <c r="P26" s="849" t="b">
        <v>0</v>
      </c>
      <c r="Q26" s="857" t="s">
        <v>1514</v>
      </c>
    </row>
    <row r="27" spans="1:17" ht="27" customHeight="1">
      <c r="A27" s="869" t="s">
        <v>1680</v>
      </c>
      <c r="B27" s="855" t="s">
        <v>288</v>
      </c>
      <c r="C27" s="856">
        <v>60.06</v>
      </c>
      <c r="E27" s="849" t="b">
        <v>0</v>
      </c>
      <c r="F27" s="849" t="b">
        <v>0</v>
      </c>
      <c r="G27" s="849" t="b">
        <v>0</v>
      </c>
      <c r="H27" s="849" t="b">
        <v>0</v>
      </c>
      <c r="I27" s="849" t="b">
        <v>0</v>
      </c>
      <c r="J27" s="849" t="b">
        <v>0</v>
      </c>
      <c r="K27" s="849" t="b">
        <v>0</v>
      </c>
      <c r="L27" s="849" t="b">
        <v>0</v>
      </c>
      <c r="M27" s="849" t="b">
        <v>1</v>
      </c>
      <c r="N27" s="849" t="b">
        <v>0</v>
      </c>
      <c r="O27" s="849" t="b">
        <v>0</v>
      </c>
      <c r="P27" s="849" t="b">
        <v>0</v>
      </c>
      <c r="Q27" s="857" t="s">
        <v>1514</v>
      </c>
    </row>
    <row r="28" spans="1:17" ht="27" customHeight="1">
      <c r="A28" s="869" t="s">
        <v>1680</v>
      </c>
      <c r="B28" s="855" t="s">
        <v>289</v>
      </c>
      <c r="C28" s="856">
        <v>140</v>
      </c>
      <c r="E28" s="849" t="b">
        <v>0</v>
      </c>
      <c r="F28" s="849" t="b">
        <v>0</v>
      </c>
      <c r="G28" s="849" t="b">
        <v>0</v>
      </c>
      <c r="H28" s="849" t="b">
        <v>0</v>
      </c>
      <c r="I28" s="849" t="b">
        <v>0</v>
      </c>
      <c r="J28" s="849" t="b">
        <v>0</v>
      </c>
      <c r="K28" s="849" t="b">
        <v>0</v>
      </c>
      <c r="L28" s="849" t="b">
        <v>0</v>
      </c>
      <c r="M28" s="849" t="b">
        <v>1</v>
      </c>
      <c r="N28" s="849" t="b">
        <v>0</v>
      </c>
      <c r="O28" s="849" t="b">
        <v>0</v>
      </c>
      <c r="P28" s="849" t="b">
        <v>0</v>
      </c>
      <c r="Q28" s="857" t="s">
        <v>1514</v>
      </c>
    </row>
    <row r="29" spans="1:17" ht="27" customHeight="1">
      <c r="A29" s="869" t="s">
        <v>1680</v>
      </c>
      <c r="B29" s="855" t="s">
        <v>290</v>
      </c>
      <c r="C29" s="856">
        <v>8.4500000000000011</v>
      </c>
      <c r="E29" s="849" t="b">
        <v>0</v>
      </c>
      <c r="F29" s="849" t="b">
        <v>0</v>
      </c>
      <c r="G29" s="849" t="b">
        <v>0</v>
      </c>
      <c r="H29" s="849" t="b">
        <v>0</v>
      </c>
      <c r="I29" s="849" t="b">
        <v>0</v>
      </c>
      <c r="J29" s="849" t="b">
        <v>0</v>
      </c>
      <c r="K29" s="849" t="b">
        <v>0</v>
      </c>
      <c r="L29" s="849" t="b">
        <v>0</v>
      </c>
      <c r="M29" s="849" t="b">
        <v>1</v>
      </c>
      <c r="N29" s="849" t="b">
        <v>0</v>
      </c>
      <c r="O29" s="849" t="b">
        <v>0</v>
      </c>
      <c r="P29" s="849" t="b">
        <v>0</v>
      </c>
      <c r="Q29" s="857" t="s">
        <v>1514</v>
      </c>
    </row>
    <row r="30" spans="1:17" ht="27" customHeight="1">
      <c r="A30" s="869" t="s">
        <v>1680</v>
      </c>
      <c r="B30" s="855" t="s">
        <v>291</v>
      </c>
      <c r="C30" s="856">
        <v>6.2415399999999996</v>
      </c>
      <c r="E30" s="849" t="b">
        <v>0</v>
      </c>
      <c r="F30" s="849" t="b">
        <v>0</v>
      </c>
      <c r="G30" s="849" t="b">
        <v>0</v>
      </c>
      <c r="H30" s="849" t="b">
        <v>0</v>
      </c>
      <c r="I30" s="849" t="b">
        <v>0</v>
      </c>
      <c r="J30" s="849" t="b">
        <v>0</v>
      </c>
      <c r="K30" s="849" t="b">
        <v>0</v>
      </c>
      <c r="L30" s="849" t="b">
        <v>0</v>
      </c>
      <c r="M30" s="849" t="b">
        <v>1</v>
      </c>
      <c r="N30" s="849" t="b">
        <v>0</v>
      </c>
      <c r="O30" s="849" t="b">
        <v>0</v>
      </c>
      <c r="P30" s="849" t="b">
        <v>0</v>
      </c>
      <c r="Q30" s="857" t="s">
        <v>1514</v>
      </c>
    </row>
    <row r="31" spans="1:17" ht="27" customHeight="1">
      <c r="A31" s="869" t="s">
        <v>1680</v>
      </c>
      <c r="B31" s="855" t="s">
        <v>292</v>
      </c>
      <c r="C31" s="856">
        <v>2.15</v>
      </c>
      <c r="E31" s="849" t="b">
        <v>0</v>
      </c>
      <c r="F31" s="849" t="b">
        <v>0</v>
      </c>
      <c r="G31" s="849" t="b">
        <v>0</v>
      </c>
      <c r="H31" s="849" t="b">
        <v>0</v>
      </c>
      <c r="I31" s="849" t="b">
        <v>0</v>
      </c>
      <c r="J31" s="849" t="b">
        <v>0</v>
      </c>
      <c r="K31" s="849" t="b">
        <v>0</v>
      </c>
      <c r="L31" s="849" t="b">
        <v>0</v>
      </c>
      <c r="M31" s="849" t="b">
        <v>1</v>
      </c>
      <c r="N31" s="849" t="b">
        <v>0</v>
      </c>
      <c r="O31" s="849" t="b">
        <v>0</v>
      </c>
      <c r="P31" s="849" t="b">
        <v>0</v>
      </c>
      <c r="Q31" s="857" t="s">
        <v>1514</v>
      </c>
    </row>
    <row r="32" spans="1:17" ht="27" customHeight="1">
      <c r="A32" s="869" t="s">
        <v>1680</v>
      </c>
      <c r="B32" s="855" t="s">
        <v>294</v>
      </c>
      <c r="C32" s="856">
        <v>0.47906250000000006</v>
      </c>
      <c r="E32" s="849" t="b">
        <v>0</v>
      </c>
      <c r="F32" s="849" t="b">
        <v>0</v>
      </c>
      <c r="G32" s="849" t="b">
        <v>0</v>
      </c>
      <c r="H32" s="849" t="b">
        <v>0</v>
      </c>
      <c r="I32" s="849" t="b">
        <v>0</v>
      </c>
      <c r="J32" s="849" t="b">
        <v>0</v>
      </c>
      <c r="K32" s="849" t="b">
        <v>0</v>
      </c>
      <c r="L32" s="849" t="b">
        <v>0</v>
      </c>
      <c r="M32" s="849" t="b">
        <v>1</v>
      </c>
      <c r="N32" s="849" t="b">
        <v>0</v>
      </c>
      <c r="O32" s="849" t="b">
        <v>0</v>
      </c>
      <c r="P32" s="849" t="b">
        <v>0</v>
      </c>
      <c r="Q32" s="857" t="s">
        <v>1514</v>
      </c>
    </row>
    <row r="33" spans="1:17" ht="27" customHeight="1">
      <c r="A33" s="869" t="s">
        <v>1680</v>
      </c>
      <c r="B33" s="855" t="s">
        <v>295</v>
      </c>
      <c r="C33" s="856">
        <v>0.42887499999999995</v>
      </c>
      <c r="E33" s="849" t="b">
        <v>0</v>
      </c>
      <c r="F33" s="849" t="b">
        <v>0</v>
      </c>
      <c r="G33" s="849" t="b">
        <v>0</v>
      </c>
      <c r="H33" s="849" t="b">
        <v>0</v>
      </c>
      <c r="I33" s="849" t="b">
        <v>0</v>
      </c>
      <c r="J33" s="849" t="b">
        <v>0</v>
      </c>
      <c r="K33" s="849" t="b">
        <v>0</v>
      </c>
      <c r="L33" s="849" t="b">
        <v>0</v>
      </c>
      <c r="M33" s="849" t="b">
        <v>1</v>
      </c>
      <c r="N33" s="849" t="b">
        <v>0</v>
      </c>
      <c r="O33" s="849" t="b">
        <v>0</v>
      </c>
      <c r="P33" s="849" t="b">
        <v>0</v>
      </c>
      <c r="Q33" s="857" t="s">
        <v>1514</v>
      </c>
    </row>
    <row r="34" spans="1:17" ht="27" customHeight="1">
      <c r="A34" s="869" t="s">
        <v>1680</v>
      </c>
      <c r="B34" s="855" t="s">
        <v>296</v>
      </c>
      <c r="C34" s="856">
        <v>8.064E-3</v>
      </c>
      <c r="E34" s="849" t="b">
        <v>0</v>
      </c>
      <c r="F34" s="849" t="b">
        <v>0</v>
      </c>
      <c r="G34" s="849" t="b">
        <v>0</v>
      </c>
      <c r="H34" s="849" t="b">
        <v>0</v>
      </c>
      <c r="I34" s="849" t="b">
        <v>0</v>
      </c>
      <c r="J34" s="849" t="b">
        <v>0</v>
      </c>
      <c r="K34" s="849" t="b">
        <v>0</v>
      </c>
      <c r="L34" s="849" t="b">
        <v>0</v>
      </c>
      <c r="M34" s="849" t="b">
        <v>1</v>
      </c>
      <c r="N34" s="849" t="b">
        <v>0</v>
      </c>
      <c r="O34" s="849" t="b">
        <v>0</v>
      </c>
      <c r="P34" s="849" t="b">
        <v>0</v>
      </c>
      <c r="Q34" s="857" t="s">
        <v>1514</v>
      </c>
    </row>
    <row r="35" spans="1:17" ht="27" customHeight="1">
      <c r="A35" s="869" t="s">
        <v>1680</v>
      </c>
      <c r="B35" s="855" t="s">
        <v>306</v>
      </c>
      <c r="C35" s="856">
        <v>43</v>
      </c>
      <c r="E35" s="849" t="b">
        <v>0</v>
      </c>
      <c r="F35" s="849" t="b">
        <v>0</v>
      </c>
      <c r="G35" s="849" t="b">
        <v>0</v>
      </c>
      <c r="H35" s="849" t="b">
        <v>0</v>
      </c>
      <c r="I35" s="849" t="b">
        <v>0</v>
      </c>
      <c r="J35" s="849" t="b">
        <v>0</v>
      </c>
      <c r="K35" s="849" t="b">
        <v>0</v>
      </c>
      <c r="L35" s="849" t="b">
        <v>0</v>
      </c>
      <c r="M35" s="849" t="b">
        <v>1</v>
      </c>
      <c r="N35" s="849" t="b">
        <v>0</v>
      </c>
      <c r="O35" s="849" t="b">
        <v>0</v>
      </c>
      <c r="P35" s="849" t="b">
        <v>0</v>
      </c>
      <c r="Q35" s="857" t="s">
        <v>1514</v>
      </c>
    </row>
    <row r="36" spans="1:17" ht="27" customHeight="1">
      <c r="A36" s="869" t="s">
        <v>1680</v>
      </c>
      <c r="B36" s="855" t="s">
        <v>307</v>
      </c>
      <c r="C36" s="856">
        <v>170</v>
      </c>
      <c r="E36" s="849" t="b">
        <v>0</v>
      </c>
      <c r="F36" s="849" t="b">
        <v>0</v>
      </c>
      <c r="G36" s="849" t="b">
        <v>0</v>
      </c>
      <c r="H36" s="849" t="b">
        <v>0</v>
      </c>
      <c r="I36" s="849" t="b">
        <v>0</v>
      </c>
      <c r="J36" s="849" t="b">
        <v>0</v>
      </c>
      <c r="K36" s="849" t="b">
        <v>0</v>
      </c>
      <c r="L36" s="849" t="b">
        <v>0</v>
      </c>
      <c r="M36" s="849" t="b">
        <v>1</v>
      </c>
      <c r="N36" s="849" t="b">
        <v>0</v>
      </c>
      <c r="O36" s="849" t="b">
        <v>0</v>
      </c>
      <c r="P36" s="849" t="b">
        <v>0</v>
      </c>
      <c r="Q36" s="857" t="s">
        <v>1514</v>
      </c>
    </row>
  </sheetData>
  <phoneticPr fontId="7" type="noConversion"/>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43"/>
  <sheetViews>
    <sheetView tabSelected="1" zoomScale="70" zoomScaleNormal="70" workbookViewId="0">
      <selection sqref="A1:XFD1048576"/>
    </sheetView>
  </sheetViews>
  <sheetFormatPr defaultRowHeight="19.5"/>
  <cols>
    <col min="1" max="1" width="24.5" style="868" customWidth="1"/>
    <col min="2" max="2" width="23" style="858" customWidth="1"/>
    <col min="3" max="3" width="20.125" style="859" customWidth="1"/>
    <col min="4" max="4" width="9" style="849"/>
    <col min="5" max="16" width="9" style="849" hidden="1" customWidth="1"/>
    <col min="17" max="16384" width="9" style="849"/>
  </cols>
  <sheetData>
    <row r="1" spans="1:17" ht="71.45" customHeight="1">
      <c r="A1" s="3853" t="s">
        <v>1683</v>
      </c>
      <c r="B1" s="847"/>
      <c r="C1" s="848"/>
    </row>
    <row r="2" spans="1:17" s="852" customFormat="1" ht="18.75">
      <c r="A2" s="867" t="s">
        <v>319</v>
      </c>
      <c r="B2" s="850" t="s">
        <v>320</v>
      </c>
      <c r="C2" s="851" t="s">
        <v>340</v>
      </c>
      <c r="E2" s="853">
        <v>1</v>
      </c>
      <c r="F2" s="853" t="s">
        <v>831</v>
      </c>
      <c r="G2" s="853">
        <v>2</v>
      </c>
      <c r="H2" s="853" t="s">
        <v>831</v>
      </c>
      <c r="I2" s="853">
        <v>3</v>
      </c>
      <c r="J2" s="853" t="s">
        <v>831</v>
      </c>
      <c r="K2" s="853">
        <v>4</v>
      </c>
      <c r="L2" s="853" t="s">
        <v>831</v>
      </c>
      <c r="M2" s="853">
        <v>5</v>
      </c>
      <c r="N2" s="853" t="s">
        <v>831</v>
      </c>
      <c r="O2" s="853">
        <v>6</v>
      </c>
      <c r="P2" s="853" t="s">
        <v>831</v>
      </c>
      <c r="Q2" s="854">
        <v>6</v>
      </c>
    </row>
    <row r="3" spans="1:17" s="852" customFormat="1" ht="18.75">
      <c r="A3" s="867" t="s">
        <v>343</v>
      </c>
      <c r="B3" s="850" t="s">
        <v>344</v>
      </c>
      <c r="C3" s="851" t="s">
        <v>355</v>
      </c>
      <c r="Q3" s="861"/>
    </row>
    <row r="4" spans="1:17">
      <c r="A4" s="872" t="s">
        <v>1682</v>
      </c>
      <c r="B4" s="315" t="s">
        <v>239</v>
      </c>
      <c r="C4" s="856">
        <v>29.2</v>
      </c>
      <c r="E4" s="849" t="b">
        <v>0</v>
      </c>
      <c r="F4" s="849" t="b">
        <v>0</v>
      </c>
      <c r="G4" s="849" t="b">
        <v>0</v>
      </c>
      <c r="H4" s="849" t="b">
        <v>0</v>
      </c>
      <c r="I4" s="849" t="b">
        <v>0</v>
      </c>
      <c r="J4" s="849" t="b">
        <v>0</v>
      </c>
      <c r="K4" s="849" t="b">
        <v>0</v>
      </c>
      <c r="L4" s="849" t="b">
        <v>0</v>
      </c>
      <c r="M4" s="849" t="b">
        <v>0</v>
      </c>
      <c r="N4" s="849" t="b">
        <v>0</v>
      </c>
      <c r="O4" s="849" t="b">
        <v>1</v>
      </c>
      <c r="P4" s="849" t="b">
        <v>0</v>
      </c>
      <c r="Q4" s="857" t="s">
        <v>1514</v>
      </c>
    </row>
    <row r="5" spans="1:17">
      <c r="A5" s="873">
        <v>45434.166666666664</v>
      </c>
      <c r="B5" s="315" t="s">
        <v>240</v>
      </c>
      <c r="C5" s="856">
        <v>28.8</v>
      </c>
      <c r="E5" s="849" t="b">
        <v>0</v>
      </c>
      <c r="F5" s="849" t="b">
        <v>0</v>
      </c>
      <c r="G5" s="849" t="b">
        <v>0</v>
      </c>
      <c r="H5" s="849" t="b">
        <v>0</v>
      </c>
      <c r="I5" s="849" t="b">
        <v>0</v>
      </c>
      <c r="J5" s="849" t="b">
        <v>0</v>
      </c>
      <c r="K5" s="849" t="b">
        <v>0</v>
      </c>
      <c r="L5" s="849" t="b">
        <v>0</v>
      </c>
      <c r="M5" s="849" t="b">
        <v>0</v>
      </c>
      <c r="N5" s="849" t="b">
        <v>0</v>
      </c>
      <c r="O5" s="849" t="b">
        <v>1</v>
      </c>
      <c r="P5" s="849" t="b">
        <v>0</v>
      </c>
      <c r="Q5" s="857" t="s">
        <v>1514</v>
      </c>
    </row>
    <row r="6" spans="1:17">
      <c r="A6" s="873">
        <v>45434.166666666664</v>
      </c>
      <c r="B6" s="315" t="s">
        <v>241</v>
      </c>
      <c r="C6" s="856">
        <v>71.2</v>
      </c>
      <c r="E6" s="849" t="b">
        <v>0</v>
      </c>
      <c r="F6" s="849" t="b">
        <v>0</v>
      </c>
      <c r="G6" s="849" t="b">
        <v>0</v>
      </c>
      <c r="H6" s="849" t="b">
        <v>0</v>
      </c>
      <c r="I6" s="849" t="b">
        <v>0</v>
      </c>
      <c r="J6" s="849" t="b">
        <v>0</v>
      </c>
      <c r="K6" s="849" t="b">
        <v>0</v>
      </c>
      <c r="L6" s="849" t="b">
        <v>0</v>
      </c>
      <c r="M6" s="849" t="b">
        <v>0</v>
      </c>
      <c r="N6" s="849" t="b">
        <v>0</v>
      </c>
      <c r="O6" s="849" t="b">
        <v>1</v>
      </c>
      <c r="P6" s="849" t="b">
        <v>0</v>
      </c>
      <c r="Q6" s="857" t="s">
        <v>1514</v>
      </c>
    </row>
    <row r="7" spans="1:17">
      <c r="A7" s="873">
        <v>45434.166666666664</v>
      </c>
      <c r="B7" s="315" t="s">
        <v>242</v>
      </c>
      <c r="C7" s="856">
        <v>73.2</v>
      </c>
      <c r="E7" s="849" t="b">
        <v>0</v>
      </c>
      <c r="F7" s="849" t="b">
        <v>0</v>
      </c>
      <c r="G7" s="849" t="b">
        <v>0</v>
      </c>
      <c r="H7" s="849" t="b">
        <v>0</v>
      </c>
      <c r="I7" s="849" t="b">
        <v>0</v>
      </c>
      <c r="J7" s="849" t="b">
        <v>0</v>
      </c>
      <c r="K7" s="849" t="b">
        <v>0</v>
      </c>
      <c r="L7" s="849" t="b">
        <v>0</v>
      </c>
      <c r="M7" s="849" t="b">
        <v>0</v>
      </c>
      <c r="N7" s="849" t="b">
        <v>0</v>
      </c>
      <c r="O7" s="849" t="b">
        <v>1</v>
      </c>
      <c r="P7" s="849" t="b">
        <v>0</v>
      </c>
      <c r="Q7" s="857" t="s">
        <v>1514</v>
      </c>
    </row>
    <row r="8" spans="1:17">
      <c r="A8" s="873">
        <v>45434.166666666664</v>
      </c>
      <c r="B8" s="315" t="s">
        <v>243</v>
      </c>
      <c r="C8" s="856">
        <v>142.4</v>
      </c>
      <c r="E8" s="849" t="b">
        <v>0</v>
      </c>
      <c r="F8" s="849" t="b">
        <v>0</v>
      </c>
      <c r="G8" s="849" t="b">
        <v>0</v>
      </c>
      <c r="H8" s="849" t="b">
        <v>0</v>
      </c>
      <c r="I8" s="849" t="b">
        <v>0</v>
      </c>
      <c r="J8" s="849" t="b">
        <v>0</v>
      </c>
      <c r="K8" s="849" t="b">
        <v>0</v>
      </c>
      <c r="L8" s="849" t="b">
        <v>0</v>
      </c>
      <c r="M8" s="849" t="b">
        <v>0</v>
      </c>
      <c r="N8" s="849" t="b">
        <v>0</v>
      </c>
      <c r="O8" s="849" t="b">
        <v>1</v>
      </c>
      <c r="P8" s="849" t="b">
        <v>0</v>
      </c>
      <c r="Q8" s="857" t="s">
        <v>1514</v>
      </c>
    </row>
    <row r="9" spans="1:17">
      <c r="A9" s="873">
        <v>45434.166666666664</v>
      </c>
      <c r="B9" s="315" t="s">
        <v>244</v>
      </c>
      <c r="C9" s="856">
        <v>11.440000000000001</v>
      </c>
      <c r="E9" s="849" t="b">
        <v>0</v>
      </c>
      <c r="F9" s="849" t="b">
        <v>0</v>
      </c>
      <c r="G9" s="849" t="b">
        <v>0</v>
      </c>
      <c r="H9" s="849" t="b">
        <v>0</v>
      </c>
      <c r="I9" s="849" t="b">
        <v>0</v>
      </c>
      <c r="J9" s="849" t="b">
        <v>0</v>
      </c>
      <c r="K9" s="849" t="b">
        <v>0</v>
      </c>
      <c r="L9" s="849" t="b">
        <v>0</v>
      </c>
      <c r="M9" s="849" t="b">
        <v>0</v>
      </c>
      <c r="N9" s="849" t="b">
        <v>0</v>
      </c>
      <c r="O9" s="849" t="b">
        <v>1</v>
      </c>
      <c r="P9" s="849" t="b">
        <v>0</v>
      </c>
      <c r="Q9" s="857" t="s">
        <v>1514</v>
      </c>
    </row>
    <row r="10" spans="1:17">
      <c r="A10" s="873">
        <v>45434.166666666664</v>
      </c>
      <c r="B10" s="315" t="s">
        <v>250</v>
      </c>
      <c r="C10" s="856">
        <v>16.546762589928058</v>
      </c>
      <c r="E10" s="849" t="b">
        <v>0</v>
      </c>
      <c r="F10" s="849" t="b">
        <v>0</v>
      </c>
      <c r="G10" s="849" t="b">
        <v>0</v>
      </c>
      <c r="H10" s="849" t="b">
        <v>0</v>
      </c>
      <c r="I10" s="849" t="b">
        <v>0</v>
      </c>
      <c r="J10" s="849" t="b">
        <v>0</v>
      </c>
      <c r="K10" s="849" t="b">
        <v>0</v>
      </c>
      <c r="L10" s="849" t="b">
        <v>0</v>
      </c>
      <c r="M10" s="849" t="b">
        <v>0</v>
      </c>
      <c r="N10" s="849" t="b">
        <v>0</v>
      </c>
      <c r="O10" s="849" t="b">
        <v>1</v>
      </c>
      <c r="P10" s="849" t="b">
        <v>0</v>
      </c>
      <c r="Q10" s="857" t="s">
        <v>1514</v>
      </c>
    </row>
    <row r="11" spans="1:17">
      <c r="A11" s="873">
        <v>45434.166666666664</v>
      </c>
      <c r="B11" s="315" t="s">
        <v>252</v>
      </c>
      <c r="C11" s="856">
        <v>1.64</v>
      </c>
      <c r="E11" s="849" t="b">
        <v>0</v>
      </c>
      <c r="F11" s="849" t="b">
        <v>0</v>
      </c>
      <c r="G11" s="849" t="b">
        <v>0</v>
      </c>
      <c r="H11" s="849" t="b">
        <v>0</v>
      </c>
      <c r="I11" s="849" t="b">
        <v>0</v>
      </c>
      <c r="J11" s="849" t="b">
        <v>0</v>
      </c>
      <c r="K11" s="849" t="b">
        <v>0</v>
      </c>
      <c r="L11" s="849" t="b">
        <v>0</v>
      </c>
      <c r="M11" s="849" t="b">
        <v>0</v>
      </c>
      <c r="N11" s="849" t="b">
        <v>0</v>
      </c>
      <c r="O11" s="849" t="b">
        <v>1</v>
      </c>
      <c r="P11" s="849" t="b">
        <v>0</v>
      </c>
      <c r="Q11" s="857" t="s">
        <v>1514</v>
      </c>
    </row>
    <row r="12" spans="1:17">
      <c r="A12" s="873">
        <v>45434.166666666664</v>
      </c>
      <c r="B12" s="315" t="s">
        <v>245</v>
      </c>
      <c r="C12" s="856">
        <v>0.45624999999999999</v>
      </c>
      <c r="E12" s="849" t="b">
        <v>0</v>
      </c>
      <c r="F12" s="849" t="b">
        <v>0</v>
      </c>
      <c r="G12" s="849" t="b">
        <v>0</v>
      </c>
      <c r="H12" s="849" t="b">
        <v>0</v>
      </c>
      <c r="I12" s="849" t="b">
        <v>0</v>
      </c>
      <c r="J12" s="849" t="b">
        <v>0</v>
      </c>
      <c r="K12" s="849" t="b">
        <v>0</v>
      </c>
      <c r="L12" s="849" t="b">
        <v>0</v>
      </c>
      <c r="M12" s="849" t="b">
        <v>0</v>
      </c>
      <c r="N12" s="849" t="b">
        <v>0</v>
      </c>
      <c r="O12" s="849" t="b">
        <v>1</v>
      </c>
      <c r="P12" s="849" t="b">
        <v>0</v>
      </c>
      <c r="Q12" s="857" t="s">
        <v>1514</v>
      </c>
    </row>
    <row r="13" spans="1:17">
      <c r="A13" s="873">
        <v>45434.166666666664</v>
      </c>
      <c r="B13" s="315" t="s">
        <v>262</v>
      </c>
      <c r="C13" s="856">
        <v>71.39</v>
      </c>
      <c r="E13" s="849" t="b">
        <v>0</v>
      </c>
      <c r="F13" s="849" t="b">
        <v>0</v>
      </c>
      <c r="G13" s="849" t="b">
        <v>0</v>
      </c>
      <c r="H13" s="849" t="b">
        <v>0</v>
      </c>
      <c r="I13" s="849" t="b">
        <v>0</v>
      </c>
      <c r="J13" s="849" t="b">
        <v>0</v>
      </c>
      <c r="K13" s="849" t="b">
        <v>0</v>
      </c>
      <c r="L13" s="849" t="b">
        <v>0</v>
      </c>
      <c r="M13" s="849" t="b">
        <v>0</v>
      </c>
      <c r="N13" s="849" t="b">
        <v>0</v>
      </c>
      <c r="O13" s="849" t="b">
        <v>1</v>
      </c>
      <c r="P13" s="849" t="b">
        <v>0</v>
      </c>
      <c r="Q13" s="857" t="s">
        <v>1514</v>
      </c>
    </row>
    <row r="14" spans="1:17">
      <c r="A14" s="873">
        <v>45434.166666666664</v>
      </c>
      <c r="B14" s="315" t="s">
        <v>263</v>
      </c>
      <c r="C14" s="856">
        <v>72.039000000000001</v>
      </c>
      <c r="E14" s="849" t="b">
        <v>0</v>
      </c>
      <c r="F14" s="849" t="b">
        <v>0</v>
      </c>
      <c r="G14" s="849" t="b">
        <v>0</v>
      </c>
      <c r="H14" s="849" t="b">
        <v>0</v>
      </c>
      <c r="I14" s="849" t="b">
        <v>0</v>
      </c>
      <c r="J14" s="849" t="b">
        <v>0</v>
      </c>
      <c r="K14" s="849" t="b">
        <v>0</v>
      </c>
      <c r="L14" s="849" t="b">
        <v>0</v>
      </c>
      <c r="M14" s="849" t="b">
        <v>0</v>
      </c>
      <c r="N14" s="849" t="b">
        <v>0</v>
      </c>
      <c r="O14" s="849" t="b">
        <v>1</v>
      </c>
      <c r="P14" s="849" t="b">
        <v>0</v>
      </c>
      <c r="Q14" s="857" t="s">
        <v>1514</v>
      </c>
    </row>
    <row r="15" spans="1:17">
      <c r="A15" s="873">
        <v>45434.166666666664</v>
      </c>
      <c r="B15" s="315" t="s">
        <v>264</v>
      </c>
      <c r="C15" s="856">
        <v>60.06</v>
      </c>
      <c r="E15" s="849" t="b">
        <v>0</v>
      </c>
      <c r="F15" s="849" t="b">
        <v>0</v>
      </c>
      <c r="G15" s="849" t="b">
        <v>0</v>
      </c>
      <c r="H15" s="849" t="b">
        <v>0</v>
      </c>
      <c r="I15" s="849" t="b">
        <v>0</v>
      </c>
      <c r="J15" s="849" t="b">
        <v>0</v>
      </c>
      <c r="K15" s="849" t="b">
        <v>0</v>
      </c>
      <c r="L15" s="849" t="b">
        <v>0</v>
      </c>
      <c r="M15" s="849" t="b">
        <v>0</v>
      </c>
      <c r="N15" s="849" t="b">
        <v>0</v>
      </c>
      <c r="O15" s="849" t="b">
        <v>1</v>
      </c>
      <c r="P15" s="849" t="b">
        <v>0</v>
      </c>
      <c r="Q15" s="857" t="s">
        <v>1514</v>
      </c>
    </row>
    <row r="16" spans="1:17">
      <c r="A16" s="873">
        <v>45434.166666666664</v>
      </c>
      <c r="B16" s="315" t="s">
        <v>265</v>
      </c>
      <c r="C16" s="856">
        <v>66.528000000000006</v>
      </c>
      <c r="E16" s="849" t="b">
        <v>0</v>
      </c>
      <c r="F16" s="849" t="b">
        <v>0</v>
      </c>
      <c r="G16" s="849" t="b">
        <v>0</v>
      </c>
      <c r="H16" s="849" t="b">
        <v>0</v>
      </c>
      <c r="I16" s="849" t="b">
        <v>0</v>
      </c>
      <c r="J16" s="849" t="b">
        <v>0</v>
      </c>
      <c r="K16" s="849" t="b">
        <v>0</v>
      </c>
      <c r="L16" s="849" t="b">
        <v>0</v>
      </c>
      <c r="M16" s="849" t="b">
        <v>0</v>
      </c>
      <c r="N16" s="849" t="b">
        <v>0</v>
      </c>
      <c r="O16" s="849" t="b">
        <v>1</v>
      </c>
      <c r="P16" s="849" t="b">
        <v>0</v>
      </c>
      <c r="Q16" s="857" t="s">
        <v>1514</v>
      </c>
    </row>
    <row r="17" spans="1:17">
      <c r="A17" s="873">
        <v>45434.166666666664</v>
      </c>
      <c r="B17" s="315" t="s">
        <v>266</v>
      </c>
      <c r="C17" s="856">
        <v>140.80000000000001</v>
      </c>
      <c r="E17" s="849" t="b">
        <v>0</v>
      </c>
      <c r="F17" s="849" t="b">
        <v>0</v>
      </c>
      <c r="G17" s="849" t="b">
        <v>0</v>
      </c>
      <c r="H17" s="849" t="b">
        <v>0</v>
      </c>
      <c r="I17" s="849" t="b">
        <v>0</v>
      </c>
      <c r="J17" s="849" t="b">
        <v>0</v>
      </c>
      <c r="K17" s="849" t="b">
        <v>0</v>
      </c>
      <c r="L17" s="849" t="b">
        <v>0</v>
      </c>
      <c r="M17" s="849" t="b">
        <v>0</v>
      </c>
      <c r="N17" s="849" t="b">
        <v>0</v>
      </c>
      <c r="O17" s="849" t="b">
        <v>1</v>
      </c>
      <c r="P17" s="849" t="b">
        <v>0</v>
      </c>
      <c r="Q17" s="857" t="s">
        <v>1514</v>
      </c>
    </row>
    <row r="18" spans="1:17">
      <c r="A18" s="873">
        <v>45434.166666666664</v>
      </c>
      <c r="B18" s="315" t="s">
        <v>267</v>
      </c>
      <c r="C18" s="856">
        <v>10.790000000000001</v>
      </c>
      <c r="E18" s="849" t="b">
        <v>0</v>
      </c>
      <c r="F18" s="849" t="b">
        <v>0</v>
      </c>
      <c r="G18" s="849" t="b">
        <v>0</v>
      </c>
      <c r="H18" s="849" t="b">
        <v>0</v>
      </c>
      <c r="I18" s="849" t="b">
        <v>0</v>
      </c>
      <c r="J18" s="849" t="b">
        <v>0</v>
      </c>
      <c r="K18" s="849" t="b">
        <v>0</v>
      </c>
      <c r="L18" s="849" t="b">
        <v>0</v>
      </c>
      <c r="M18" s="849" t="b">
        <v>0</v>
      </c>
      <c r="N18" s="849" t="b">
        <v>0</v>
      </c>
      <c r="O18" s="849" t="b">
        <v>1</v>
      </c>
      <c r="P18" s="849" t="b">
        <v>0</v>
      </c>
      <c r="Q18" s="857" t="s">
        <v>1514</v>
      </c>
    </row>
    <row r="19" spans="1:17">
      <c r="A19" s="873">
        <v>45434.166666666664</v>
      </c>
      <c r="B19" s="315" t="s">
        <v>268</v>
      </c>
      <c r="C19" s="856">
        <v>6.1991700000000005</v>
      </c>
      <c r="E19" s="849" t="b">
        <v>0</v>
      </c>
      <c r="F19" s="849" t="b">
        <v>0</v>
      </c>
      <c r="G19" s="849" t="b">
        <v>0</v>
      </c>
      <c r="H19" s="849" t="b">
        <v>0</v>
      </c>
      <c r="I19" s="849" t="b">
        <v>0</v>
      </c>
      <c r="J19" s="849" t="b">
        <v>0</v>
      </c>
      <c r="K19" s="849" t="b">
        <v>0</v>
      </c>
      <c r="L19" s="849" t="b">
        <v>0</v>
      </c>
      <c r="M19" s="849" t="b">
        <v>0</v>
      </c>
      <c r="N19" s="849" t="b">
        <v>0</v>
      </c>
      <c r="O19" s="849" t="b">
        <v>1</v>
      </c>
      <c r="P19" s="849" t="b">
        <v>0</v>
      </c>
      <c r="Q19" s="857" t="s">
        <v>1514</v>
      </c>
    </row>
    <row r="20" spans="1:17">
      <c r="A20" s="873">
        <v>45434.166666666664</v>
      </c>
      <c r="B20" s="315" t="s">
        <v>269</v>
      </c>
      <c r="C20" s="856">
        <v>2.9</v>
      </c>
      <c r="E20" s="849" t="b">
        <v>0</v>
      </c>
      <c r="F20" s="849" t="b">
        <v>0</v>
      </c>
      <c r="G20" s="849" t="b">
        <v>0</v>
      </c>
      <c r="H20" s="849" t="b">
        <v>0</v>
      </c>
      <c r="I20" s="849" t="b">
        <v>0</v>
      </c>
      <c r="J20" s="849" t="b">
        <v>0</v>
      </c>
      <c r="K20" s="849" t="b">
        <v>0</v>
      </c>
      <c r="L20" s="849" t="b">
        <v>0</v>
      </c>
      <c r="M20" s="849" t="b">
        <v>0</v>
      </c>
      <c r="N20" s="849" t="b">
        <v>0</v>
      </c>
      <c r="O20" s="849" t="b">
        <v>1</v>
      </c>
      <c r="P20" s="849" t="b">
        <v>0</v>
      </c>
      <c r="Q20" s="857" t="s">
        <v>1514</v>
      </c>
    </row>
    <row r="21" spans="1:17">
      <c r="A21" s="873">
        <v>45434.166666666664</v>
      </c>
      <c r="B21" s="315" t="s">
        <v>270</v>
      </c>
      <c r="C21" s="856">
        <v>0.45624999999999999</v>
      </c>
      <c r="E21" s="849" t="b">
        <v>0</v>
      </c>
      <c r="F21" s="849" t="b">
        <v>0</v>
      </c>
      <c r="G21" s="849" t="b">
        <v>0</v>
      </c>
      <c r="H21" s="849" t="b">
        <v>0</v>
      </c>
      <c r="I21" s="849" t="b">
        <v>0</v>
      </c>
      <c r="J21" s="849" t="b">
        <v>0</v>
      </c>
      <c r="K21" s="849" t="b">
        <v>0</v>
      </c>
      <c r="L21" s="849" t="b">
        <v>0</v>
      </c>
      <c r="M21" s="849" t="b">
        <v>0</v>
      </c>
      <c r="N21" s="849" t="b">
        <v>0</v>
      </c>
      <c r="O21" s="849" t="b">
        <v>1</v>
      </c>
      <c r="P21" s="849" t="b">
        <v>0</v>
      </c>
      <c r="Q21" s="857" t="s">
        <v>1514</v>
      </c>
    </row>
    <row r="22" spans="1:17">
      <c r="A22" s="873">
        <v>45434.166666666664</v>
      </c>
      <c r="B22" s="315" t="s">
        <v>283</v>
      </c>
      <c r="C22" s="856">
        <v>130</v>
      </c>
      <c r="E22" s="849" t="b">
        <v>0</v>
      </c>
      <c r="F22" s="849" t="b">
        <v>0</v>
      </c>
      <c r="G22" s="849" t="b">
        <v>0</v>
      </c>
      <c r="H22" s="849" t="b">
        <v>0</v>
      </c>
      <c r="I22" s="849" t="b">
        <v>0</v>
      </c>
      <c r="J22" s="849" t="b">
        <v>0</v>
      </c>
      <c r="K22" s="849" t="b">
        <v>0</v>
      </c>
      <c r="L22" s="849" t="b">
        <v>0</v>
      </c>
      <c r="M22" s="849" t="b">
        <v>0</v>
      </c>
      <c r="N22" s="849" t="b">
        <v>0</v>
      </c>
      <c r="O22" s="849" t="b">
        <v>1</v>
      </c>
      <c r="P22" s="849" t="b">
        <v>0</v>
      </c>
      <c r="Q22" s="857" t="s">
        <v>1514</v>
      </c>
    </row>
    <row r="23" spans="1:17">
      <c r="A23" s="873">
        <v>45434.166666666664</v>
      </c>
      <c r="B23" s="315" t="s">
        <v>284</v>
      </c>
      <c r="C23" s="856">
        <v>40</v>
      </c>
      <c r="E23" s="849" t="b">
        <v>0</v>
      </c>
      <c r="F23" s="849" t="b">
        <v>0</v>
      </c>
      <c r="G23" s="849" t="b">
        <v>0</v>
      </c>
      <c r="H23" s="849" t="b">
        <v>0</v>
      </c>
      <c r="I23" s="849" t="b">
        <v>0</v>
      </c>
      <c r="J23" s="849" t="b">
        <v>0</v>
      </c>
      <c r="K23" s="849" t="b">
        <v>0</v>
      </c>
      <c r="L23" s="849" t="b">
        <v>0</v>
      </c>
      <c r="M23" s="849" t="b">
        <v>0</v>
      </c>
      <c r="N23" s="849" t="b">
        <v>0</v>
      </c>
      <c r="O23" s="849" t="b">
        <v>1</v>
      </c>
      <c r="P23" s="849" t="b">
        <v>0</v>
      </c>
      <c r="Q23" s="857" t="s">
        <v>1514</v>
      </c>
    </row>
    <row r="24" spans="1:17">
      <c r="A24" s="873">
        <v>45434.166666666664</v>
      </c>
      <c r="B24" s="315" t="s">
        <v>285</v>
      </c>
      <c r="C24" s="856">
        <v>50.622</v>
      </c>
      <c r="E24" s="849" t="b">
        <v>0</v>
      </c>
      <c r="F24" s="849" t="b">
        <v>0</v>
      </c>
      <c r="G24" s="849" t="b">
        <v>0</v>
      </c>
      <c r="H24" s="849" t="b">
        <v>0</v>
      </c>
      <c r="I24" s="849" t="b">
        <v>0</v>
      </c>
      <c r="J24" s="849" t="b">
        <v>0</v>
      </c>
      <c r="K24" s="849" t="b">
        <v>0</v>
      </c>
      <c r="L24" s="849" t="b">
        <v>0</v>
      </c>
      <c r="M24" s="849" t="b">
        <v>0</v>
      </c>
      <c r="N24" s="849" t="b">
        <v>0</v>
      </c>
      <c r="O24" s="849" t="b">
        <v>1</v>
      </c>
      <c r="P24" s="849" t="b">
        <v>0</v>
      </c>
      <c r="Q24" s="857" t="s">
        <v>1514</v>
      </c>
    </row>
    <row r="25" spans="1:17">
      <c r="A25" s="873">
        <v>45434.166666666664</v>
      </c>
      <c r="B25" s="315" t="s">
        <v>286</v>
      </c>
      <c r="C25" s="856">
        <v>51.271000000000001</v>
      </c>
      <c r="E25" s="849" t="b">
        <v>0</v>
      </c>
      <c r="F25" s="849" t="b">
        <v>0</v>
      </c>
      <c r="G25" s="849" t="b">
        <v>0</v>
      </c>
      <c r="H25" s="849" t="b">
        <v>0</v>
      </c>
      <c r="I25" s="849" t="b">
        <v>0</v>
      </c>
      <c r="J25" s="849" t="b">
        <v>0</v>
      </c>
      <c r="K25" s="849" t="b">
        <v>0</v>
      </c>
      <c r="L25" s="849" t="b">
        <v>0</v>
      </c>
      <c r="M25" s="849" t="b">
        <v>0</v>
      </c>
      <c r="N25" s="849" t="b">
        <v>0</v>
      </c>
      <c r="O25" s="849" t="b">
        <v>1</v>
      </c>
      <c r="P25" s="849" t="b">
        <v>0</v>
      </c>
      <c r="Q25" s="857" t="s">
        <v>1514</v>
      </c>
    </row>
    <row r="26" spans="1:17">
      <c r="A26" s="873">
        <v>45434.166666666664</v>
      </c>
      <c r="B26" s="315" t="s">
        <v>287</v>
      </c>
      <c r="C26" s="856">
        <v>61.908000000000001</v>
      </c>
      <c r="E26" s="849" t="b">
        <v>0</v>
      </c>
      <c r="F26" s="849" t="b">
        <v>0</v>
      </c>
      <c r="G26" s="849" t="b">
        <v>0</v>
      </c>
      <c r="H26" s="849" t="b">
        <v>0</v>
      </c>
      <c r="I26" s="849" t="b">
        <v>0</v>
      </c>
      <c r="J26" s="849" t="b">
        <v>0</v>
      </c>
      <c r="K26" s="849" t="b">
        <v>0</v>
      </c>
      <c r="L26" s="849" t="b">
        <v>0</v>
      </c>
      <c r="M26" s="849" t="b">
        <v>0</v>
      </c>
      <c r="N26" s="849" t="b">
        <v>0</v>
      </c>
      <c r="O26" s="849" t="b">
        <v>1</v>
      </c>
      <c r="P26" s="849" t="b">
        <v>0</v>
      </c>
      <c r="Q26" s="857" t="s">
        <v>1514</v>
      </c>
    </row>
    <row r="27" spans="1:17">
      <c r="A27" s="873">
        <v>45434.166666666664</v>
      </c>
      <c r="B27" s="315" t="s">
        <v>288</v>
      </c>
      <c r="C27" s="856">
        <v>60.06</v>
      </c>
      <c r="E27" s="849" t="b">
        <v>0</v>
      </c>
      <c r="F27" s="849" t="b">
        <v>0</v>
      </c>
      <c r="G27" s="849" t="b">
        <v>0</v>
      </c>
      <c r="H27" s="849" t="b">
        <v>0</v>
      </c>
      <c r="I27" s="849" t="b">
        <v>0</v>
      </c>
      <c r="J27" s="849" t="b">
        <v>0</v>
      </c>
      <c r="K27" s="849" t="b">
        <v>0</v>
      </c>
      <c r="L27" s="849" t="b">
        <v>0</v>
      </c>
      <c r="M27" s="849" t="b">
        <v>0</v>
      </c>
      <c r="N27" s="849" t="b">
        <v>0</v>
      </c>
      <c r="O27" s="849" t="b">
        <v>1</v>
      </c>
      <c r="P27" s="849" t="b">
        <v>0</v>
      </c>
      <c r="Q27" s="857" t="s">
        <v>1514</v>
      </c>
    </row>
    <row r="28" spans="1:17">
      <c r="A28" s="873">
        <v>45434.166666666664</v>
      </c>
      <c r="B28" s="315" t="s">
        <v>289</v>
      </c>
      <c r="C28" s="856">
        <v>139.19999999999999</v>
      </c>
      <c r="E28" s="849" t="b">
        <v>0</v>
      </c>
      <c r="F28" s="849" t="b">
        <v>0</v>
      </c>
      <c r="G28" s="849" t="b">
        <v>0</v>
      </c>
      <c r="H28" s="849" t="b">
        <v>0</v>
      </c>
      <c r="I28" s="849" t="b">
        <v>0</v>
      </c>
      <c r="J28" s="849" t="b">
        <v>0</v>
      </c>
      <c r="K28" s="849" t="b">
        <v>0</v>
      </c>
      <c r="L28" s="849" t="b">
        <v>0</v>
      </c>
      <c r="M28" s="849" t="b">
        <v>0</v>
      </c>
      <c r="N28" s="849" t="b">
        <v>0</v>
      </c>
      <c r="O28" s="849" t="b">
        <v>1</v>
      </c>
      <c r="P28" s="849" t="b">
        <v>0</v>
      </c>
      <c r="Q28" s="857" t="s">
        <v>1514</v>
      </c>
    </row>
    <row r="29" spans="1:17">
      <c r="A29" s="873">
        <v>45434.166666666664</v>
      </c>
      <c r="B29" s="315" t="s">
        <v>290</v>
      </c>
      <c r="C29" s="856">
        <v>8.32</v>
      </c>
      <c r="E29" s="849" t="b">
        <v>0</v>
      </c>
      <c r="F29" s="849" t="b">
        <v>0</v>
      </c>
      <c r="G29" s="849" t="b">
        <v>0</v>
      </c>
      <c r="H29" s="849" t="b">
        <v>0</v>
      </c>
      <c r="I29" s="849" t="b">
        <v>0</v>
      </c>
      <c r="J29" s="849" t="b">
        <v>0</v>
      </c>
      <c r="K29" s="849" t="b">
        <v>0</v>
      </c>
      <c r="L29" s="849" t="b">
        <v>0</v>
      </c>
      <c r="M29" s="849" t="b">
        <v>0</v>
      </c>
      <c r="N29" s="849" t="b">
        <v>0</v>
      </c>
      <c r="O29" s="849" t="b">
        <v>1</v>
      </c>
      <c r="P29" s="849" t="b">
        <v>0</v>
      </c>
      <c r="Q29" s="857" t="s">
        <v>1514</v>
      </c>
    </row>
    <row r="30" spans="1:17">
      <c r="A30" s="873">
        <v>45434.166666666664</v>
      </c>
      <c r="B30" s="315" t="s">
        <v>291</v>
      </c>
      <c r="C30" s="856">
        <v>6.3262799999999997</v>
      </c>
      <c r="E30" s="849" t="b">
        <v>0</v>
      </c>
      <c r="F30" s="849" t="b">
        <v>0</v>
      </c>
      <c r="G30" s="849" t="b">
        <v>0</v>
      </c>
      <c r="H30" s="849" t="b">
        <v>0</v>
      </c>
      <c r="I30" s="849" t="b">
        <v>0</v>
      </c>
      <c r="J30" s="849" t="b">
        <v>0</v>
      </c>
      <c r="K30" s="849" t="b">
        <v>0</v>
      </c>
      <c r="L30" s="849" t="b">
        <v>0</v>
      </c>
      <c r="M30" s="849" t="b">
        <v>0</v>
      </c>
      <c r="N30" s="849" t="b">
        <v>0</v>
      </c>
      <c r="O30" s="849" t="b">
        <v>1</v>
      </c>
      <c r="P30" s="849" t="b">
        <v>0</v>
      </c>
      <c r="Q30" s="857" t="s">
        <v>1514</v>
      </c>
    </row>
    <row r="31" spans="1:17">
      <c r="A31" s="873">
        <v>45434.166666666664</v>
      </c>
      <c r="B31" s="315" t="s">
        <v>292</v>
      </c>
      <c r="C31" s="856">
        <v>2.1800000000000002</v>
      </c>
      <c r="E31" s="849" t="b">
        <v>0</v>
      </c>
      <c r="F31" s="849" t="b">
        <v>0</v>
      </c>
      <c r="G31" s="849" t="b">
        <v>0</v>
      </c>
      <c r="H31" s="849" t="b">
        <v>0</v>
      </c>
      <c r="I31" s="849" t="b">
        <v>0</v>
      </c>
      <c r="J31" s="849" t="b">
        <v>0</v>
      </c>
      <c r="K31" s="849" t="b">
        <v>0</v>
      </c>
      <c r="L31" s="849" t="b">
        <v>0</v>
      </c>
      <c r="M31" s="849" t="b">
        <v>0</v>
      </c>
      <c r="N31" s="849" t="b">
        <v>0</v>
      </c>
      <c r="O31" s="849" t="b">
        <v>1</v>
      </c>
      <c r="P31" s="849" t="b">
        <v>0</v>
      </c>
      <c r="Q31" s="857" t="s">
        <v>1514</v>
      </c>
    </row>
    <row r="32" spans="1:17">
      <c r="A32" s="873">
        <v>45434.166666666664</v>
      </c>
      <c r="B32" s="315" t="s">
        <v>294</v>
      </c>
      <c r="C32" s="856">
        <v>0.46993750000000001</v>
      </c>
      <c r="E32" s="849" t="b">
        <v>0</v>
      </c>
      <c r="F32" s="849" t="b">
        <v>0</v>
      </c>
      <c r="G32" s="849" t="b">
        <v>0</v>
      </c>
      <c r="H32" s="849" t="b">
        <v>0</v>
      </c>
      <c r="I32" s="849" t="b">
        <v>0</v>
      </c>
      <c r="J32" s="849" t="b">
        <v>0</v>
      </c>
      <c r="K32" s="849" t="b">
        <v>0</v>
      </c>
      <c r="L32" s="849" t="b">
        <v>0</v>
      </c>
      <c r="M32" s="849" t="b">
        <v>0</v>
      </c>
      <c r="N32" s="849" t="b">
        <v>0</v>
      </c>
      <c r="O32" s="849" t="b">
        <v>1</v>
      </c>
      <c r="P32" s="849" t="b">
        <v>0</v>
      </c>
      <c r="Q32" s="857" t="s">
        <v>1514</v>
      </c>
    </row>
    <row r="33" spans="1:17">
      <c r="A33" s="873">
        <v>45434.166666666664</v>
      </c>
      <c r="B33" s="315" t="s">
        <v>295</v>
      </c>
      <c r="C33" s="856">
        <v>0.42431249999999998</v>
      </c>
      <c r="E33" s="849" t="b">
        <v>0</v>
      </c>
      <c r="F33" s="849" t="b">
        <v>0</v>
      </c>
      <c r="G33" s="849" t="b">
        <v>0</v>
      </c>
      <c r="H33" s="849" t="b">
        <v>0</v>
      </c>
      <c r="I33" s="849" t="b">
        <v>0</v>
      </c>
      <c r="J33" s="849" t="b">
        <v>0</v>
      </c>
      <c r="K33" s="849" t="b">
        <v>0</v>
      </c>
      <c r="L33" s="849" t="b">
        <v>0</v>
      </c>
      <c r="M33" s="849" t="b">
        <v>0</v>
      </c>
      <c r="N33" s="849" t="b">
        <v>0</v>
      </c>
      <c r="O33" s="849" t="b">
        <v>1</v>
      </c>
      <c r="P33" s="849" t="b">
        <v>0</v>
      </c>
      <c r="Q33" s="857" t="s">
        <v>1514</v>
      </c>
    </row>
    <row r="34" spans="1:17">
      <c r="A34" s="873">
        <v>45434.166666666664</v>
      </c>
      <c r="B34" s="315" t="s">
        <v>296</v>
      </c>
      <c r="C34" s="856">
        <v>8.064E-3</v>
      </c>
      <c r="E34" s="849" t="b">
        <v>0</v>
      </c>
      <c r="F34" s="849" t="b">
        <v>0</v>
      </c>
      <c r="G34" s="849" t="b">
        <v>0</v>
      </c>
      <c r="H34" s="849" t="b">
        <v>0</v>
      </c>
      <c r="I34" s="849" t="b">
        <v>0</v>
      </c>
      <c r="J34" s="849" t="b">
        <v>0</v>
      </c>
      <c r="K34" s="849" t="b">
        <v>0</v>
      </c>
      <c r="L34" s="849" t="b">
        <v>0</v>
      </c>
      <c r="M34" s="849" t="b">
        <v>0</v>
      </c>
      <c r="N34" s="849" t="b">
        <v>0</v>
      </c>
      <c r="O34" s="849" t="b">
        <v>1</v>
      </c>
      <c r="P34" s="849" t="b">
        <v>0</v>
      </c>
      <c r="Q34" s="857" t="s">
        <v>1514</v>
      </c>
    </row>
    <row r="35" spans="1:17">
      <c r="A35" s="873">
        <v>45434.166666666664</v>
      </c>
      <c r="B35" s="315" t="s">
        <v>306</v>
      </c>
      <c r="C35" s="856">
        <v>42</v>
      </c>
      <c r="E35" s="849" t="b">
        <v>0</v>
      </c>
      <c r="F35" s="849" t="b">
        <v>0</v>
      </c>
      <c r="G35" s="849" t="b">
        <v>0</v>
      </c>
      <c r="H35" s="849" t="b">
        <v>0</v>
      </c>
      <c r="I35" s="849" t="b">
        <v>0</v>
      </c>
      <c r="J35" s="849" t="b">
        <v>0</v>
      </c>
      <c r="K35" s="849" t="b">
        <v>0</v>
      </c>
      <c r="L35" s="849" t="b">
        <v>0</v>
      </c>
      <c r="M35" s="849" t="b">
        <v>0</v>
      </c>
      <c r="N35" s="849" t="b">
        <v>0</v>
      </c>
      <c r="O35" s="849" t="b">
        <v>1</v>
      </c>
      <c r="P35" s="849" t="b">
        <v>0</v>
      </c>
      <c r="Q35" s="857" t="s">
        <v>1514</v>
      </c>
    </row>
    <row r="36" spans="1:17">
      <c r="A36" s="873">
        <v>45434.166666666664</v>
      </c>
      <c r="B36" s="315" t="s">
        <v>307</v>
      </c>
      <c r="C36" s="856">
        <v>175</v>
      </c>
      <c r="E36" s="849" t="b">
        <v>0</v>
      </c>
      <c r="F36" s="849" t="b">
        <v>0</v>
      </c>
      <c r="G36" s="849" t="b">
        <v>0</v>
      </c>
      <c r="H36" s="849" t="b">
        <v>0</v>
      </c>
      <c r="I36" s="849" t="b">
        <v>0</v>
      </c>
      <c r="J36" s="849" t="b">
        <v>0</v>
      </c>
      <c r="K36" s="849" t="b">
        <v>0</v>
      </c>
      <c r="L36" s="849" t="b">
        <v>0</v>
      </c>
      <c r="M36" s="849" t="b">
        <v>0</v>
      </c>
      <c r="N36" s="849" t="b">
        <v>0</v>
      </c>
      <c r="O36" s="849" t="b">
        <v>1</v>
      </c>
      <c r="P36" s="849" t="b">
        <v>0</v>
      </c>
      <c r="Q36" s="857" t="s">
        <v>1514</v>
      </c>
    </row>
    <row r="37" spans="1:17">
      <c r="A37" s="873">
        <v>45434.166666666664</v>
      </c>
      <c r="B37" s="315" t="s">
        <v>871</v>
      </c>
      <c r="C37" s="856">
        <v>41</v>
      </c>
      <c r="E37" s="849" t="b">
        <v>0</v>
      </c>
      <c r="F37" s="849" t="b">
        <v>0</v>
      </c>
      <c r="G37" s="849" t="b">
        <v>0</v>
      </c>
      <c r="H37" s="849" t="b">
        <v>0</v>
      </c>
      <c r="I37" s="849" t="b">
        <v>0</v>
      </c>
      <c r="J37" s="849" t="b">
        <v>0</v>
      </c>
      <c r="K37" s="849" t="b">
        <v>0</v>
      </c>
      <c r="L37" s="849" t="b">
        <v>0</v>
      </c>
      <c r="M37" s="849" t="b">
        <v>0</v>
      </c>
      <c r="N37" s="849" t="b">
        <v>0</v>
      </c>
      <c r="O37" s="849" t="b">
        <v>1</v>
      </c>
      <c r="P37" s="849" t="b">
        <v>0</v>
      </c>
      <c r="Q37" s="857" t="s">
        <v>1514</v>
      </c>
    </row>
    <row r="38" spans="1:17">
      <c r="A38" s="873">
        <v>45434.166666666664</v>
      </c>
      <c r="B38" s="315" t="s">
        <v>870</v>
      </c>
      <c r="C38" s="856">
        <v>10.95</v>
      </c>
      <c r="E38" s="849" t="b">
        <v>0</v>
      </c>
      <c r="F38" s="849" t="b">
        <v>0</v>
      </c>
      <c r="G38" s="849" t="b">
        <v>0</v>
      </c>
      <c r="H38" s="849" t="b">
        <v>0</v>
      </c>
      <c r="I38" s="849" t="b">
        <v>0</v>
      </c>
      <c r="J38" s="849" t="b">
        <v>0</v>
      </c>
      <c r="K38" s="849" t="b">
        <v>0</v>
      </c>
      <c r="L38" s="849" t="b">
        <v>0</v>
      </c>
      <c r="M38" s="849" t="b">
        <v>0</v>
      </c>
      <c r="N38" s="849" t="b">
        <v>0</v>
      </c>
      <c r="O38" s="849" t="b">
        <v>1</v>
      </c>
      <c r="P38" s="849" t="b">
        <v>0</v>
      </c>
      <c r="Q38" s="857" t="s">
        <v>1514</v>
      </c>
    </row>
    <row r="39" spans="1:17">
      <c r="A39" s="873">
        <v>45434.166666666664</v>
      </c>
      <c r="B39" s="315" t="s">
        <v>872</v>
      </c>
      <c r="C39" s="856">
        <v>47</v>
      </c>
      <c r="E39" s="849" t="b">
        <v>0</v>
      </c>
      <c r="F39" s="849" t="b">
        <v>0</v>
      </c>
      <c r="G39" s="849" t="b">
        <v>0</v>
      </c>
      <c r="H39" s="849" t="b">
        <v>0</v>
      </c>
      <c r="I39" s="849" t="b">
        <v>0</v>
      </c>
      <c r="J39" s="849" t="b">
        <v>0</v>
      </c>
      <c r="K39" s="849" t="b">
        <v>0</v>
      </c>
      <c r="L39" s="849" t="b">
        <v>0</v>
      </c>
      <c r="M39" s="849" t="b">
        <v>0</v>
      </c>
      <c r="N39" s="849" t="b">
        <v>0</v>
      </c>
      <c r="O39" s="849" t="b">
        <v>1</v>
      </c>
      <c r="P39" s="849" t="b">
        <v>0</v>
      </c>
      <c r="Q39" s="857" t="s">
        <v>1514</v>
      </c>
    </row>
    <row r="40" spans="1:17">
      <c r="A40" s="873">
        <v>45434.166666666664</v>
      </c>
      <c r="B40" s="315" t="s">
        <v>873</v>
      </c>
      <c r="C40" s="856">
        <v>8.8679245283018879</v>
      </c>
      <c r="E40" s="849" t="b">
        <v>0</v>
      </c>
      <c r="F40" s="849" t="b">
        <v>0</v>
      </c>
      <c r="G40" s="849" t="b">
        <v>0</v>
      </c>
      <c r="H40" s="849" t="b">
        <v>0</v>
      </c>
      <c r="I40" s="849" t="b">
        <v>0</v>
      </c>
      <c r="J40" s="849" t="b">
        <v>0</v>
      </c>
      <c r="K40" s="849" t="b">
        <v>0</v>
      </c>
      <c r="L40" s="849" t="b">
        <v>0</v>
      </c>
      <c r="M40" s="849" t="b">
        <v>0</v>
      </c>
      <c r="N40" s="849" t="b">
        <v>0</v>
      </c>
      <c r="O40" s="849" t="b">
        <v>1</v>
      </c>
      <c r="P40" s="849" t="b">
        <v>0</v>
      </c>
      <c r="Q40" s="857" t="s">
        <v>1514</v>
      </c>
    </row>
    <row r="41" spans="1:17">
      <c r="A41" s="873">
        <v>45434.166666666664</v>
      </c>
      <c r="B41" s="315" t="s">
        <v>874</v>
      </c>
      <c r="C41" s="856">
        <v>0.1</v>
      </c>
      <c r="E41" s="849" t="b">
        <v>0</v>
      </c>
      <c r="F41" s="849" t="b">
        <v>0</v>
      </c>
      <c r="G41" s="849" t="b">
        <v>0</v>
      </c>
      <c r="H41" s="849" t="b">
        <v>0</v>
      </c>
      <c r="I41" s="849" t="b">
        <v>0</v>
      </c>
      <c r="J41" s="849" t="b">
        <v>0</v>
      </c>
      <c r="K41" s="849" t="b">
        <v>0</v>
      </c>
      <c r="L41" s="849" t="b">
        <v>0</v>
      </c>
      <c r="M41" s="849" t="b">
        <v>0</v>
      </c>
      <c r="N41" s="849" t="b">
        <v>0</v>
      </c>
      <c r="O41" s="849" t="b">
        <v>1</v>
      </c>
      <c r="P41" s="849" t="b">
        <v>0</v>
      </c>
      <c r="Q41" s="857" t="s">
        <v>1514</v>
      </c>
    </row>
    <row r="42" spans="1:17">
      <c r="A42" s="873">
        <v>45434.166666666664</v>
      </c>
      <c r="B42" s="315" t="s">
        <v>875</v>
      </c>
      <c r="C42" s="856">
        <v>0.95</v>
      </c>
      <c r="E42" s="849" t="b">
        <v>0</v>
      </c>
      <c r="F42" s="849" t="b">
        <v>0</v>
      </c>
      <c r="G42" s="849" t="b">
        <v>0</v>
      </c>
      <c r="H42" s="849" t="b">
        <v>0</v>
      </c>
      <c r="I42" s="849" t="b">
        <v>0</v>
      </c>
      <c r="J42" s="849" t="b">
        <v>0</v>
      </c>
      <c r="K42" s="849" t="b">
        <v>0</v>
      </c>
      <c r="L42" s="849" t="b">
        <v>0</v>
      </c>
      <c r="M42" s="849" t="b">
        <v>0</v>
      </c>
      <c r="N42" s="849" t="b">
        <v>0</v>
      </c>
      <c r="O42" s="849" t="b">
        <v>1</v>
      </c>
      <c r="P42" s="849" t="b">
        <v>0</v>
      </c>
      <c r="Q42" s="857" t="s">
        <v>1514</v>
      </c>
    </row>
    <row r="43" spans="1:17">
      <c r="A43" s="873">
        <v>45434.166666666664</v>
      </c>
      <c r="B43" s="315" t="s">
        <v>876</v>
      </c>
      <c r="C43" s="856">
        <v>9.5</v>
      </c>
      <c r="E43" s="849" t="b">
        <v>0</v>
      </c>
      <c r="F43" s="849" t="b">
        <v>0</v>
      </c>
      <c r="G43" s="849" t="b">
        <v>0</v>
      </c>
      <c r="H43" s="849" t="b">
        <v>0</v>
      </c>
      <c r="I43" s="849" t="b">
        <v>0</v>
      </c>
      <c r="J43" s="849" t="b">
        <v>0</v>
      </c>
      <c r="K43" s="849" t="b">
        <v>0</v>
      </c>
      <c r="L43" s="849" t="b">
        <v>0</v>
      </c>
      <c r="M43" s="849" t="b">
        <v>0</v>
      </c>
      <c r="N43" s="849" t="b">
        <v>0</v>
      </c>
      <c r="O43" s="849" t="b">
        <v>1</v>
      </c>
      <c r="P43" s="849" t="b">
        <v>0</v>
      </c>
      <c r="Q43" s="857" t="s">
        <v>1514</v>
      </c>
    </row>
  </sheetData>
  <phoneticPr fontId="7"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10"/>
  <sheetViews>
    <sheetView zoomScale="70" zoomScaleNormal="70" workbookViewId="0">
      <selection activeCell="A4" sqref="A4:XFD21"/>
    </sheetView>
  </sheetViews>
  <sheetFormatPr defaultRowHeight="19.5"/>
  <cols>
    <col min="1" max="1" width="24.5" style="868" customWidth="1"/>
    <col min="2" max="2" width="23" style="858" customWidth="1"/>
    <col min="3" max="3" width="20.125" style="859" customWidth="1"/>
    <col min="4" max="4" width="9" style="849"/>
    <col min="5" max="16" width="9" style="849" hidden="1" customWidth="1"/>
    <col min="17" max="16384" width="9" style="849"/>
  </cols>
  <sheetData>
    <row r="1" spans="1:17" ht="71.45" customHeight="1">
      <c r="A1" s="864" t="s">
        <v>318</v>
      </c>
      <c r="B1" s="847"/>
      <c r="C1" s="848"/>
    </row>
    <row r="2" spans="1:17" s="852" customFormat="1" ht="18.75">
      <c r="A2" s="867" t="s">
        <v>319</v>
      </c>
      <c r="B2" s="850" t="s">
        <v>320</v>
      </c>
      <c r="C2" s="851" t="s">
        <v>340</v>
      </c>
      <c r="E2" s="853">
        <v>1</v>
      </c>
      <c r="F2" s="853" t="s">
        <v>831</v>
      </c>
      <c r="G2" s="853">
        <v>2</v>
      </c>
      <c r="H2" s="853" t="s">
        <v>831</v>
      </c>
      <c r="I2" s="853">
        <v>3</v>
      </c>
      <c r="J2" s="853" t="s">
        <v>831</v>
      </c>
      <c r="K2" s="853">
        <v>4</v>
      </c>
      <c r="L2" s="853" t="s">
        <v>831</v>
      </c>
      <c r="M2" s="853">
        <v>5</v>
      </c>
      <c r="N2" s="853" t="s">
        <v>831</v>
      </c>
      <c r="O2" s="853">
        <v>6</v>
      </c>
      <c r="P2" s="853" t="s">
        <v>831</v>
      </c>
      <c r="Q2" s="854">
        <v>6</v>
      </c>
    </row>
    <row r="3" spans="1:17" s="852" customFormat="1" ht="18.75">
      <c r="A3" s="867" t="s">
        <v>343</v>
      </c>
      <c r="B3" s="850" t="s">
        <v>344</v>
      </c>
      <c r="C3" s="851" t="s">
        <v>355</v>
      </c>
      <c r="Q3" s="861"/>
    </row>
    <row r="4" spans="1:17" ht="24" customHeight="1">
      <c r="A4" s="873" t="s">
        <v>1684</v>
      </c>
      <c r="B4" s="315" t="s">
        <v>871</v>
      </c>
      <c r="C4" s="856">
        <v>36</v>
      </c>
      <c r="E4" s="849" t="b">
        <v>0</v>
      </c>
      <c r="F4" s="849" t="b">
        <v>0</v>
      </c>
      <c r="G4" s="849" t="b">
        <v>0</v>
      </c>
      <c r="H4" s="849" t="b">
        <v>0</v>
      </c>
      <c r="I4" s="849" t="b">
        <v>0</v>
      </c>
      <c r="J4" s="849" t="b">
        <v>0</v>
      </c>
      <c r="K4" s="849" t="b">
        <v>0</v>
      </c>
      <c r="L4" s="849" t="b">
        <v>0</v>
      </c>
      <c r="M4" s="849" t="b">
        <v>0</v>
      </c>
      <c r="N4" s="849" t="b">
        <v>0</v>
      </c>
      <c r="O4" s="849" t="b">
        <v>1</v>
      </c>
      <c r="P4" s="849" t="b">
        <v>0</v>
      </c>
      <c r="Q4" s="857" t="s">
        <v>1514</v>
      </c>
    </row>
    <row r="5" spans="1:17" ht="24" customHeight="1">
      <c r="A5" s="873" t="s">
        <v>1684</v>
      </c>
      <c r="B5" s="315" t="s">
        <v>870</v>
      </c>
      <c r="C5" s="856">
        <v>10.584999999999999</v>
      </c>
      <c r="E5" s="849" t="b">
        <v>0</v>
      </c>
      <c r="F5" s="849" t="b">
        <v>0</v>
      </c>
      <c r="G5" s="849" t="b">
        <v>0</v>
      </c>
      <c r="H5" s="849" t="b">
        <v>0</v>
      </c>
      <c r="I5" s="849" t="b">
        <v>0</v>
      </c>
      <c r="J5" s="849" t="b">
        <v>0</v>
      </c>
      <c r="K5" s="849" t="b">
        <v>0</v>
      </c>
      <c r="L5" s="849" t="b">
        <v>0</v>
      </c>
      <c r="M5" s="849" t="b">
        <v>0</v>
      </c>
      <c r="N5" s="849" t="b">
        <v>0</v>
      </c>
      <c r="O5" s="849" t="b">
        <v>1</v>
      </c>
      <c r="P5" s="849" t="b">
        <v>0</v>
      </c>
      <c r="Q5" s="857" t="s">
        <v>1514</v>
      </c>
    </row>
    <row r="6" spans="1:17" ht="24" customHeight="1">
      <c r="A6" s="873" t="s">
        <v>1684</v>
      </c>
      <c r="B6" s="315" t="s">
        <v>872</v>
      </c>
      <c r="C6" s="856">
        <v>49</v>
      </c>
      <c r="E6" s="849" t="b">
        <v>0</v>
      </c>
      <c r="F6" s="849" t="b">
        <v>0</v>
      </c>
      <c r="G6" s="849" t="b">
        <v>0</v>
      </c>
      <c r="H6" s="849" t="b">
        <v>0</v>
      </c>
      <c r="I6" s="849" t="b">
        <v>0</v>
      </c>
      <c r="J6" s="849" t="b">
        <v>0</v>
      </c>
      <c r="K6" s="849" t="b">
        <v>0</v>
      </c>
      <c r="L6" s="849" t="b">
        <v>0</v>
      </c>
      <c r="M6" s="849" t="b">
        <v>0</v>
      </c>
      <c r="N6" s="849" t="b">
        <v>0</v>
      </c>
      <c r="O6" s="849" t="b">
        <v>1</v>
      </c>
      <c r="P6" s="849" t="b">
        <v>0</v>
      </c>
      <c r="Q6" s="857" t="s">
        <v>1514</v>
      </c>
    </row>
    <row r="7" spans="1:17" ht="24" customHeight="1">
      <c r="A7" s="873" t="s">
        <v>1684</v>
      </c>
      <c r="B7" s="315" t="s">
        <v>873</v>
      </c>
      <c r="C7" s="856">
        <v>10</v>
      </c>
      <c r="E7" s="849" t="b">
        <v>0</v>
      </c>
      <c r="F7" s="849" t="b">
        <v>0</v>
      </c>
      <c r="G7" s="849" t="b">
        <v>0</v>
      </c>
      <c r="H7" s="849" t="b">
        <v>0</v>
      </c>
      <c r="I7" s="849" t="b">
        <v>0</v>
      </c>
      <c r="J7" s="849" t="b">
        <v>0</v>
      </c>
      <c r="K7" s="849" t="b">
        <v>0</v>
      </c>
      <c r="L7" s="849" t="b">
        <v>0</v>
      </c>
      <c r="M7" s="849" t="b">
        <v>0</v>
      </c>
      <c r="N7" s="849" t="b">
        <v>0</v>
      </c>
      <c r="O7" s="849" t="b">
        <v>1</v>
      </c>
      <c r="P7" s="849" t="b">
        <v>0</v>
      </c>
      <c r="Q7" s="857" t="s">
        <v>1514</v>
      </c>
    </row>
    <row r="8" spans="1:17" ht="24" customHeight="1">
      <c r="A8" s="873" t="s">
        <v>1684</v>
      </c>
      <c r="B8" s="315" t="s">
        <v>874</v>
      </c>
      <c r="C8" s="856">
        <v>0.12</v>
      </c>
      <c r="E8" s="849" t="b">
        <v>0</v>
      </c>
      <c r="F8" s="849" t="b">
        <v>0</v>
      </c>
      <c r="G8" s="849" t="b">
        <v>0</v>
      </c>
      <c r="H8" s="849" t="b">
        <v>0</v>
      </c>
      <c r="I8" s="849" t="b">
        <v>0</v>
      </c>
      <c r="J8" s="849" t="b">
        <v>0</v>
      </c>
      <c r="K8" s="849" t="b">
        <v>0</v>
      </c>
      <c r="L8" s="849" t="b">
        <v>0</v>
      </c>
      <c r="M8" s="849" t="b">
        <v>0</v>
      </c>
      <c r="N8" s="849" t="b">
        <v>0</v>
      </c>
      <c r="O8" s="849" t="b">
        <v>1</v>
      </c>
      <c r="P8" s="849" t="b">
        <v>0</v>
      </c>
      <c r="Q8" s="857" t="s">
        <v>1514</v>
      </c>
    </row>
    <row r="9" spans="1:17" ht="24" customHeight="1">
      <c r="A9" s="873" t="s">
        <v>1684</v>
      </c>
      <c r="B9" s="315" t="s">
        <v>875</v>
      </c>
      <c r="C9" s="856">
        <v>0.95</v>
      </c>
      <c r="E9" s="849" t="b">
        <v>0</v>
      </c>
      <c r="F9" s="849" t="b">
        <v>0</v>
      </c>
      <c r="G9" s="849" t="b">
        <v>0</v>
      </c>
      <c r="H9" s="849" t="b">
        <v>0</v>
      </c>
      <c r="I9" s="849" t="b">
        <v>0</v>
      </c>
      <c r="J9" s="849" t="b">
        <v>0</v>
      </c>
      <c r="K9" s="849" t="b">
        <v>0</v>
      </c>
      <c r="L9" s="849" t="b">
        <v>0</v>
      </c>
      <c r="M9" s="849" t="b">
        <v>0</v>
      </c>
      <c r="N9" s="849" t="b">
        <v>0</v>
      </c>
      <c r="O9" s="849" t="b">
        <v>1</v>
      </c>
      <c r="P9" s="849" t="b">
        <v>0</v>
      </c>
      <c r="Q9" s="857" t="s">
        <v>1514</v>
      </c>
    </row>
    <row r="10" spans="1:17" ht="24" customHeight="1">
      <c r="A10" s="873" t="s">
        <v>1684</v>
      </c>
      <c r="B10" s="315" t="s">
        <v>876</v>
      </c>
      <c r="C10" s="856">
        <v>10</v>
      </c>
      <c r="E10" s="849" t="b">
        <v>0</v>
      </c>
      <c r="F10" s="849" t="b">
        <v>0</v>
      </c>
      <c r="G10" s="849" t="b">
        <v>0</v>
      </c>
      <c r="H10" s="849" t="b">
        <v>0</v>
      </c>
      <c r="I10" s="849" t="b">
        <v>0</v>
      </c>
      <c r="J10" s="849" t="b">
        <v>0</v>
      </c>
      <c r="K10" s="849" t="b">
        <v>0</v>
      </c>
      <c r="L10" s="849" t="b">
        <v>0</v>
      </c>
      <c r="M10" s="849" t="b">
        <v>0</v>
      </c>
      <c r="N10" s="849" t="b">
        <v>0</v>
      </c>
      <c r="O10" s="849" t="b">
        <v>1</v>
      </c>
      <c r="P10" s="849" t="b">
        <v>0</v>
      </c>
      <c r="Q10" s="857" t="s">
        <v>1514</v>
      </c>
    </row>
  </sheetData>
  <phoneticPr fontId="7"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sheetPr codeName="Sheet1">
    <tabColor rgb="FF0000FF"/>
  </sheetPr>
  <dimension ref="B1:AI46"/>
  <sheetViews>
    <sheetView zoomScale="85" zoomScaleNormal="85" workbookViewId="0">
      <selection activeCell="V27" sqref="V27:W28"/>
    </sheetView>
  </sheetViews>
  <sheetFormatPr defaultColWidth="6.25" defaultRowHeight="15.75"/>
  <cols>
    <col min="1" max="1" width="2.375" style="317" customWidth="1"/>
    <col min="2" max="2" width="6.375" style="317" customWidth="1"/>
    <col min="3" max="3" width="5.5" style="317" customWidth="1"/>
    <col min="4" max="4" width="5.75" style="317" customWidth="1"/>
    <col min="5" max="5" width="2.625" style="317" customWidth="1"/>
    <col min="6" max="8" width="5" style="317" customWidth="1"/>
    <col min="9" max="9" width="2.25" style="317" customWidth="1"/>
    <col min="10" max="12" width="5.125" style="317" customWidth="1"/>
    <col min="13" max="13" width="2.5" style="317" customWidth="1"/>
    <col min="14" max="16" width="4.75" style="317" customWidth="1"/>
    <col min="17" max="17" width="2.625" style="317" customWidth="1"/>
    <col min="18" max="18" width="4.375" style="757" customWidth="1"/>
    <col min="19" max="19" width="3.75" style="757" customWidth="1"/>
    <col min="20" max="20" width="5.375" style="757" customWidth="1"/>
    <col min="21" max="21" width="3.25" style="317" customWidth="1"/>
    <col min="22" max="22" width="4.875" style="317" customWidth="1"/>
    <col min="23" max="23" width="4.125" style="317" customWidth="1"/>
    <col min="24" max="24" width="2.75" style="317" customWidth="1"/>
    <col min="25" max="25" width="14.25" style="317" customWidth="1"/>
    <col min="26" max="26" width="3.375" style="317" customWidth="1"/>
    <col min="27" max="27" width="14.125" style="317" customWidth="1"/>
    <col min="28" max="28" width="2.375" style="317" customWidth="1"/>
    <col min="29" max="29" width="5.75" style="317" customWidth="1"/>
    <col min="30" max="16384" width="6.25" style="317"/>
  </cols>
  <sheetData>
    <row r="1" spans="2:35" ht="6.75" customHeight="1"/>
    <row r="2" spans="2:35" ht="4.5" customHeight="1" thickBot="1">
      <c r="U2" s="843"/>
      <c r="V2" s="843"/>
      <c r="W2" s="843"/>
      <c r="X2" s="843"/>
      <c r="Y2" s="843"/>
      <c r="Z2" s="843"/>
      <c r="AA2" s="843"/>
      <c r="AB2" s="843"/>
      <c r="AC2" s="843"/>
      <c r="AD2" s="843"/>
      <c r="AE2" s="843"/>
    </row>
    <row r="3" spans="2:35" ht="15" customHeight="1">
      <c r="B3" s="2970" t="s">
        <v>356</v>
      </c>
      <c r="C3" s="2971"/>
      <c r="D3" s="2971"/>
      <c r="E3" s="2971"/>
      <c r="F3" s="2971"/>
      <c r="G3" s="2971"/>
      <c r="H3" s="3001"/>
      <c r="I3" s="318"/>
      <c r="J3" s="2970" t="s">
        <v>357</v>
      </c>
      <c r="K3" s="2971"/>
      <c r="L3" s="2971"/>
      <c r="M3" s="2971"/>
      <c r="N3" s="2971"/>
      <c r="O3" s="2971"/>
      <c r="P3" s="3001"/>
      <c r="Q3" s="318"/>
      <c r="R3" s="2970" t="s">
        <v>358</v>
      </c>
      <c r="S3" s="2971"/>
      <c r="T3" s="2972"/>
      <c r="U3" s="843"/>
      <c r="V3" s="3003" t="s">
        <v>869</v>
      </c>
      <c r="W3" s="3004"/>
      <c r="X3" s="3004"/>
      <c r="Y3" s="3005"/>
      <c r="Z3" s="887"/>
      <c r="AA3" s="2969" t="s">
        <v>885</v>
      </c>
      <c r="AB3" s="843"/>
      <c r="AC3" s="843"/>
      <c r="AD3" s="843"/>
      <c r="AE3" s="1912" t="s">
        <v>126</v>
      </c>
      <c r="AF3" s="1912" t="s">
        <v>1472</v>
      </c>
    </row>
    <row r="4" spans="2:35" ht="15" customHeight="1">
      <c r="B4" s="2973"/>
      <c r="C4" s="2974"/>
      <c r="D4" s="2974"/>
      <c r="E4" s="2974"/>
      <c r="F4" s="2974"/>
      <c r="G4" s="2974"/>
      <c r="H4" s="3002"/>
      <c r="I4" s="318"/>
      <c r="J4" s="2973"/>
      <c r="K4" s="2974"/>
      <c r="L4" s="2974"/>
      <c r="M4" s="2974"/>
      <c r="N4" s="2974"/>
      <c r="O4" s="2974"/>
      <c r="P4" s="3002"/>
      <c r="Q4" s="318"/>
      <c r="R4" s="2973"/>
      <c r="S4" s="2974"/>
      <c r="T4" s="2975"/>
      <c r="U4" s="843"/>
      <c r="V4" s="3006"/>
      <c r="W4" s="3007"/>
      <c r="X4" s="3007"/>
      <c r="Y4" s="3008"/>
      <c r="Z4" s="887"/>
      <c r="AA4" s="2912"/>
      <c r="AB4" s="843"/>
      <c r="AC4" s="843"/>
      <c r="AD4" s="843"/>
      <c r="AE4" s="1912" t="s">
        <v>1472</v>
      </c>
      <c r="AF4" s="1912" t="s">
        <v>126</v>
      </c>
    </row>
    <row r="5" spans="2:35" ht="15" customHeight="1" thickBot="1">
      <c r="B5" s="757"/>
      <c r="C5" s="757"/>
      <c r="D5" s="757"/>
      <c r="E5" s="757"/>
      <c r="F5" s="757"/>
      <c r="G5" s="757"/>
      <c r="H5" s="757"/>
      <c r="I5" s="757"/>
      <c r="J5" s="757"/>
      <c r="K5" s="757"/>
      <c r="L5" s="757"/>
      <c r="M5" s="757"/>
      <c r="N5" s="757"/>
      <c r="O5" s="757"/>
      <c r="P5" s="757"/>
      <c r="Q5" s="757"/>
      <c r="U5" s="757"/>
      <c r="V5" s="757"/>
      <c r="W5" s="757"/>
      <c r="X5" s="757"/>
      <c r="Y5" s="757"/>
      <c r="Z5" s="884"/>
      <c r="AA5" s="757"/>
      <c r="AB5" s="757"/>
      <c r="AC5" s="757"/>
      <c r="AD5" s="757"/>
      <c r="AE5" s="757"/>
      <c r="AF5" s="757"/>
      <c r="AG5" s="757"/>
    </row>
    <row r="6" spans="2:35" ht="15" customHeight="1">
      <c r="B6" s="2982" t="s">
        <v>820</v>
      </c>
      <c r="C6" s="2983"/>
      <c r="D6" s="2984"/>
      <c r="E6" s="757"/>
      <c r="F6" s="2988" t="s">
        <v>823</v>
      </c>
      <c r="G6" s="2989"/>
      <c r="H6" s="2990"/>
      <c r="I6" s="757"/>
      <c r="J6" s="2994" t="s">
        <v>824</v>
      </c>
      <c r="K6" s="2914"/>
      <c r="L6" s="2915"/>
      <c r="M6" s="757"/>
      <c r="N6" s="2995" t="s">
        <v>811</v>
      </c>
      <c r="O6" s="2996"/>
      <c r="P6" s="2997"/>
      <c r="Q6" s="757"/>
      <c r="R6" s="2905" t="s">
        <v>810</v>
      </c>
      <c r="S6" s="2906"/>
      <c r="T6" s="2907"/>
      <c r="U6" s="841"/>
      <c r="V6" s="2937" t="s">
        <v>877</v>
      </c>
      <c r="W6" s="2938"/>
      <c r="X6" s="862"/>
      <c r="Y6" s="2961">
        <f>AD9+TIME(9,45,0)</f>
        <v>45434.40625</v>
      </c>
      <c r="Z6" s="884"/>
      <c r="AA6" s="2911" t="s">
        <v>1473</v>
      </c>
      <c r="AB6" s="757"/>
      <c r="AC6" s="757"/>
      <c r="AD6" s="1912" t="s">
        <v>788</v>
      </c>
      <c r="AE6" s="1912" t="s">
        <v>1665</v>
      </c>
      <c r="AF6" s="757"/>
      <c r="AG6" s="757"/>
    </row>
    <row r="7" spans="2:35" ht="15" customHeight="1">
      <c r="B7" s="2985"/>
      <c r="C7" s="2986"/>
      <c r="D7" s="2987"/>
      <c r="E7" s="757"/>
      <c r="F7" s="2991"/>
      <c r="G7" s="2992"/>
      <c r="H7" s="2993"/>
      <c r="I7" s="757"/>
      <c r="J7" s="2916"/>
      <c r="K7" s="2917"/>
      <c r="L7" s="2918"/>
      <c r="M7" s="757"/>
      <c r="N7" s="2998"/>
      <c r="O7" s="2999"/>
      <c r="P7" s="3000"/>
      <c r="Q7" s="757"/>
      <c r="R7" s="2908"/>
      <c r="S7" s="2909"/>
      <c r="T7" s="2910"/>
      <c r="U7" s="841"/>
      <c r="V7" s="2939"/>
      <c r="W7" s="2940"/>
      <c r="X7" s="862"/>
      <c r="Y7" s="2912"/>
      <c r="Z7" s="884"/>
      <c r="AA7" s="2912"/>
      <c r="AB7" s="757"/>
      <c r="AC7" s="757"/>
      <c r="AD7" s="1912" t="s">
        <v>789</v>
      </c>
      <c r="AE7" s="1912" t="s">
        <v>126</v>
      </c>
      <c r="AF7" s="757"/>
      <c r="AG7" s="757"/>
    </row>
    <row r="8" spans="2:35" ht="15" customHeight="1" thickBot="1">
      <c r="B8" s="757"/>
      <c r="C8" s="757"/>
      <c r="D8" s="757"/>
      <c r="E8" s="757"/>
      <c r="F8" s="757"/>
      <c r="G8" s="757"/>
      <c r="H8" s="757"/>
      <c r="I8" s="757"/>
      <c r="J8" s="757"/>
      <c r="K8" s="757"/>
      <c r="L8" s="757"/>
      <c r="M8" s="757"/>
      <c r="N8" s="757"/>
      <c r="O8" s="757"/>
      <c r="P8" s="757"/>
      <c r="Q8" s="757"/>
      <c r="U8" s="757"/>
      <c r="V8" s="865"/>
      <c r="W8" s="865"/>
      <c r="X8" s="318"/>
      <c r="Y8" s="318"/>
      <c r="Z8" s="884"/>
      <c r="AA8" s="318"/>
      <c r="AB8" s="757"/>
      <c r="AC8" s="757"/>
      <c r="AD8" s="757"/>
      <c r="AE8" s="757"/>
      <c r="AF8" s="757"/>
      <c r="AG8" s="757"/>
    </row>
    <row r="9" spans="2:35" ht="15" customHeight="1" thickTop="1">
      <c r="B9" s="2976" t="s">
        <v>829</v>
      </c>
      <c r="C9" s="2977"/>
      <c r="D9" s="2978"/>
      <c r="E9" s="757"/>
      <c r="F9" s="2863" t="s">
        <v>1366</v>
      </c>
      <c r="G9" s="2864"/>
      <c r="H9" s="2865"/>
      <c r="I9" s="757"/>
      <c r="J9" s="2913" t="s">
        <v>817</v>
      </c>
      <c r="K9" s="2914"/>
      <c r="L9" s="2915"/>
      <c r="M9" s="757"/>
      <c r="N9" s="2919" t="s">
        <v>812</v>
      </c>
      <c r="O9" s="2920"/>
      <c r="P9" s="2921"/>
      <c r="Q9" s="757"/>
      <c r="R9" s="2905" t="s">
        <v>808</v>
      </c>
      <c r="S9" s="2906"/>
      <c r="T9" s="2907"/>
      <c r="U9" s="841"/>
      <c r="V9" s="2937" t="s">
        <v>878</v>
      </c>
      <c r="W9" s="2938"/>
      <c r="X9" s="862"/>
      <c r="Y9" s="2961">
        <f>AD9+TIME(11,45,0)</f>
        <v>45434.489583333336</v>
      </c>
      <c r="Z9" s="884"/>
      <c r="AA9" s="2911" t="s">
        <v>1474</v>
      </c>
      <c r="AB9" s="757"/>
      <c r="AC9" s="2875" t="s">
        <v>1664</v>
      </c>
      <c r="AD9" s="2901" t="s">
        <v>1666</v>
      </c>
      <c r="AE9" s="2902"/>
      <c r="AF9" s="2877" t="s">
        <v>1499</v>
      </c>
      <c r="AG9" s="2878"/>
      <c r="AH9" s="2878"/>
      <c r="AI9" s="2878"/>
    </row>
    <row r="10" spans="2:35" ht="15" customHeight="1">
      <c r="B10" s="2979"/>
      <c r="C10" s="2980"/>
      <c r="D10" s="2981"/>
      <c r="E10" s="757"/>
      <c r="F10" s="2866"/>
      <c r="G10" s="2867"/>
      <c r="H10" s="2868"/>
      <c r="I10" s="757"/>
      <c r="J10" s="2916"/>
      <c r="K10" s="2917"/>
      <c r="L10" s="2918"/>
      <c r="M10" s="757"/>
      <c r="N10" s="2922"/>
      <c r="O10" s="2923"/>
      <c r="P10" s="2924"/>
      <c r="Q10" s="757"/>
      <c r="R10" s="2908"/>
      <c r="S10" s="2909"/>
      <c r="T10" s="2910"/>
      <c r="U10" s="841"/>
      <c r="V10" s="2939"/>
      <c r="W10" s="2940"/>
      <c r="X10" s="862"/>
      <c r="Y10" s="2912"/>
      <c r="Z10" s="884"/>
      <c r="AA10" s="2912"/>
      <c r="AB10" s="757"/>
      <c r="AC10" s="2876"/>
      <c r="AD10" s="2903"/>
      <c r="AE10" s="2904"/>
      <c r="AF10" s="2877"/>
      <c r="AG10" s="2878"/>
      <c r="AH10" s="2878"/>
      <c r="AI10" s="2878"/>
    </row>
    <row r="11" spans="2:35" ht="15" customHeight="1" thickBot="1">
      <c r="B11" s="757"/>
      <c r="C11" s="757"/>
      <c r="D11" s="757"/>
      <c r="E11" s="757"/>
      <c r="F11" s="1508"/>
      <c r="G11" s="1508"/>
      <c r="H11" s="1508"/>
      <c r="I11" s="757"/>
      <c r="J11" s="757"/>
      <c r="K11" s="757"/>
      <c r="L11" s="757"/>
      <c r="M11" s="757"/>
      <c r="N11" s="757"/>
      <c r="O11" s="757"/>
      <c r="P11" s="757"/>
      <c r="Q11" s="757"/>
      <c r="U11" s="757"/>
      <c r="V11" s="865"/>
      <c r="W11" s="865"/>
      <c r="X11" s="318"/>
      <c r="Y11" s="318"/>
      <c r="Z11" s="884"/>
      <c r="AA11" s="318"/>
      <c r="AB11" s="757"/>
      <c r="AC11" s="757"/>
      <c r="AD11" s="757"/>
      <c r="AE11" s="757"/>
      <c r="AF11" s="757"/>
      <c r="AG11" s="757"/>
    </row>
    <row r="12" spans="2:35" ht="15" customHeight="1">
      <c r="B12" s="2850" t="s">
        <v>822</v>
      </c>
      <c r="C12" s="2851"/>
      <c r="D12" s="2852"/>
      <c r="E12" s="757"/>
      <c r="F12" s="2885" t="s">
        <v>1359</v>
      </c>
      <c r="G12" s="2886"/>
      <c r="H12" s="2887"/>
      <c r="I12" s="757"/>
      <c r="J12" s="2925" t="s">
        <v>825</v>
      </c>
      <c r="K12" s="2926"/>
      <c r="L12" s="2927"/>
      <c r="M12" s="757"/>
      <c r="N12" s="2931" t="s">
        <v>813</v>
      </c>
      <c r="O12" s="2932"/>
      <c r="P12" s="2933"/>
      <c r="Q12" s="757"/>
      <c r="R12" s="2905" t="s">
        <v>809</v>
      </c>
      <c r="S12" s="2906"/>
      <c r="T12" s="2907"/>
      <c r="U12" s="842"/>
      <c r="V12" s="2937" t="s">
        <v>879</v>
      </c>
      <c r="W12" s="2938"/>
      <c r="X12" s="862"/>
      <c r="Y12" s="2961">
        <f>AD9+TIME(16,30,0)</f>
        <v>45434.6875</v>
      </c>
      <c r="Z12" s="884"/>
      <c r="AA12" s="2911" t="s">
        <v>1475</v>
      </c>
      <c r="AB12" s="757"/>
      <c r="AC12" s="757"/>
      <c r="AD12" s="2897" t="s">
        <v>850</v>
      </c>
      <c r="AE12" s="2898"/>
      <c r="AF12" s="757"/>
      <c r="AG12" s="757"/>
    </row>
    <row r="13" spans="2:35" ht="15" customHeight="1">
      <c r="B13" s="2853"/>
      <c r="C13" s="2854"/>
      <c r="D13" s="2855"/>
      <c r="E13" s="757"/>
      <c r="F13" s="2888"/>
      <c r="G13" s="2889"/>
      <c r="H13" s="2890"/>
      <c r="I13" s="757"/>
      <c r="J13" s="2928"/>
      <c r="K13" s="2929"/>
      <c r="L13" s="2930"/>
      <c r="M13" s="757"/>
      <c r="N13" s="2934"/>
      <c r="O13" s="2935"/>
      <c r="P13" s="2936"/>
      <c r="Q13" s="757"/>
      <c r="R13" s="2908"/>
      <c r="S13" s="2909"/>
      <c r="T13" s="2910"/>
      <c r="U13" s="842"/>
      <c r="V13" s="2939"/>
      <c r="W13" s="2940"/>
      <c r="X13" s="862"/>
      <c r="Y13" s="2912"/>
      <c r="Z13" s="886"/>
      <c r="AA13" s="2912"/>
      <c r="AB13" s="757"/>
      <c r="AC13" s="757"/>
      <c r="AD13" s="2899"/>
      <c r="AE13" s="2900"/>
      <c r="AF13" s="757"/>
      <c r="AG13" s="757"/>
    </row>
    <row r="14" spans="2:35" ht="15" customHeight="1" thickBot="1">
      <c r="B14" s="757"/>
      <c r="C14" s="757"/>
      <c r="D14" s="757"/>
      <c r="E14" s="757"/>
      <c r="F14" s="1508"/>
      <c r="G14" s="1508"/>
      <c r="H14" s="1508"/>
      <c r="I14" s="757"/>
      <c r="J14" s="757"/>
      <c r="K14" s="757"/>
      <c r="L14" s="757"/>
      <c r="M14" s="757"/>
      <c r="N14" s="757"/>
      <c r="O14" s="757"/>
      <c r="P14" s="757"/>
      <c r="Q14" s="757"/>
      <c r="U14" s="757"/>
      <c r="V14" s="865"/>
      <c r="W14" s="865"/>
      <c r="X14" s="318"/>
      <c r="Y14" s="318"/>
      <c r="Z14" s="318"/>
      <c r="AA14" s="318"/>
      <c r="AB14" s="757"/>
      <c r="AC14" s="757"/>
      <c r="AD14" s="757"/>
      <c r="AE14" s="757"/>
      <c r="AF14" s="757"/>
      <c r="AG14" s="757"/>
    </row>
    <row r="15" spans="2:35" ht="15" customHeight="1">
      <c r="B15" s="2850" t="s">
        <v>821</v>
      </c>
      <c r="C15" s="2851"/>
      <c r="D15" s="2852"/>
      <c r="E15" s="757"/>
      <c r="F15" s="2941" t="s">
        <v>1367</v>
      </c>
      <c r="G15" s="2942"/>
      <c r="H15" s="2943"/>
      <c r="I15" s="757"/>
      <c r="J15" s="2955" t="s">
        <v>826</v>
      </c>
      <c r="K15" s="2956"/>
      <c r="L15" s="2957"/>
      <c r="M15" s="757"/>
      <c r="N15" s="2931" t="s">
        <v>814</v>
      </c>
      <c r="O15" s="2932"/>
      <c r="P15" s="2933"/>
      <c r="Q15" s="757"/>
      <c r="R15" s="2963" t="s">
        <v>1369</v>
      </c>
      <c r="S15" s="2964"/>
      <c r="T15" s="2965"/>
      <c r="U15" s="842"/>
      <c r="V15" s="2937" t="s">
        <v>880</v>
      </c>
      <c r="W15" s="2938"/>
      <c r="X15" s="862"/>
      <c r="Y15" s="2961">
        <f>AD9+TIME(18,0,0)</f>
        <v>45434.75</v>
      </c>
      <c r="Z15" s="885"/>
      <c r="AA15" s="2911" t="s">
        <v>1476</v>
      </c>
      <c r="AB15" s="757"/>
      <c r="AC15" s="757"/>
      <c r="AD15" s="2879" t="s">
        <v>1445</v>
      </c>
      <c r="AE15" s="2880"/>
      <c r="AF15" s="2880"/>
      <c r="AG15" s="2881"/>
    </row>
    <row r="16" spans="2:35" ht="15" customHeight="1">
      <c r="B16" s="2853"/>
      <c r="C16" s="2854"/>
      <c r="D16" s="2855"/>
      <c r="E16" s="757"/>
      <c r="F16" s="2944"/>
      <c r="G16" s="2945"/>
      <c r="H16" s="2946"/>
      <c r="I16" s="757"/>
      <c r="J16" s="2958"/>
      <c r="K16" s="2959"/>
      <c r="L16" s="2960"/>
      <c r="M16" s="757"/>
      <c r="N16" s="2934"/>
      <c r="O16" s="2935"/>
      <c r="P16" s="2936"/>
      <c r="Q16" s="757"/>
      <c r="R16" s="2966"/>
      <c r="S16" s="2967"/>
      <c r="T16" s="2968"/>
      <c r="U16" s="842"/>
      <c r="V16" s="2939"/>
      <c r="W16" s="2940"/>
      <c r="X16" s="862"/>
      <c r="Y16" s="2912"/>
      <c r="Z16" s="886"/>
      <c r="AA16" s="2912"/>
      <c r="AB16" s="757"/>
      <c r="AC16" s="757"/>
      <c r="AD16" s="2882"/>
      <c r="AE16" s="2883"/>
      <c r="AF16" s="2883"/>
      <c r="AG16" s="2884"/>
    </row>
    <row r="17" spans="2:33" ht="15" customHeight="1" thickBot="1">
      <c r="B17" s="757"/>
      <c r="C17" s="757"/>
      <c r="D17" s="757"/>
      <c r="E17" s="757"/>
      <c r="F17" s="1508"/>
      <c r="G17" s="1508"/>
      <c r="H17" s="1508"/>
      <c r="I17" s="757"/>
      <c r="J17" s="757"/>
      <c r="K17" s="757"/>
      <c r="L17" s="757"/>
      <c r="M17" s="757"/>
      <c r="N17" s="757"/>
      <c r="O17" s="757"/>
      <c r="P17" s="757"/>
      <c r="Q17" s="757"/>
      <c r="U17" s="757"/>
      <c r="V17" s="865"/>
      <c r="W17" s="865"/>
      <c r="X17" s="318"/>
      <c r="Y17" s="318"/>
      <c r="Z17" s="318"/>
      <c r="AA17" s="318"/>
    </row>
    <row r="18" spans="2:33" ht="15" customHeight="1">
      <c r="B18" s="2850" t="s">
        <v>1594</v>
      </c>
      <c r="C18" s="2851"/>
      <c r="D18" s="2852"/>
      <c r="E18" s="757"/>
      <c r="F18" s="2885" t="s">
        <v>1358</v>
      </c>
      <c r="G18" s="2886"/>
      <c r="H18" s="2887"/>
      <c r="I18" s="757"/>
      <c r="J18" s="2955" t="s">
        <v>827</v>
      </c>
      <c r="K18" s="2956"/>
      <c r="L18" s="2957"/>
      <c r="M18" s="757"/>
      <c r="N18" s="2931" t="s">
        <v>1400</v>
      </c>
      <c r="O18" s="2932"/>
      <c r="P18" s="2933"/>
      <c r="Q18" s="757"/>
      <c r="R18" s="2905" t="s">
        <v>1401</v>
      </c>
      <c r="S18" s="2906"/>
      <c r="T18" s="2907"/>
      <c r="U18" s="842"/>
      <c r="V18" s="2891" t="s">
        <v>881</v>
      </c>
      <c r="W18" s="2892"/>
      <c r="X18" s="862"/>
      <c r="Y18" s="2895">
        <f>AD9+TIME(21,45,0)</f>
        <v>45434.90625</v>
      </c>
      <c r="Z18" s="885"/>
      <c r="AA18" s="2962" t="s">
        <v>1477</v>
      </c>
      <c r="AB18" s="757"/>
      <c r="AC18" s="757"/>
      <c r="AD18" s="1598" t="s">
        <v>1436</v>
      </c>
      <c r="AE18" s="1598" t="s">
        <v>1437</v>
      </c>
      <c r="AF18" s="1598" t="s">
        <v>1438</v>
      </c>
      <c r="AG18" s="1598" t="s">
        <v>1439</v>
      </c>
    </row>
    <row r="19" spans="2:33" ht="15" customHeight="1">
      <c r="B19" s="2853"/>
      <c r="C19" s="2854"/>
      <c r="D19" s="2855"/>
      <c r="E19" s="757"/>
      <c r="F19" s="2888"/>
      <c r="G19" s="2889"/>
      <c r="H19" s="2890"/>
      <c r="I19" s="757"/>
      <c r="J19" s="2958"/>
      <c r="K19" s="2959"/>
      <c r="L19" s="2960"/>
      <c r="M19" s="757"/>
      <c r="N19" s="2934"/>
      <c r="O19" s="2935"/>
      <c r="P19" s="2936"/>
      <c r="Q19" s="757"/>
      <c r="R19" s="2908"/>
      <c r="S19" s="2909"/>
      <c r="T19" s="2910"/>
      <c r="U19" s="842"/>
      <c r="V19" s="2893"/>
      <c r="W19" s="2894"/>
      <c r="X19" s="862"/>
      <c r="Y19" s="2896"/>
      <c r="Z19" s="886"/>
      <c r="AA19" s="2896"/>
      <c r="AB19" s="757"/>
      <c r="AC19" s="757"/>
      <c r="AD19" s="1795" t="s">
        <v>1440</v>
      </c>
      <c r="AE19" s="1796">
        <v>0.38541666666666669</v>
      </c>
      <c r="AF19" s="1796">
        <v>0.60416666666666663</v>
      </c>
      <c r="AG19" s="1796">
        <v>0.72916666666666663</v>
      </c>
    </row>
    <row r="20" spans="2:33" ht="15" customHeight="1" thickBot="1">
      <c r="B20" s="1581"/>
      <c r="C20" s="1581"/>
      <c r="D20" s="1581"/>
      <c r="E20" s="757"/>
      <c r="F20" s="1508"/>
      <c r="G20" s="1508"/>
      <c r="H20" s="1508"/>
      <c r="I20" s="757"/>
      <c r="J20" s="757"/>
      <c r="K20" s="757"/>
      <c r="L20" s="757"/>
      <c r="M20" s="757"/>
      <c r="N20" s="757"/>
      <c r="O20" s="757"/>
      <c r="P20" s="757"/>
      <c r="Q20" s="757"/>
      <c r="U20" s="757"/>
      <c r="V20" s="865"/>
      <c r="W20" s="865"/>
      <c r="X20" s="318"/>
      <c r="Y20" s="318"/>
      <c r="Z20" s="318"/>
      <c r="AA20" s="318"/>
      <c r="AB20" s="757"/>
      <c r="AC20" s="757"/>
      <c r="AD20" s="1795" t="s">
        <v>778</v>
      </c>
      <c r="AE20" s="1796">
        <v>0.39583333333333331</v>
      </c>
      <c r="AF20" s="1795"/>
      <c r="AG20" s="1795"/>
    </row>
    <row r="21" spans="2:33" ht="15" customHeight="1">
      <c r="B21" s="2947" t="s">
        <v>1402</v>
      </c>
      <c r="C21" s="2948"/>
      <c r="D21" s="2949"/>
      <c r="E21" s="757"/>
      <c r="F21" s="2941" t="s">
        <v>1368</v>
      </c>
      <c r="G21" s="2942"/>
      <c r="H21" s="2943"/>
      <c r="I21" s="757"/>
      <c r="J21" s="2955" t="s">
        <v>1403</v>
      </c>
      <c r="K21" s="2956"/>
      <c r="L21" s="2957"/>
      <c r="M21" s="757"/>
      <c r="N21" s="2931" t="s">
        <v>1404</v>
      </c>
      <c r="O21" s="2932"/>
      <c r="P21" s="2933"/>
      <c r="Q21" s="757"/>
      <c r="R21" s="2905" t="s">
        <v>1405</v>
      </c>
      <c r="S21" s="2906"/>
      <c r="T21" s="2907"/>
      <c r="U21" s="842"/>
      <c r="V21" s="2891" t="s">
        <v>882</v>
      </c>
      <c r="W21" s="2892"/>
      <c r="X21" s="862"/>
      <c r="Y21" s="2895">
        <f>AD9+TIME(23,45,0)</f>
        <v>45434.989583333336</v>
      </c>
      <c r="Z21" s="885"/>
      <c r="AA21" s="2962" t="s">
        <v>1478</v>
      </c>
      <c r="AB21" s="757"/>
      <c r="AC21" s="757"/>
      <c r="AD21" s="1795" t="s">
        <v>1441</v>
      </c>
      <c r="AE21" s="1796">
        <v>0.39583333333333331</v>
      </c>
      <c r="AF21" s="1796">
        <v>0.47569444444444442</v>
      </c>
      <c r="AG21" s="1796">
        <v>0.66666666666666663</v>
      </c>
    </row>
    <row r="22" spans="2:33" ht="15" customHeight="1">
      <c r="B22" s="2950"/>
      <c r="C22" s="2951"/>
      <c r="D22" s="2952"/>
      <c r="E22" s="757"/>
      <c r="F22" s="2944"/>
      <c r="G22" s="2945"/>
      <c r="H22" s="2946"/>
      <c r="I22" s="757"/>
      <c r="J22" s="2958"/>
      <c r="K22" s="2959"/>
      <c r="L22" s="2960"/>
      <c r="M22" s="757"/>
      <c r="N22" s="2934"/>
      <c r="O22" s="2935"/>
      <c r="P22" s="2936"/>
      <c r="Q22" s="757"/>
      <c r="R22" s="2908"/>
      <c r="S22" s="2909"/>
      <c r="T22" s="2910"/>
      <c r="U22" s="842"/>
      <c r="V22" s="2893"/>
      <c r="W22" s="2894"/>
      <c r="X22" s="862"/>
      <c r="Y22" s="2896"/>
      <c r="Z22" s="886"/>
      <c r="AA22" s="2896"/>
      <c r="AB22" s="757"/>
      <c r="AC22" s="757"/>
      <c r="AD22" s="1795" t="s">
        <v>225</v>
      </c>
      <c r="AE22" s="1796">
        <v>0.40277777777777773</v>
      </c>
      <c r="AF22" s="1796">
        <v>0.47569444444444442</v>
      </c>
      <c r="AG22" s="1796">
        <v>0.66666666666666663</v>
      </c>
    </row>
    <row r="23" spans="2:33" ht="15" customHeight="1" thickBot="1">
      <c r="B23" s="1581"/>
      <c r="C23" s="1581"/>
      <c r="D23" s="1581"/>
      <c r="E23" s="757"/>
      <c r="F23" s="1508"/>
      <c r="G23" s="1508"/>
      <c r="H23" s="1508"/>
      <c r="I23" s="757"/>
      <c r="J23" s="757"/>
      <c r="K23" s="757"/>
      <c r="L23" s="757"/>
      <c r="M23" s="757"/>
      <c r="N23" s="757"/>
      <c r="O23" s="757"/>
      <c r="P23" s="757"/>
      <c r="Q23" s="757"/>
      <c r="U23" s="757"/>
      <c r="V23" s="318"/>
      <c r="W23" s="318"/>
      <c r="X23" s="318"/>
      <c r="Y23" s="318"/>
      <c r="Z23" s="318"/>
      <c r="AA23" s="318"/>
      <c r="AB23" s="757"/>
      <c r="AC23" s="757"/>
      <c r="AD23" s="1795" t="s">
        <v>1442</v>
      </c>
      <c r="AE23" s="1796">
        <v>0.41666666666666669</v>
      </c>
      <c r="AF23" s="1796">
        <v>0.61458333333333337</v>
      </c>
      <c r="AG23" s="1796">
        <v>0.75</v>
      </c>
    </row>
    <row r="24" spans="2:33" ht="15" customHeight="1">
      <c r="B24" s="2947" t="s">
        <v>1595</v>
      </c>
      <c r="C24" s="2948"/>
      <c r="D24" s="2949"/>
      <c r="E24" s="757"/>
      <c r="F24" s="2885" t="s">
        <v>1357</v>
      </c>
      <c r="G24" s="2886"/>
      <c r="H24" s="2887"/>
      <c r="I24" s="757"/>
      <c r="J24" s="2955" t="s">
        <v>1406</v>
      </c>
      <c r="K24" s="2956"/>
      <c r="L24" s="2957"/>
      <c r="M24" s="757"/>
      <c r="N24" s="2931" t="s">
        <v>815</v>
      </c>
      <c r="O24" s="2932"/>
      <c r="P24" s="2933"/>
      <c r="Q24" s="757"/>
      <c r="R24" s="2905" t="s">
        <v>1407</v>
      </c>
      <c r="S24" s="2906"/>
      <c r="T24" s="2907"/>
      <c r="U24" s="842"/>
      <c r="V24" s="2891" t="s">
        <v>883</v>
      </c>
      <c r="W24" s="2892"/>
      <c r="X24" s="862"/>
      <c r="Y24" s="2895">
        <f>AD9+TIME(4,0,0)</f>
        <v>45434.166666666664</v>
      </c>
      <c r="Z24" s="885"/>
      <c r="AA24" s="2962" t="s">
        <v>1479</v>
      </c>
      <c r="AB24" s="757"/>
      <c r="AC24" s="757"/>
      <c r="AD24" s="1795" t="s">
        <v>1443</v>
      </c>
      <c r="AE24" s="1796">
        <v>0.4375</v>
      </c>
      <c r="AF24" s="1795"/>
      <c r="AG24" s="1796">
        <v>0.6875</v>
      </c>
    </row>
    <row r="25" spans="2:33" ht="15" customHeight="1">
      <c r="B25" s="2950"/>
      <c r="C25" s="2951"/>
      <c r="D25" s="2952"/>
      <c r="E25" s="757"/>
      <c r="F25" s="2888"/>
      <c r="G25" s="2889"/>
      <c r="H25" s="2890"/>
      <c r="I25" s="757"/>
      <c r="J25" s="2958"/>
      <c r="K25" s="2959"/>
      <c r="L25" s="2960"/>
      <c r="M25" s="757"/>
      <c r="N25" s="2934"/>
      <c r="O25" s="2935"/>
      <c r="P25" s="2936"/>
      <c r="Q25" s="757"/>
      <c r="R25" s="2908"/>
      <c r="S25" s="2909"/>
      <c r="T25" s="2910"/>
      <c r="U25" s="842"/>
      <c r="V25" s="2893"/>
      <c r="W25" s="2894"/>
      <c r="X25" s="862"/>
      <c r="Y25" s="2896"/>
      <c r="Z25" s="886"/>
      <c r="AA25" s="2896"/>
      <c r="AB25" s="757"/>
      <c r="AC25" s="757"/>
      <c r="AD25" s="1797"/>
      <c r="AE25" s="1797"/>
      <c r="AF25" s="1797"/>
      <c r="AG25" s="1797"/>
    </row>
    <row r="26" spans="2:33" ht="15" customHeight="1" thickBot="1">
      <c r="B26" s="757"/>
      <c r="C26" s="757"/>
      <c r="D26" s="757"/>
      <c r="E26" s="757"/>
      <c r="F26" s="1509"/>
      <c r="G26" s="1509"/>
      <c r="H26" s="1509"/>
      <c r="I26" s="757"/>
      <c r="J26" s="757"/>
      <c r="K26" s="757"/>
      <c r="L26" s="757"/>
      <c r="M26" s="757"/>
      <c r="N26" s="757"/>
      <c r="O26" s="757"/>
      <c r="P26" s="757"/>
      <c r="Q26" s="757"/>
      <c r="U26" s="757"/>
      <c r="V26" s="318"/>
      <c r="W26" s="318"/>
      <c r="X26" s="318"/>
      <c r="Y26" s="318"/>
      <c r="Z26" s="318"/>
      <c r="AA26" s="318"/>
      <c r="AB26" s="757"/>
      <c r="AC26" s="757"/>
      <c r="AD26" s="1598" t="s">
        <v>1444</v>
      </c>
      <c r="AE26" s="1598" t="s">
        <v>1437</v>
      </c>
      <c r="AF26" s="1598" t="s">
        <v>1438</v>
      </c>
      <c r="AG26" s="1598" t="s">
        <v>1439</v>
      </c>
    </row>
    <row r="27" spans="2:33" ht="15" customHeight="1">
      <c r="B27" s="2947" t="s">
        <v>1596</v>
      </c>
      <c r="C27" s="2948"/>
      <c r="D27" s="2949"/>
      <c r="E27" s="757"/>
      <c r="F27" s="2941" t="s">
        <v>1364</v>
      </c>
      <c r="G27" s="2942"/>
      <c r="H27" s="2943"/>
      <c r="I27" s="757"/>
      <c r="J27" s="2955" t="s">
        <v>828</v>
      </c>
      <c r="K27" s="2956"/>
      <c r="L27" s="2957"/>
      <c r="M27" s="757"/>
      <c r="N27" s="2931" t="s">
        <v>816</v>
      </c>
      <c r="O27" s="2932"/>
      <c r="P27" s="2933"/>
      <c r="Q27" s="757"/>
      <c r="R27" s="2905" t="s">
        <v>833</v>
      </c>
      <c r="S27" s="2906"/>
      <c r="T27" s="2907"/>
      <c r="U27" s="842"/>
      <c r="V27" s="2891" t="s">
        <v>884</v>
      </c>
      <c r="W27" s="2892"/>
      <c r="X27" s="862"/>
      <c r="Y27" s="2895">
        <f>AD9+TIME(6,0,0)</f>
        <v>45434.25</v>
      </c>
      <c r="Z27" s="885"/>
      <c r="AA27" s="2962" t="s">
        <v>1480</v>
      </c>
      <c r="AB27" s="757"/>
      <c r="AC27" s="757"/>
      <c r="AD27" s="1795" t="s">
        <v>1440</v>
      </c>
      <c r="AE27" s="1796">
        <v>0.88541666666666663</v>
      </c>
      <c r="AF27" s="1796">
        <v>0.10416666666666667</v>
      </c>
      <c r="AG27" s="1796">
        <v>0.22916666666666666</v>
      </c>
    </row>
    <row r="28" spans="2:33" ht="15" customHeight="1">
      <c r="B28" s="2950"/>
      <c r="C28" s="2951"/>
      <c r="D28" s="2952"/>
      <c r="E28" s="757"/>
      <c r="F28" s="2944"/>
      <c r="G28" s="2945"/>
      <c r="H28" s="2946"/>
      <c r="I28" s="757"/>
      <c r="J28" s="2958"/>
      <c r="K28" s="2959"/>
      <c r="L28" s="2960"/>
      <c r="M28" s="757"/>
      <c r="N28" s="2934"/>
      <c r="O28" s="2935"/>
      <c r="P28" s="2936"/>
      <c r="Q28" s="757"/>
      <c r="R28" s="2908"/>
      <c r="S28" s="2909"/>
      <c r="T28" s="2910"/>
      <c r="U28" s="842"/>
      <c r="V28" s="2893"/>
      <c r="W28" s="2894"/>
      <c r="X28" s="862"/>
      <c r="Y28" s="2896"/>
      <c r="Z28" s="886"/>
      <c r="AA28" s="2896"/>
      <c r="AB28" s="757"/>
      <c r="AC28" s="757"/>
      <c r="AD28" s="1795" t="s">
        <v>778</v>
      </c>
      <c r="AE28" s="1796">
        <v>0.9375</v>
      </c>
      <c r="AF28" s="1795"/>
      <c r="AG28" s="1795"/>
    </row>
    <row r="29" spans="2:33" ht="15" customHeight="1" thickBot="1">
      <c r="B29" s="757"/>
      <c r="C29" s="757"/>
      <c r="D29" s="757"/>
      <c r="E29" s="757"/>
      <c r="F29" s="1509"/>
      <c r="G29" s="1509"/>
      <c r="H29" s="1509"/>
      <c r="I29" s="757"/>
      <c r="J29" s="757"/>
      <c r="K29" s="757"/>
      <c r="L29" s="757"/>
      <c r="M29" s="757"/>
      <c r="N29" s="757"/>
      <c r="O29" s="757"/>
      <c r="P29" s="757"/>
      <c r="Q29" s="757"/>
      <c r="U29" s="757"/>
      <c r="V29" s="318"/>
      <c r="W29" s="318"/>
      <c r="X29" s="318"/>
      <c r="Y29" s="318"/>
      <c r="Z29" s="318"/>
      <c r="AA29" s="318"/>
      <c r="AB29" s="757"/>
      <c r="AC29" s="757"/>
      <c r="AD29" s="1795" t="s">
        <v>1441</v>
      </c>
      <c r="AE29" s="1796">
        <v>0.91666666666666663</v>
      </c>
      <c r="AF29" s="1796"/>
      <c r="AG29" s="1796">
        <v>0.1875</v>
      </c>
    </row>
    <row r="30" spans="2:33" ht="15" customHeight="1">
      <c r="B30" s="2850" t="s">
        <v>819</v>
      </c>
      <c r="C30" s="2851"/>
      <c r="D30" s="2852"/>
      <c r="E30" s="757"/>
      <c r="F30" s="2885" t="s">
        <v>1365</v>
      </c>
      <c r="G30" s="2886"/>
      <c r="H30" s="2887"/>
      <c r="I30" s="757"/>
      <c r="J30" s="2955" t="s">
        <v>818</v>
      </c>
      <c r="K30" s="2956"/>
      <c r="L30" s="2957"/>
      <c r="M30" s="757"/>
      <c r="N30" s="2931" t="s">
        <v>816</v>
      </c>
      <c r="O30" s="2932"/>
      <c r="P30" s="2933"/>
      <c r="Q30" s="757"/>
      <c r="R30" s="2905" t="s">
        <v>1419</v>
      </c>
      <c r="S30" s="2906"/>
      <c r="T30" s="2907"/>
      <c r="U30" s="842"/>
      <c r="V30" s="3017"/>
      <c r="W30" s="3018"/>
      <c r="X30" s="862"/>
      <c r="Y30" s="3009" t="s">
        <v>1611</v>
      </c>
      <c r="Z30" s="885"/>
      <c r="AA30" s="2953" t="s">
        <v>910</v>
      </c>
      <c r="AB30" s="757"/>
      <c r="AC30" s="757"/>
      <c r="AD30" s="1795" t="s">
        <v>225</v>
      </c>
      <c r="AE30" s="1796">
        <v>0.91666666666666663</v>
      </c>
      <c r="AF30" s="1796"/>
      <c r="AG30" s="1796">
        <v>0.1875</v>
      </c>
    </row>
    <row r="31" spans="2:33" ht="15" customHeight="1">
      <c r="B31" s="2853"/>
      <c r="C31" s="2854"/>
      <c r="D31" s="2855"/>
      <c r="E31" s="757"/>
      <c r="F31" s="2888"/>
      <c r="G31" s="2889"/>
      <c r="H31" s="2890"/>
      <c r="I31" s="757"/>
      <c r="J31" s="2958"/>
      <c r="K31" s="2959"/>
      <c r="L31" s="2960"/>
      <c r="M31" s="757"/>
      <c r="N31" s="2934"/>
      <c r="O31" s="2935"/>
      <c r="P31" s="2936"/>
      <c r="Q31" s="757"/>
      <c r="R31" s="2908"/>
      <c r="S31" s="2909"/>
      <c r="T31" s="2910"/>
      <c r="U31" s="842"/>
      <c r="V31" s="3019"/>
      <c r="W31" s="3020"/>
      <c r="X31" s="862"/>
      <c r="Y31" s="3010"/>
      <c r="Z31" s="886"/>
      <c r="AA31" s="2954"/>
      <c r="AB31" s="757"/>
      <c r="AC31" s="757"/>
      <c r="AD31" s="1795" t="s">
        <v>1443</v>
      </c>
      <c r="AE31" s="1796">
        <v>0.95833333333333337</v>
      </c>
      <c r="AF31" s="1795"/>
      <c r="AG31" s="1796">
        <v>0.20833333333333334</v>
      </c>
    </row>
    <row r="32" spans="2:33" ht="15" customHeight="1">
      <c r="B32" s="757"/>
      <c r="C32" s="757"/>
      <c r="D32" s="757"/>
      <c r="F32" s="1508"/>
      <c r="G32" s="1508"/>
      <c r="H32" s="1508"/>
      <c r="Y32" s="757"/>
    </row>
    <row r="33" spans="6:35" ht="15" customHeight="1">
      <c r="F33" s="2869" t="s">
        <v>1393</v>
      </c>
      <c r="G33" s="2870"/>
      <c r="H33" s="2871"/>
      <c r="R33" s="2905" t="s">
        <v>1418</v>
      </c>
      <c r="S33" s="2906"/>
      <c r="T33" s="2907"/>
    </row>
    <row r="34" spans="6:35" ht="15" customHeight="1">
      <c r="F34" s="2872"/>
      <c r="G34" s="2873"/>
      <c r="H34" s="2874"/>
      <c r="R34" s="2908"/>
      <c r="S34" s="2909"/>
      <c r="T34" s="2910"/>
    </row>
    <row r="35" spans="6:35" ht="15" customHeight="1">
      <c r="F35" s="1509"/>
      <c r="G35" s="1509"/>
      <c r="H35" s="1509"/>
    </row>
    <row r="36" spans="6:35" ht="15" customHeight="1">
      <c r="F36" s="2863" t="s">
        <v>830</v>
      </c>
      <c r="G36" s="2864"/>
      <c r="H36" s="2865"/>
      <c r="R36" s="2905" t="s">
        <v>834</v>
      </c>
      <c r="S36" s="2906"/>
      <c r="T36" s="2907"/>
      <c r="AA36" s="2473"/>
    </row>
    <row r="37" spans="6:35" ht="15" customHeight="1">
      <c r="F37" s="2866"/>
      <c r="G37" s="2867"/>
      <c r="H37" s="2868"/>
      <c r="R37" s="2908"/>
      <c r="S37" s="2909"/>
      <c r="T37" s="2910"/>
    </row>
    <row r="38" spans="6:35" ht="15" customHeight="1"/>
    <row r="39" spans="6:35" ht="15" customHeight="1">
      <c r="R39" s="3011" t="s">
        <v>1408</v>
      </c>
      <c r="S39" s="3012"/>
      <c r="T39" s="3013"/>
    </row>
    <row r="40" spans="6:35" ht="15" customHeight="1">
      <c r="R40" s="3014"/>
      <c r="S40" s="3015"/>
      <c r="T40" s="3016"/>
    </row>
    <row r="41" spans="6:35" ht="15.75" customHeight="1">
      <c r="R41" s="2860" t="s">
        <v>1579</v>
      </c>
      <c r="S41" s="2860"/>
      <c r="T41" s="2860"/>
      <c r="U41" s="2860"/>
      <c r="V41" s="2860"/>
      <c r="W41" s="2860"/>
      <c r="X41" s="2860"/>
      <c r="Y41" s="2860"/>
      <c r="Z41" s="2860"/>
      <c r="AA41" s="2860"/>
      <c r="AB41" s="2860"/>
      <c r="AC41" s="2860"/>
      <c r="AD41" s="2860"/>
      <c r="AE41" s="2860"/>
      <c r="AF41" s="2860"/>
      <c r="AG41" s="2860"/>
      <c r="AH41" s="2860"/>
      <c r="AI41" s="2860"/>
    </row>
    <row r="42" spans="6:35" ht="15.75" customHeight="1">
      <c r="R42" s="2861"/>
      <c r="S42" s="2861"/>
      <c r="T42" s="2861"/>
      <c r="U42" s="2861"/>
      <c r="V42" s="2861"/>
      <c r="W42" s="2861"/>
      <c r="X42" s="2861"/>
      <c r="Y42" s="2861"/>
      <c r="Z42" s="2861"/>
      <c r="AA42" s="2861"/>
      <c r="AB42" s="2861"/>
      <c r="AC42" s="2861"/>
      <c r="AD42" s="2861"/>
      <c r="AE42" s="2861"/>
      <c r="AF42" s="2861"/>
      <c r="AG42" s="2861"/>
      <c r="AH42" s="2861"/>
      <c r="AI42" s="2861"/>
    </row>
    <row r="43" spans="6:35" ht="27" customHeight="1">
      <c r="R43" s="2288"/>
      <c r="S43" s="2290"/>
      <c r="T43" s="2289"/>
      <c r="U43" s="2856" t="s">
        <v>1582</v>
      </c>
      <c r="V43" s="2856"/>
      <c r="W43" s="2856"/>
      <c r="X43" s="2856"/>
      <c r="Y43" s="2856"/>
      <c r="Z43" s="2856" t="s">
        <v>1583</v>
      </c>
      <c r="AA43" s="2856"/>
      <c r="AB43" s="2856"/>
      <c r="AC43" s="2856"/>
      <c r="AD43" s="2856"/>
      <c r="AE43" s="2856" t="s">
        <v>225</v>
      </c>
      <c r="AF43" s="2856"/>
      <c r="AG43" s="2856"/>
      <c r="AH43" s="2856"/>
      <c r="AI43" s="2856"/>
    </row>
    <row r="44" spans="6:35" ht="24.75" customHeight="1">
      <c r="R44" s="2288" t="s">
        <v>1580</v>
      </c>
      <c r="S44" s="2290"/>
      <c r="T44" s="2289"/>
      <c r="U44" s="2862" t="s">
        <v>1676</v>
      </c>
      <c r="V44" s="2856"/>
      <c r="W44" s="2856"/>
      <c r="X44" s="2856"/>
      <c r="Y44" s="2856"/>
      <c r="Z44" s="2862" t="s">
        <v>1659</v>
      </c>
      <c r="AA44" s="2856"/>
      <c r="AB44" s="2856"/>
      <c r="AC44" s="2856"/>
      <c r="AD44" s="2856"/>
      <c r="AE44" s="2862" t="s">
        <v>1660</v>
      </c>
      <c r="AF44" s="2856"/>
      <c r="AG44" s="2856"/>
      <c r="AH44" s="2856"/>
      <c r="AI44" s="2856"/>
    </row>
    <row r="45" spans="6:35" ht="24.75" customHeight="1">
      <c r="R45" s="2288" t="s">
        <v>1581</v>
      </c>
      <c r="S45" s="2290"/>
      <c r="T45" s="2289"/>
      <c r="U45" s="2862" t="s">
        <v>1676</v>
      </c>
      <c r="V45" s="2856"/>
      <c r="W45" s="2856"/>
      <c r="X45" s="2856"/>
      <c r="Y45" s="2856"/>
      <c r="Z45" s="2862" t="s">
        <v>1640</v>
      </c>
      <c r="AA45" s="2856"/>
      <c r="AB45" s="2856"/>
      <c r="AC45" s="2856"/>
      <c r="AD45" s="2856"/>
      <c r="AE45" s="2862" t="s">
        <v>1660</v>
      </c>
      <c r="AF45" s="2856"/>
      <c r="AG45" s="2856"/>
      <c r="AH45" s="2856"/>
      <c r="AI45" s="2856"/>
    </row>
    <row r="46" spans="6:35" ht="33.75" customHeight="1">
      <c r="R46" s="2288" t="s">
        <v>1584</v>
      </c>
      <c r="S46" s="2290"/>
      <c r="T46" s="2289"/>
      <c r="U46" s="2856" t="s">
        <v>47</v>
      </c>
      <c r="V46" s="2856"/>
      <c r="W46" s="2856"/>
      <c r="X46" s="2856"/>
      <c r="Y46" s="2856"/>
      <c r="Z46" s="2856" t="s">
        <v>47</v>
      </c>
      <c r="AA46" s="2856"/>
      <c r="AB46" s="2856"/>
      <c r="AC46" s="2856"/>
      <c r="AD46" s="2856"/>
      <c r="AE46" s="2857" t="s">
        <v>1658</v>
      </c>
      <c r="AF46" s="2858"/>
      <c r="AG46" s="2858"/>
      <c r="AH46" s="2858"/>
      <c r="AI46" s="2859"/>
    </row>
  </sheetData>
  <dataConsolidate/>
  <mergeCells count="100">
    <mergeCell ref="Y30:Y31"/>
    <mergeCell ref="R39:T40"/>
    <mergeCell ref="V30:W31"/>
    <mergeCell ref="R36:T37"/>
    <mergeCell ref="R33:T34"/>
    <mergeCell ref="R30:T31"/>
    <mergeCell ref="J30:L31"/>
    <mergeCell ref="N30:P31"/>
    <mergeCell ref="F27:H28"/>
    <mergeCell ref="N27:P28"/>
    <mergeCell ref="F30:H31"/>
    <mergeCell ref="AA3:AA4"/>
    <mergeCell ref="AA6:AA7"/>
    <mergeCell ref="R3:T4"/>
    <mergeCell ref="B9:D10"/>
    <mergeCell ref="B6:D7"/>
    <mergeCell ref="R6:T7"/>
    <mergeCell ref="F6:H7"/>
    <mergeCell ref="J6:L7"/>
    <mergeCell ref="N6:P7"/>
    <mergeCell ref="B3:H4"/>
    <mergeCell ref="Y6:Y7"/>
    <mergeCell ref="J3:P4"/>
    <mergeCell ref="V3:Y4"/>
    <mergeCell ref="V6:W7"/>
    <mergeCell ref="F9:H10"/>
    <mergeCell ref="AA9:AA10"/>
    <mergeCell ref="N18:P19"/>
    <mergeCell ref="N21:P22"/>
    <mergeCell ref="Y18:Y19"/>
    <mergeCell ref="J18:L19"/>
    <mergeCell ref="N24:P25"/>
    <mergeCell ref="J21:L22"/>
    <mergeCell ref="AA15:AA16"/>
    <mergeCell ref="AA27:AA28"/>
    <mergeCell ref="R18:T19"/>
    <mergeCell ref="R24:T25"/>
    <mergeCell ref="R21:T22"/>
    <mergeCell ref="Y27:Y28"/>
    <mergeCell ref="V21:W22"/>
    <mergeCell ref="Y21:Y22"/>
    <mergeCell ref="R27:T28"/>
    <mergeCell ref="B27:D28"/>
    <mergeCell ref="F24:H25"/>
    <mergeCell ref="J27:L28"/>
    <mergeCell ref="J24:L25"/>
    <mergeCell ref="B24:D25"/>
    <mergeCell ref="Y9:Y10"/>
    <mergeCell ref="R15:T16"/>
    <mergeCell ref="B12:D13"/>
    <mergeCell ref="B15:D16"/>
    <mergeCell ref="F15:H16"/>
    <mergeCell ref="B18:D19"/>
    <mergeCell ref="F21:H22"/>
    <mergeCell ref="B21:D22"/>
    <mergeCell ref="F12:H13"/>
    <mergeCell ref="AA30:AA31"/>
    <mergeCell ref="J15:L16"/>
    <mergeCell ref="N15:P16"/>
    <mergeCell ref="V12:W13"/>
    <mergeCell ref="Y12:Y13"/>
    <mergeCell ref="V15:W16"/>
    <mergeCell ref="V27:W28"/>
    <mergeCell ref="AA18:AA19"/>
    <mergeCell ref="AA21:AA22"/>
    <mergeCell ref="AA24:AA25"/>
    <mergeCell ref="Y15:Y16"/>
    <mergeCell ref="V18:W19"/>
    <mergeCell ref="AC9:AC10"/>
    <mergeCell ref="AF9:AI10"/>
    <mergeCell ref="AD15:AG16"/>
    <mergeCell ref="F18:H19"/>
    <mergeCell ref="V24:W25"/>
    <mergeCell ref="Y24:Y25"/>
    <mergeCell ref="AD12:AE13"/>
    <mergeCell ref="AD9:AE10"/>
    <mergeCell ref="R12:T13"/>
    <mergeCell ref="AA12:AA13"/>
    <mergeCell ref="J9:L10"/>
    <mergeCell ref="N9:P10"/>
    <mergeCell ref="R9:T10"/>
    <mergeCell ref="J12:L13"/>
    <mergeCell ref="N12:P13"/>
    <mergeCell ref="V9:W10"/>
    <mergeCell ref="B30:D31"/>
    <mergeCell ref="Z46:AD46"/>
    <mergeCell ref="AE46:AI46"/>
    <mergeCell ref="R41:AI42"/>
    <mergeCell ref="AE43:AI43"/>
    <mergeCell ref="U44:Y44"/>
    <mergeCell ref="Z44:AD44"/>
    <mergeCell ref="AE44:AI44"/>
    <mergeCell ref="U45:Y45"/>
    <mergeCell ref="Z45:AD45"/>
    <mergeCell ref="AE45:AI45"/>
    <mergeCell ref="U43:Y43"/>
    <mergeCell ref="U46:Y46"/>
    <mergeCell ref="Z43:AD43"/>
    <mergeCell ref="F36:H37"/>
    <mergeCell ref="F33:H34"/>
  </mergeCells>
  <phoneticPr fontId="7"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G'!Print_Area" display="3.RL G"/>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G tt'!Print_Area" display="3.RL G tt"/>
    <hyperlink ref="N21:P22" location="'4.RL F tt'!Print_Area" display="4.RL D tt"/>
    <hyperlink ref="N24:P25" location="'5.ML tt'!A1" display="'5.ML tt'!A1"/>
    <hyperlink ref="N30:P31" location="RL.chart1!A1" display="RL.chart1!A1"/>
    <hyperlink ref="R12:T13" location="'GHI CHU'!A1" display="'GHI CHU'!A1"/>
    <hyperlink ref="R6:T7" location="'IT.NONG DO'!A1" display="'IT.NONG DO'!A1"/>
    <hyperlink ref="R9:T10" location="'IT.NHIET DO'!A1" display="'IT.NHIET DO'!A1"/>
    <hyperlink ref="F15:H16" location="'2. XL-1F TT '!A1" display="'2. XL-1F TT '!A1"/>
    <hyperlink ref="F21:H22" location="'3.XT-C TT'!A1" display="'3.XT-C TT'!A1"/>
    <hyperlink ref="B15:D16" location="'2. XL-1F kh'!A1" display="'2. XL-1F kh'!A1"/>
    <hyperlink ref="R27:T28" r:id="rId1" display="QC-RL"/>
    <hyperlink ref="AD12:AE13" location="'ACID Đ.VAO'!Print_Area" display="'ACID Đ.VAO'!Print_Area"/>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R18:T19" r:id="rId2" display="QC- E"/>
    <hyperlink ref="R21:T22" r:id="rId3" display="QC-1F"/>
    <hyperlink ref="R15:T16" r:id="rId4" display="PP HÓA NGHIỆM"/>
    <hyperlink ref="R39:T40" location="'PT TAP CHAT'!A1" display="'PT TAP CHAT'!A1"/>
    <hyperlink ref="R24:T25" r:id="rId5" display="QC- XT"/>
    <hyperlink ref="F12:H13" location="'1. XL-1E TT(CA2)'!A1" display="1. XL-1E TT(CA2)"/>
    <hyperlink ref="F18:H19" location="'2. XL-1F TT(CA2)'!A1" display="2. XL-1F TT(CA2)"/>
    <hyperlink ref="F24:H25" location="'3.XT-C TT(CA2)'!A1" display="3.XT-C TT(CA2)"/>
    <hyperlink ref="F27:H28" location="'4.ZN-NI tt(CA1)'!Print_Area" display="'4.ZN-NI tt(CA1)'!Print_Area"/>
    <hyperlink ref="F30:H31" location="'4.ZN-NI tt(CA2)'!Print_Area" display="'4.ZN-NI tt(CA2)'!Print_Area"/>
    <hyperlink ref="F33:H34" location="'BS-XT'!A1" display="'BS-XT'!A1"/>
    <hyperlink ref="R33:T34" r:id="rId6" display="QC-ML"/>
    <hyperlink ref="R30:T31" r:id="rId7" display="QC-XĐ"/>
    <hyperlink ref="R36:T37" r:id="rId8" display="QC-NI"/>
    <hyperlink ref="B27:D28" location="'3''''.XT-C KH-JC '!A1" display="'3''''.XT-C KH-JC '!A1"/>
    <hyperlink ref="B18:D19" location="'3.XT-C KH'!A1" display="'3.XT-C KH'!A1"/>
    <hyperlink ref="B30:D31" location="XM.chart!A1" display="XM.chart!A1"/>
    <hyperlink ref="N27:P28" location="RL.chart1!A1" display="RL.chart1!A1"/>
    <hyperlink ref="F36:H37" location="'XM.chart 1'!A1" display="'XM.chart 1'!A1"/>
    <hyperlink ref="B21:D22" location="'4. Zn-Ni'!A1" display="4.Zn Ni.kh"/>
    <hyperlink ref="B24:D25" location="'3''.XT-C KH-HL'!A1" display="'3''.XT-C KH-HL'!A1"/>
    <hyperlink ref="Y30:Y31" location="'SOP HOA NGHIEM'!A1" display="'SOP HOA NGHIEM'!A1"/>
  </hyperlinks>
  <pageMargins left="0.7" right="0.7" top="0.75" bottom="0.75" header="0.3" footer="0.3"/>
  <pageSetup paperSize="9" orientation="portrait" verticalDpi="0" r:id="rId9"/>
</worksheet>
</file>

<file path=xl/worksheets/sheet11.xml><?xml version="1.0" encoding="utf-8"?>
<worksheet xmlns="http://schemas.openxmlformats.org/spreadsheetml/2006/main" xmlns:r="http://schemas.openxmlformats.org/officeDocument/2006/relationships">
  <sheetPr codeName="Sheet2">
    <tabColor rgb="FF7030A0"/>
  </sheetPr>
  <dimension ref="A1:X85"/>
  <sheetViews>
    <sheetView zoomScale="85" zoomScaleNormal="85" workbookViewId="0">
      <pane ySplit="1" topLeftCell="A2" activePane="bottomLeft" state="frozen"/>
      <selection pane="bottomLeft" activeCell="G74" sqref="G74"/>
    </sheetView>
  </sheetViews>
  <sheetFormatPr defaultRowHeight="15.75" customHeight="1"/>
  <cols>
    <col min="1" max="1" width="24" style="1" customWidth="1"/>
    <col min="2" max="2" width="7.25" style="1087" customWidth="1"/>
    <col min="3" max="7" width="7.25" style="101" customWidth="1"/>
    <col min="8" max="8" width="8.375" style="1996" customWidth="1"/>
    <col min="9" max="9" width="9.625" style="1996" customWidth="1"/>
    <col min="10" max="10" width="9.5" style="1077" customWidth="1"/>
    <col min="11" max="15" width="7" style="1077" customWidth="1"/>
    <col min="16" max="16" width="9.5" style="1" customWidth="1"/>
    <col min="17" max="17" width="4.75" style="1077" customWidth="1"/>
    <col min="18" max="16384" width="9" style="1077"/>
  </cols>
  <sheetData>
    <row r="1" spans="1:24" ht="27.75" customHeight="1">
      <c r="A1" s="2033" t="str">
        <f>MENU!AD9</f>
        <v>2024/05/22</v>
      </c>
    </row>
    <row r="2" spans="1:24" ht="23.25" customHeight="1">
      <c r="A2" s="2013" t="s">
        <v>216</v>
      </c>
      <c r="B2" s="1081" t="s">
        <v>1458</v>
      </c>
      <c r="C2" s="1082" t="s">
        <v>1459</v>
      </c>
      <c r="D2" s="1082" t="s">
        <v>1460</v>
      </c>
      <c r="E2" s="1082" t="s">
        <v>1461</v>
      </c>
      <c r="F2" s="1082" t="s">
        <v>1462</v>
      </c>
      <c r="G2" s="1081" t="s">
        <v>1463</v>
      </c>
      <c r="H2" s="2022" t="s">
        <v>1504</v>
      </c>
      <c r="I2" s="2023"/>
      <c r="J2" s="1075" t="s">
        <v>1458</v>
      </c>
      <c r="K2" s="1076" t="s">
        <v>1459</v>
      </c>
      <c r="L2" s="1076" t="s">
        <v>1460</v>
      </c>
      <c r="M2" s="1076" t="s">
        <v>1461</v>
      </c>
      <c r="N2" s="1076" t="s">
        <v>1462</v>
      </c>
      <c r="O2" s="1076" t="s">
        <v>1463</v>
      </c>
      <c r="P2" s="1192" t="s">
        <v>1147</v>
      </c>
      <c r="Q2" s="1"/>
      <c r="R2" s="3021" t="s">
        <v>1035</v>
      </c>
      <c r="S2" s="3021"/>
      <c r="T2" s="3021"/>
      <c r="V2" s="2006"/>
      <c r="W2" s="2006"/>
      <c r="X2" s="2006"/>
    </row>
    <row r="3" spans="1:24" ht="15.75" customHeight="1">
      <c r="A3" s="2" t="s">
        <v>1036</v>
      </c>
      <c r="B3" s="1083"/>
      <c r="C3" s="1083"/>
      <c r="D3" s="1083"/>
      <c r="E3" s="1083"/>
      <c r="F3" s="1083">
        <v>5.5</v>
      </c>
      <c r="G3" s="1083">
        <v>7.3</v>
      </c>
      <c r="H3" s="2019" t="str">
        <f>'XM.GUI MAIL'!$E$6</f>
        <v>20~40</v>
      </c>
      <c r="I3" s="2021" t="str">
        <f>'XM.GUI MAIL'!$F$6</f>
        <v>(30±5)</v>
      </c>
      <c r="J3" s="1840">
        <f>'XM.GUI MAIL'!I6</f>
        <v>0</v>
      </c>
      <c r="K3" s="1840">
        <f>'XM.GUI MAIL'!P6</f>
        <v>0</v>
      </c>
      <c r="L3" s="1840">
        <f>'XM.GUI MAIL'!W6</f>
        <v>0</v>
      </c>
      <c r="M3" s="1840">
        <f>'XM.GUI MAIL'!AD6</f>
        <v>0</v>
      </c>
      <c r="N3" s="1840">
        <f>'XM.GUI MAIL'!AK6</f>
        <v>22</v>
      </c>
      <c r="O3" s="1840">
        <f>'XM.GUI MAIL'!AR6</f>
        <v>29.2</v>
      </c>
      <c r="P3" s="1191" t="s">
        <v>1148</v>
      </c>
      <c r="Q3" s="1191"/>
      <c r="R3" s="1084"/>
      <c r="S3" s="1"/>
      <c r="V3" s="2006"/>
      <c r="W3" s="2006"/>
      <c r="X3" s="2006"/>
    </row>
    <row r="4" spans="1:24" ht="15.75" hidden="1" customHeight="1">
      <c r="A4" s="2"/>
      <c r="B4" s="1083"/>
      <c r="C4" s="1083"/>
      <c r="D4" s="1083"/>
      <c r="E4" s="1083"/>
      <c r="F4" s="1083"/>
      <c r="G4" s="1083"/>
      <c r="H4" s="2019" t="s">
        <v>102</v>
      </c>
      <c r="I4" s="2021"/>
      <c r="J4" s="1881">
        <f>'XM.GUI MAIL'!I7</f>
        <v>0</v>
      </c>
      <c r="K4" s="1881">
        <f>'XM.GUI MAIL'!P7</f>
        <v>0</v>
      </c>
      <c r="L4" s="1881">
        <f>'XM.GUI MAIL'!W7</f>
        <v>0</v>
      </c>
      <c r="M4" s="1881">
        <f>'XM.GUI MAIL'!AD7</f>
        <v>0</v>
      </c>
      <c r="N4" s="1881">
        <f>'XM.GUI MAIL'!AK7</f>
        <v>0</v>
      </c>
      <c r="O4" s="1881">
        <f>'XM.GUI MAIL'!AR7</f>
        <v>0</v>
      </c>
      <c r="P4" s="1191"/>
      <c r="Q4" s="1191"/>
      <c r="R4" s="1084"/>
      <c r="S4" s="1"/>
      <c r="V4" s="2006"/>
      <c r="W4" s="2006"/>
      <c r="X4" s="2006"/>
    </row>
    <row r="5" spans="1:24" ht="15.75" hidden="1" customHeight="1">
      <c r="A5" s="2"/>
      <c r="B5" s="1083"/>
      <c r="C5" s="1083"/>
      <c r="D5" s="1083"/>
      <c r="E5" s="1083"/>
      <c r="F5" s="1083"/>
      <c r="G5" s="1083"/>
      <c r="H5" s="2019" t="s">
        <v>102</v>
      </c>
      <c r="I5" s="2021"/>
      <c r="J5" s="1882">
        <f>'XM.GUI MAIL'!I8</f>
        <v>0</v>
      </c>
      <c r="K5" s="1882">
        <f>'XM.GUI MAIL'!P8</f>
        <v>0</v>
      </c>
      <c r="L5" s="1882">
        <f>'XM.GUI MAIL'!W8</f>
        <v>0</v>
      </c>
      <c r="M5" s="1882">
        <f>'XM.GUI MAIL'!AD8</f>
        <v>0</v>
      </c>
      <c r="N5" s="1882">
        <f>'XM.GUI MAIL'!AK8</f>
        <v>0</v>
      </c>
      <c r="O5" s="1882">
        <f>'XM.GUI MAIL'!AR8</f>
        <v>0</v>
      </c>
      <c r="P5" s="1191"/>
      <c r="Q5" s="1191"/>
      <c r="R5" s="1084"/>
      <c r="S5" s="1"/>
      <c r="V5" s="2006"/>
      <c r="W5" s="2006"/>
      <c r="X5" s="2006"/>
    </row>
    <row r="6" spans="1:24" ht="15.75" customHeight="1">
      <c r="A6" s="2" t="s">
        <v>1037</v>
      </c>
      <c r="B6" s="1083"/>
      <c r="C6" s="1083"/>
      <c r="D6" s="1083"/>
      <c r="E6" s="1083"/>
      <c r="F6" s="1083">
        <v>5.8</v>
      </c>
      <c r="G6" s="1083">
        <v>7.2</v>
      </c>
      <c r="H6" s="2019" t="str">
        <f>'XM.GUI MAIL'!$E$9</f>
        <v>20~40</v>
      </c>
      <c r="I6" s="2021" t="str">
        <f>'XM.GUI MAIL'!$F$9</f>
        <v>(30±5)</v>
      </c>
      <c r="J6" s="1840">
        <f>'XM.GUI MAIL'!I9</f>
        <v>0</v>
      </c>
      <c r="K6" s="1840">
        <f>'XM.GUI MAIL'!P9</f>
        <v>0</v>
      </c>
      <c r="L6" s="1840">
        <f>'XM.GUI MAIL'!W9</f>
        <v>0</v>
      </c>
      <c r="M6" s="1840">
        <f>'XM.GUI MAIL'!AD9</f>
        <v>0</v>
      </c>
      <c r="N6" s="1840">
        <f>'XM.GUI MAIL'!AK9</f>
        <v>23.2</v>
      </c>
      <c r="O6" s="1840">
        <f>'XM.GUI MAIL'!AR9</f>
        <v>28.8</v>
      </c>
      <c r="P6" s="1191" t="s">
        <v>1148</v>
      </c>
      <c r="Q6" s="1191"/>
      <c r="R6" s="1084" t="s">
        <v>1038</v>
      </c>
      <c r="T6" s="1" t="s">
        <v>1039</v>
      </c>
    </row>
    <row r="7" spans="1:24" ht="15.75" hidden="1" customHeight="1">
      <c r="A7" s="2"/>
      <c r="B7" s="1083"/>
      <c r="C7" s="1083"/>
      <c r="D7" s="1083"/>
      <c r="E7" s="1083"/>
      <c r="F7" s="1083"/>
      <c r="G7" s="2014"/>
      <c r="H7" s="2019" t="s">
        <v>102</v>
      </c>
      <c r="I7" s="2021"/>
      <c r="J7" s="1881">
        <f>'XM.GUI MAIL'!I10</f>
        <v>0</v>
      </c>
      <c r="K7" s="1881">
        <f>'XM.GUI MAIL'!P10</f>
        <v>0</v>
      </c>
      <c r="L7" s="1881">
        <f>'XM.GUI MAIL'!W10</f>
        <v>0</v>
      </c>
      <c r="M7" s="1881">
        <f>'XM.GUI MAIL'!AD10</f>
        <v>0</v>
      </c>
      <c r="N7" s="1881">
        <f>'XM.GUI MAIL'!AK10</f>
        <v>0</v>
      </c>
      <c r="O7" s="1881">
        <f>'XM.GUI MAIL'!AR10</f>
        <v>0</v>
      </c>
      <c r="P7" s="1191"/>
      <c r="Q7" s="1191"/>
      <c r="R7" s="1084"/>
      <c r="T7" s="1"/>
    </row>
    <row r="8" spans="1:24" ht="15.75" hidden="1" customHeight="1">
      <c r="A8" s="2"/>
      <c r="B8" s="1083"/>
      <c r="C8" s="1083"/>
      <c r="D8" s="1083"/>
      <c r="E8" s="1083"/>
      <c r="F8" s="1083"/>
      <c r="G8" s="2014"/>
      <c r="H8" s="2019" t="s">
        <v>102</v>
      </c>
      <c r="I8" s="2021"/>
      <c r="J8" s="1882">
        <f>'XM.GUI MAIL'!I11</f>
        <v>0</v>
      </c>
      <c r="K8" s="1882">
        <f>'XM.GUI MAIL'!P11</f>
        <v>0</v>
      </c>
      <c r="L8" s="1882">
        <f>'XM.GUI MAIL'!W11</f>
        <v>0</v>
      </c>
      <c r="M8" s="1882">
        <f>'XM.GUI MAIL'!AD11</f>
        <v>0</v>
      </c>
      <c r="N8" s="1882">
        <f>'XM.GUI MAIL'!AK11</f>
        <v>0</v>
      </c>
      <c r="O8" s="1882">
        <f>'XM.GUI MAIL'!AR11</f>
        <v>0</v>
      </c>
      <c r="P8" s="1191"/>
      <c r="Q8" s="1191"/>
      <c r="R8" s="1084"/>
      <c r="T8" s="1"/>
    </row>
    <row r="9" spans="1:24" ht="15.75" customHeight="1">
      <c r="A9" s="2" t="s">
        <v>1040</v>
      </c>
      <c r="B9" s="1083"/>
      <c r="C9" s="1083"/>
      <c r="D9" s="1083"/>
      <c r="E9" s="1083"/>
      <c r="F9" s="1083">
        <v>17.600000000000001</v>
      </c>
      <c r="G9" s="2014">
        <v>17.8</v>
      </c>
      <c r="H9" s="2019" t="str">
        <f>'XM.GUI MAIL'!$E$12</f>
        <v>60~80</v>
      </c>
      <c r="I9" s="2021" t="str">
        <f>'XM.GUI MAIL'!$F$12</f>
        <v>(70±10)</v>
      </c>
      <c r="J9" s="1870">
        <f>'XM.GUI MAIL'!I12</f>
        <v>0</v>
      </c>
      <c r="K9" s="1870">
        <f>'XM.GUI MAIL'!P12</f>
        <v>0</v>
      </c>
      <c r="L9" s="1870">
        <f>'XM.GUI MAIL'!W12</f>
        <v>0</v>
      </c>
      <c r="M9" s="1870">
        <f>'XM.GUI MAIL'!AD12</f>
        <v>0</v>
      </c>
      <c r="N9" s="1870">
        <f>'XM.GUI MAIL'!AK12</f>
        <v>70.400000000000006</v>
      </c>
      <c r="O9" s="1870">
        <f>'XM.GUI MAIL'!AR12</f>
        <v>71.2</v>
      </c>
      <c r="P9" s="1191" t="s">
        <v>1148</v>
      </c>
      <c r="Q9" s="1191"/>
      <c r="R9" s="1085">
        <v>4.8000000000000001E-2</v>
      </c>
      <c r="T9" s="1086">
        <v>0.32</v>
      </c>
    </row>
    <row r="10" spans="1:24" ht="15.75" hidden="1" customHeight="1">
      <c r="A10" s="2"/>
      <c r="B10" s="1083"/>
      <c r="C10" s="1083"/>
      <c r="D10" s="1083"/>
      <c r="E10" s="1083"/>
      <c r="F10" s="1083"/>
      <c r="G10" s="2014"/>
      <c r="H10" s="2019" t="s">
        <v>102</v>
      </c>
      <c r="I10" s="2021"/>
      <c r="J10" s="1883">
        <f>'XM.GUI MAIL'!I13</f>
        <v>0</v>
      </c>
      <c r="K10" s="1883">
        <f>'XM.GUI MAIL'!P13</f>
        <v>0</v>
      </c>
      <c r="L10" s="1883">
        <f>'XM.GUI MAIL'!W13</f>
        <v>0</v>
      </c>
      <c r="M10" s="1883">
        <f>'XM.GUI MAIL'!AD13</f>
        <v>0</v>
      </c>
      <c r="N10" s="1883">
        <f>'XM.GUI MAIL'!AK13</f>
        <v>0</v>
      </c>
      <c r="O10" s="1883">
        <f>'XM.GUI MAIL'!AR13</f>
        <v>0</v>
      </c>
      <c r="P10" s="1191"/>
      <c r="Q10" s="1191"/>
      <c r="R10" s="1085"/>
      <c r="T10" s="1086"/>
    </row>
    <row r="11" spans="1:24" ht="15.75" customHeight="1">
      <c r="A11" s="2" t="s">
        <v>1041</v>
      </c>
      <c r="B11" s="1083"/>
      <c r="C11" s="1083"/>
      <c r="D11" s="1083"/>
      <c r="E11" s="1083"/>
      <c r="F11" s="1083">
        <v>18.5</v>
      </c>
      <c r="G11" s="2014">
        <v>18.3</v>
      </c>
      <c r="H11" s="2019" t="str">
        <f>'XM.GUI MAIL'!$E$14</f>
        <v>60~80</v>
      </c>
      <c r="I11" s="2021" t="str">
        <f>'XM.GUI MAIL'!$F$14</f>
        <v>(70±10)</v>
      </c>
      <c r="J11" s="1870">
        <f>'XM.GUI MAIL'!I14</f>
        <v>0</v>
      </c>
      <c r="K11" s="1870">
        <f>'XM.GUI MAIL'!P14</f>
        <v>0</v>
      </c>
      <c r="L11" s="1870">
        <f>'XM.GUI MAIL'!W14</f>
        <v>0</v>
      </c>
      <c r="M11" s="1870">
        <f>'XM.GUI MAIL'!AD14</f>
        <v>0</v>
      </c>
      <c r="N11" s="1870">
        <f>'XM.GUI MAIL'!AK14</f>
        <v>74</v>
      </c>
      <c r="O11" s="1870">
        <f>'XM.GUI MAIL'!AR14</f>
        <v>73.2</v>
      </c>
      <c r="P11" s="1191" t="s">
        <v>1148</v>
      </c>
      <c r="Q11" s="1191"/>
      <c r="T11" s="1"/>
    </row>
    <row r="12" spans="1:24" ht="15.75" hidden="1" customHeight="1">
      <c r="A12" s="2"/>
      <c r="B12" s="1083"/>
      <c r="C12" s="1083"/>
      <c r="D12" s="1083"/>
      <c r="E12" s="1083"/>
      <c r="F12" s="1083"/>
      <c r="G12" s="2014"/>
      <c r="H12" s="2019" t="s">
        <v>102</v>
      </c>
      <c r="I12" s="2021"/>
      <c r="J12" s="1882">
        <f>'XM.GUI MAIL'!I15</f>
        <v>0</v>
      </c>
      <c r="K12" s="1882">
        <f>'XM.GUI MAIL'!P15</f>
        <v>0</v>
      </c>
      <c r="L12" s="1882">
        <f>'XM.GUI MAIL'!W15</f>
        <v>0</v>
      </c>
      <c r="M12" s="1882">
        <f>'XM.GUI MAIL'!AD15</f>
        <v>0</v>
      </c>
      <c r="N12" s="1882">
        <f>'XM.GUI MAIL'!AK15</f>
        <v>0</v>
      </c>
      <c r="O12" s="1882">
        <f>'XM.GUI MAIL'!AR15</f>
        <v>0</v>
      </c>
      <c r="P12" s="1191"/>
      <c r="Q12" s="1191"/>
      <c r="T12" s="1"/>
    </row>
    <row r="13" spans="1:24" ht="15.75" customHeight="1">
      <c r="A13" s="2" t="s">
        <v>1042</v>
      </c>
      <c r="B13" s="1083"/>
      <c r="C13" s="1083"/>
      <c r="D13" s="1083"/>
      <c r="E13" s="1083"/>
      <c r="F13" s="1083">
        <v>17.7</v>
      </c>
      <c r="G13" s="2014">
        <v>17.8</v>
      </c>
      <c r="H13" s="2026" t="str">
        <f>'XM.GUI MAIL'!$E$16</f>
        <v>130 - 150</v>
      </c>
      <c r="I13" s="2027" t="str">
        <f>'XM.GUI MAIL'!$F$16</f>
        <v>(140±7)</v>
      </c>
      <c r="J13" s="1762">
        <f>'XM.GUI MAIL'!I16</f>
        <v>0</v>
      </c>
      <c r="K13" s="1762">
        <f>'XM.GUI MAIL'!P16</f>
        <v>0</v>
      </c>
      <c r="L13" s="1762">
        <f>'XM.GUI MAIL'!W16</f>
        <v>0</v>
      </c>
      <c r="M13" s="1762">
        <f>'XM.GUI MAIL'!AD16</f>
        <v>0</v>
      </c>
      <c r="N13" s="1762">
        <f>'XM.GUI MAIL'!AK16</f>
        <v>141.6</v>
      </c>
      <c r="O13" s="1762">
        <f>'XM.GUI MAIL'!AR16</f>
        <v>142.4</v>
      </c>
      <c r="P13" s="1191" t="s">
        <v>1148</v>
      </c>
      <c r="Q13" s="1191"/>
      <c r="R13" s="1084" t="s">
        <v>1043</v>
      </c>
      <c r="T13" s="1" t="s">
        <v>1039</v>
      </c>
    </row>
    <row r="14" spans="1:24" ht="15.75" customHeight="1" thickBot="1">
      <c r="A14" s="2095" t="s">
        <v>1044</v>
      </c>
      <c r="B14" s="2096"/>
      <c r="C14" s="2096"/>
      <c r="D14" s="2096"/>
      <c r="E14" s="2096"/>
      <c r="F14" s="2096">
        <v>8.9</v>
      </c>
      <c r="G14" s="2097">
        <v>8.8000000000000007</v>
      </c>
      <c r="H14" s="2098" t="str">
        <f>'XM.GUI MAIL'!$E$17</f>
        <v>8~12</v>
      </c>
      <c r="I14" s="2107" t="str">
        <f>'XM.GUI MAIL'!$F$17</f>
        <v>(10±2)</v>
      </c>
      <c r="J14" s="1768">
        <f>'XM.GUI MAIL'!I17</f>
        <v>0</v>
      </c>
      <c r="K14" s="1768">
        <f>'XM.GUI MAIL'!P17</f>
        <v>0</v>
      </c>
      <c r="L14" s="1768">
        <f>'XM.GUI MAIL'!W17</f>
        <v>0</v>
      </c>
      <c r="M14" s="1768">
        <f>'XM.GUI MAIL'!AD17</f>
        <v>0</v>
      </c>
      <c r="N14" s="1768">
        <f>'XM.GUI MAIL'!AK17</f>
        <v>11.57</v>
      </c>
      <c r="O14" s="1768">
        <f>'XM.GUI MAIL'!AR17</f>
        <v>11.440000000000001</v>
      </c>
      <c r="P14" s="1191" t="s">
        <v>1148</v>
      </c>
      <c r="Q14" s="1191"/>
      <c r="R14" s="1085">
        <v>9.6000000000000002E-2</v>
      </c>
      <c r="T14" s="1086">
        <v>0.32</v>
      </c>
    </row>
    <row r="15" spans="1:24" ht="15.75" customHeight="1" thickBot="1">
      <c r="A15" s="2103" t="s">
        <v>1045</v>
      </c>
      <c r="B15" s="2104"/>
      <c r="C15" s="2104"/>
      <c r="D15" s="2104"/>
      <c r="E15" s="2104"/>
      <c r="F15" s="2104">
        <v>11.8</v>
      </c>
      <c r="G15" s="2105">
        <v>11.5</v>
      </c>
      <c r="H15" s="2106" t="str">
        <f>'XM.GUI MAIL'!$E$18</f>
        <v xml:space="preserve">12~18 </v>
      </c>
      <c r="I15" s="2156" t="str">
        <f>'XM.GUI MAIL'!$F$18</f>
        <v>(14±2)</v>
      </c>
      <c r="J15" s="1738">
        <f>'XM.GUI MAIL'!I18</f>
        <v>0</v>
      </c>
      <c r="K15" s="1738">
        <f>'XM.GUI MAIL'!P18</f>
        <v>0</v>
      </c>
      <c r="L15" s="1738">
        <f>'XM.GUI MAIL'!W18</f>
        <v>0</v>
      </c>
      <c r="M15" s="1738">
        <f>'XM.GUI MAIL'!AD18</f>
        <v>0</v>
      </c>
      <c r="N15" s="1738">
        <f>'XM.GUI MAIL'!AK18</f>
        <v>16.978417266187048</v>
      </c>
      <c r="O15" s="1738">
        <f>'XM.GUI MAIL'!AR18</f>
        <v>16.546762589928058</v>
      </c>
      <c r="P15" s="1191" t="s">
        <v>1148</v>
      </c>
      <c r="Q15" s="1191"/>
      <c r="T15" s="1"/>
    </row>
    <row r="16" spans="1:24" ht="15.75" hidden="1" customHeight="1">
      <c r="A16" s="2099"/>
      <c r="B16" s="2100"/>
      <c r="C16" s="2100"/>
      <c r="D16" s="2100"/>
      <c r="E16" s="2100"/>
      <c r="F16" s="2100"/>
      <c r="G16" s="2101"/>
      <c r="H16" s="2102" t="str">
        <f>'XM.GUI MAIL'!$E$19</f>
        <v>1.6~2.2</v>
      </c>
      <c r="I16" s="2108" t="str">
        <f>'XM.GUI MAIL'!$F$19</f>
        <v>(2±0.2 )</v>
      </c>
      <c r="J16" s="1768">
        <f>'XM.GUI MAIL'!I19</f>
        <v>0</v>
      </c>
      <c r="K16" s="1768">
        <f>'XM.GUI MAIL'!P19</f>
        <v>0</v>
      </c>
      <c r="L16" s="1768">
        <f>'XM.GUI MAIL'!W19</f>
        <v>0</v>
      </c>
      <c r="M16" s="1768">
        <f>'XM.GUI MAIL'!AD19</f>
        <v>0</v>
      </c>
      <c r="N16" s="1768">
        <f>'XM.GUI MAIL'!AK19</f>
        <v>1.48</v>
      </c>
      <c r="O16" s="1768">
        <f>'XM.GUI MAIL'!AR19</f>
        <v>1.64</v>
      </c>
      <c r="P16" s="1191"/>
      <c r="Q16" s="1191"/>
      <c r="T16" s="1"/>
    </row>
    <row r="17" spans="1:20" ht="15.75" customHeight="1">
      <c r="A17" s="2" t="s">
        <v>1046</v>
      </c>
      <c r="B17" s="1083"/>
      <c r="C17" s="1083"/>
      <c r="D17" s="1083"/>
      <c r="E17" s="1083"/>
      <c r="F17" s="1083">
        <v>3.4</v>
      </c>
      <c r="G17" s="2014">
        <v>4</v>
      </c>
      <c r="H17" s="2026" t="str">
        <f>'XM.GUI MAIL'!$E$20</f>
        <v xml:space="preserve">40~50 </v>
      </c>
      <c r="I17" s="2027" t="str">
        <f>'XM.GUI MAIL'!$F$20</f>
        <v>(45±5)</v>
      </c>
      <c r="J17" s="1743">
        <f>'XM.GUI MAIL'!I20</f>
        <v>0</v>
      </c>
      <c r="K17" s="1743">
        <f>'XM.GUI MAIL'!P20</f>
        <v>0</v>
      </c>
      <c r="L17" s="1743">
        <f>'XM.GUI MAIL'!W20</f>
        <v>0</v>
      </c>
      <c r="M17" s="1743">
        <f>'XM.GUI MAIL'!AD20</f>
        <v>0</v>
      </c>
      <c r="N17" s="1743">
        <f>'XM.GUI MAIL'!AK20</f>
        <v>0.3878125</v>
      </c>
      <c r="O17" s="1743">
        <f>'XM.GUI MAIL'!AR20</f>
        <v>0.45624999999999999</v>
      </c>
      <c r="P17" s="1191"/>
      <c r="Q17" s="1191"/>
      <c r="R17" s="1084" t="s">
        <v>1047</v>
      </c>
      <c r="T17" s="1" t="s">
        <v>1048</v>
      </c>
    </row>
    <row r="18" spans="1:20" ht="15.75" hidden="1" customHeight="1">
      <c r="A18" s="2" t="s">
        <v>1049</v>
      </c>
      <c r="B18" s="1083"/>
      <c r="C18" s="1083"/>
      <c r="D18" s="1083"/>
      <c r="E18" s="1083"/>
      <c r="F18" s="1083"/>
      <c r="G18" s="2014"/>
      <c r="H18" s="2026" t="str">
        <f>'XM.GUI MAIL'!$E$21</f>
        <v>(22±5) =17~27</v>
      </c>
      <c r="I18" s="2027" t="str">
        <f>'XM.GUI MAIL'!$F$21</f>
        <v>(22±5)</v>
      </c>
      <c r="J18" s="1772">
        <f>'XM.GUI MAIL'!I21</f>
        <v>0</v>
      </c>
      <c r="K18" s="1772">
        <f>'XM.GUI MAIL'!P21</f>
        <v>0</v>
      </c>
      <c r="L18" s="1772">
        <f>'XM.GUI MAIL'!W21</f>
        <v>0</v>
      </c>
      <c r="M18" s="1772">
        <f>'XM.GUI MAIL'!AD21</f>
        <v>0</v>
      </c>
      <c r="N18" s="1772">
        <f>'XM.GUI MAIL'!AK21</f>
        <v>0</v>
      </c>
      <c r="O18" s="1772">
        <f>'XM.GUI MAIL'!AR21</f>
        <v>0</v>
      </c>
      <c r="P18" s="1191"/>
      <c r="Q18" s="1191"/>
      <c r="R18" s="1085">
        <v>0.192</v>
      </c>
      <c r="T18" s="1086">
        <v>0.32</v>
      </c>
    </row>
    <row r="19" spans="1:20" ht="15.75" hidden="1" customHeight="1">
      <c r="A19" s="2" t="s">
        <v>1050</v>
      </c>
      <c r="B19" s="1083"/>
      <c r="C19" s="1083"/>
      <c r="D19" s="1083"/>
      <c r="E19" s="1083"/>
      <c r="F19" s="1083"/>
      <c r="G19" s="2014"/>
      <c r="H19" s="2026" t="str">
        <f>'XM.GUI MAIL'!$E$22</f>
        <v>5~15</v>
      </c>
      <c r="I19" s="2027" t="str">
        <f>'XM.GUI MAIL'!$F$22</f>
        <v>(30±4)</v>
      </c>
      <c r="J19" s="1772">
        <f>'XM.GUI MAIL'!I22</f>
        <v>0</v>
      </c>
      <c r="K19" s="1772">
        <f>'XM.GUI MAIL'!P22</f>
        <v>0</v>
      </c>
      <c r="L19" s="1772">
        <f>'XM.GUI MAIL'!W22</f>
        <v>0</v>
      </c>
      <c r="M19" s="1772">
        <f>'XM.GUI MAIL'!AD22</f>
        <v>0</v>
      </c>
      <c r="N19" s="1772">
        <f>'XM.GUI MAIL'!AK22</f>
        <v>0</v>
      </c>
      <c r="O19" s="1772">
        <f>'XM.GUI MAIL'!AR22</f>
        <v>0</v>
      </c>
      <c r="P19" s="1191"/>
      <c r="Q19" s="1191"/>
    </row>
    <row r="20" spans="1:20" ht="15.75" customHeight="1">
      <c r="A20" s="1057" t="s">
        <v>1051</v>
      </c>
      <c r="B20" s="1083"/>
      <c r="C20" s="1083"/>
      <c r="D20" s="1083"/>
      <c r="E20" s="1083"/>
      <c r="F20" s="1083"/>
      <c r="G20" s="1083">
        <v>8.1999999999999993</v>
      </c>
      <c r="H20" s="2026" t="str">
        <f>'XM.GUI MAIL'!$E$23</f>
        <v>0.5~1.5</v>
      </c>
      <c r="I20" s="2027" t="str">
        <f>'XM.GUI MAIL'!$F$23</f>
        <v>(1±0.4)</v>
      </c>
      <c r="J20" s="1774">
        <f>'XM.GUI MAIL'!I23</f>
        <v>0</v>
      </c>
      <c r="K20" s="1774">
        <f>'XM.GUI MAIL'!P23</f>
        <v>0</v>
      </c>
      <c r="L20" s="1774">
        <f>'XM.GUI MAIL'!W23</f>
        <v>0</v>
      </c>
      <c r="M20" s="1774">
        <f>'XM.GUI MAIL'!AD23</f>
        <v>0</v>
      </c>
      <c r="N20" s="1774" t="str">
        <f>'XM.GUI MAIL'!AK23</f>
        <v>chưa pha</v>
      </c>
      <c r="O20" s="1774">
        <f>'XM.GUI MAIL'!AR23</f>
        <v>1.0331999999999999E-2</v>
      </c>
      <c r="P20" s="1191"/>
      <c r="Q20" s="1191"/>
    </row>
    <row r="21" spans="1:20" ht="19.5" customHeight="1">
      <c r="A21" s="1094" t="s">
        <v>1052</v>
      </c>
      <c r="B21" s="1187"/>
      <c r="C21" s="1187"/>
      <c r="D21" s="1187"/>
      <c r="E21" s="1187"/>
      <c r="F21" s="1187">
        <v>15.8</v>
      </c>
      <c r="G21" s="1187"/>
      <c r="H21" s="2026" t="str">
        <f>'XM.GUI MAIL'!$E$24</f>
        <v>5~10</v>
      </c>
      <c r="I21" s="2027" t="str">
        <f>'XM.GUI MAIL'!$F$24</f>
        <v>(7.5±1)</v>
      </c>
      <c r="J21" s="2028" t="str">
        <f>'XM.GUI MAIL'!I24</f>
        <v/>
      </c>
      <c r="K21" s="2028" t="str">
        <f>'XM.GUI MAIL'!P24</f>
        <v/>
      </c>
      <c r="L21" s="2028" t="str">
        <f>'XM.GUI MAIL'!W24</f>
        <v/>
      </c>
      <c r="M21" s="2028" t="str">
        <f>'XM.GUI MAIL'!AD24</f>
        <v/>
      </c>
      <c r="N21" s="2028">
        <f>'XM.GUI MAIL'!AK24</f>
        <v>10.128205128205128</v>
      </c>
      <c r="O21" s="2028" t="str">
        <f>'XM.GUI MAIL'!AR24</f>
        <v>ko xi</v>
      </c>
      <c r="P21" s="1191" t="s">
        <v>1148</v>
      </c>
      <c r="Q21" s="1191"/>
    </row>
    <row r="22" spans="1:20" ht="19.5" customHeight="1">
      <c r="A22" s="1094" t="s">
        <v>1053</v>
      </c>
      <c r="B22" s="1187"/>
      <c r="C22" s="1187"/>
      <c r="D22" s="1187"/>
      <c r="E22" s="1187"/>
      <c r="F22" s="1187">
        <v>2.57</v>
      </c>
      <c r="G22" s="2016"/>
      <c r="H22" s="2026" t="str">
        <f>'XM.GUI MAIL'!$E$25</f>
        <v>1.8~2.2</v>
      </c>
      <c r="I22" s="2027" t="str">
        <f>'XM.GUI MAIL'!$F$25</f>
        <v>(2±0.1)</v>
      </c>
      <c r="J22" s="2029">
        <f>'XM.GUI MAIL'!I25</f>
        <v>0</v>
      </c>
      <c r="K22" s="2029">
        <f>'XM.GUI MAIL'!P25</f>
        <v>0</v>
      </c>
      <c r="L22" s="2029">
        <f>'XM.GUI MAIL'!W25</f>
        <v>0</v>
      </c>
      <c r="M22" s="2029">
        <f>'XM.GUI MAIL'!AD25</f>
        <v>0</v>
      </c>
      <c r="N22" s="2029">
        <f>'XM.GUI MAIL'!AK25</f>
        <v>2.57</v>
      </c>
      <c r="O22" s="2029" t="str">
        <f>'XM.GUI MAIL'!AR25</f>
        <v>ko xi</v>
      </c>
      <c r="P22" s="1191" t="s">
        <v>1148</v>
      </c>
      <c r="Q22" s="1191"/>
    </row>
    <row r="23" spans="1:20" ht="21" customHeight="1">
      <c r="A23" s="1188" t="s">
        <v>1140</v>
      </c>
      <c r="B23" s="1189"/>
      <c r="C23" s="1189"/>
      <c r="D23" s="1189"/>
      <c r="E23" s="1189"/>
      <c r="F23" s="1189">
        <v>1.48</v>
      </c>
      <c r="G23" s="2015">
        <v>1.64</v>
      </c>
      <c r="H23" s="2018" t="s">
        <v>1502</v>
      </c>
      <c r="I23" s="2018" t="s">
        <v>1304</v>
      </c>
      <c r="J23" s="1768">
        <f>B23</f>
        <v>0</v>
      </c>
      <c r="K23" s="1768">
        <f t="shared" ref="K23:O23" si="0">C23</f>
        <v>0</v>
      </c>
      <c r="L23" s="1768">
        <f t="shared" si="0"/>
        <v>0</v>
      </c>
      <c r="M23" s="1768">
        <f t="shared" si="0"/>
        <v>0</v>
      </c>
      <c r="N23" s="1768">
        <f t="shared" si="0"/>
        <v>1.48</v>
      </c>
      <c r="O23" s="1768">
        <f t="shared" si="0"/>
        <v>1.64</v>
      </c>
      <c r="P23" s="1191" t="s">
        <v>1148</v>
      </c>
      <c r="Q23" s="1191"/>
    </row>
    <row r="24" spans="1:20" ht="15.75" customHeight="1">
      <c r="H24" s="101"/>
      <c r="I24" s="101"/>
      <c r="J24" s="101"/>
      <c r="K24" s="1"/>
      <c r="L24" s="1"/>
      <c r="M24" s="1"/>
      <c r="N24" s="1"/>
      <c r="O24" s="1"/>
      <c r="Q24" s="1"/>
    </row>
    <row r="25" spans="1:20" ht="22.5" customHeight="1">
      <c r="A25" s="2013" t="s">
        <v>217</v>
      </c>
      <c r="B25" s="1081" t="s">
        <v>1458</v>
      </c>
      <c r="C25" s="1082" t="s">
        <v>1459</v>
      </c>
      <c r="D25" s="1082" t="s">
        <v>1460</v>
      </c>
      <c r="E25" s="1082" t="s">
        <v>1461</v>
      </c>
      <c r="F25" s="1082" t="s">
        <v>1462</v>
      </c>
      <c r="G25" s="1081" t="s">
        <v>1463</v>
      </c>
      <c r="H25" s="2022" t="s">
        <v>1504</v>
      </c>
      <c r="I25" s="2023"/>
      <c r="J25" s="1075" t="s">
        <v>1458</v>
      </c>
      <c r="K25" s="1076" t="s">
        <v>1459</v>
      </c>
      <c r="L25" s="1076" t="s">
        <v>1460</v>
      </c>
      <c r="M25" s="1076" t="s">
        <v>1461</v>
      </c>
      <c r="N25" s="1076" t="s">
        <v>1462</v>
      </c>
      <c r="O25" s="1076" t="s">
        <v>1463</v>
      </c>
      <c r="P25" s="1192" t="s">
        <v>1151</v>
      </c>
      <c r="Q25" s="1"/>
    </row>
    <row r="26" spans="1:20" ht="15.75" customHeight="1">
      <c r="A26" s="2" t="s">
        <v>1036</v>
      </c>
      <c r="B26" s="1083">
        <v>10.85</v>
      </c>
      <c r="C26" s="1083">
        <v>10.85</v>
      </c>
      <c r="D26" s="1083">
        <v>10.5</v>
      </c>
      <c r="E26" s="1083">
        <v>10</v>
      </c>
      <c r="F26" s="1083">
        <v>10.6</v>
      </c>
      <c r="G26" s="2014">
        <v>11</v>
      </c>
      <c r="H26" s="2019" t="str">
        <f>'XM.GUI MAIL'!$E$43</f>
        <v>60~80</v>
      </c>
      <c r="I26" s="2019" t="str">
        <f>'XM.GUI MAIL'!$F$43</f>
        <v>(70±5)</v>
      </c>
      <c r="J26" s="1930">
        <f>'XM.GUI MAIL'!I43</f>
        <v>70.416499999999999</v>
      </c>
      <c r="K26" s="1930">
        <f>'XM.GUI MAIL'!P43</f>
        <v>70.416499999999999</v>
      </c>
      <c r="L26" s="1930">
        <f>'XM.GUI MAIL'!W43</f>
        <v>68.144999999999996</v>
      </c>
      <c r="M26" s="1930">
        <f>'XM.GUI MAIL'!AD43</f>
        <v>64.900000000000006</v>
      </c>
      <c r="N26" s="1930">
        <f>'XM.GUI MAIL'!AK43</f>
        <v>68.793999999999997</v>
      </c>
      <c r="O26" s="1930">
        <f>'XM.GUI MAIL'!AR43</f>
        <v>71.39</v>
      </c>
      <c r="P26" s="1190" t="s">
        <v>1149</v>
      </c>
      <c r="Q26" s="1190"/>
    </row>
    <row r="27" spans="1:20" ht="15.75" hidden="1" customHeight="1">
      <c r="A27" s="2"/>
      <c r="B27" s="1083"/>
      <c r="C27" s="1083"/>
      <c r="D27" s="1083"/>
      <c r="E27" s="1083"/>
      <c r="F27" s="1083"/>
      <c r="G27" s="2014"/>
      <c r="H27" s="2019" t="s">
        <v>987</v>
      </c>
      <c r="I27" s="2019"/>
      <c r="J27" s="1882">
        <f>'XM.GUI MAIL'!I44</f>
        <v>0</v>
      </c>
      <c r="K27" s="1882">
        <f>'XM.GUI MAIL'!P44</f>
        <v>0</v>
      </c>
      <c r="L27" s="1882">
        <f>'XM.GUI MAIL'!W44</f>
        <v>0</v>
      </c>
      <c r="M27" s="1882">
        <f>'XM.GUI MAIL'!AD44</f>
        <v>0</v>
      </c>
      <c r="N27" s="1882">
        <f>'XM.GUI MAIL'!AK44</f>
        <v>0</v>
      </c>
      <c r="O27" s="1882">
        <f>'XM.GUI MAIL'!AR44</f>
        <v>0</v>
      </c>
      <c r="P27" s="1190"/>
      <c r="Q27" s="1190"/>
    </row>
    <row r="28" spans="1:20" ht="15.75" customHeight="1">
      <c r="A28" s="2" t="s">
        <v>1054</v>
      </c>
      <c r="B28" s="1083">
        <v>11.2</v>
      </c>
      <c r="C28" s="1083">
        <v>11.2</v>
      </c>
      <c r="D28" s="1083">
        <v>11.05</v>
      </c>
      <c r="E28" s="1083">
        <v>10.9</v>
      </c>
      <c r="F28" s="1083">
        <v>11</v>
      </c>
      <c r="G28" s="2014">
        <v>11.1</v>
      </c>
      <c r="H28" s="2019" t="str">
        <f>'XM.GUI MAIL'!$E$45</f>
        <v>60~80</v>
      </c>
      <c r="I28" s="2019" t="str">
        <f>'XM.GUI MAIL'!$F$45</f>
        <v>(70±5)</v>
      </c>
      <c r="J28" s="1930">
        <f>'XM.GUI MAIL'!I45</f>
        <v>72.688000000000002</v>
      </c>
      <c r="K28" s="1930">
        <f>'XM.GUI MAIL'!P45</f>
        <v>72.688000000000002</v>
      </c>
      <c r="L28" s="1930">
        <f>'XM.GUI MAIL'!W45</f>
        <v>71.714500000000001</v>
      </c>
      <c r="M28" s="1930">
        <f>'XM.GUI MAIL'!AD45</f>
        <v>70.741</v>
      </c>
      <c r="N28" s="1930">
        <f>'XM.GUI MAIL'!AK45</f>
        <v>71.39</v>
      </c>
      <c r="O28" s="1930">
        <f>'XM.GUI MAIL'!AR45</f>
        <v>72.039000000000001</v>
      </c>
      <c r="P28" s="1190" t="s">
        <v>1149</v>
      </c>
      <c r="Q28" s="1190"/>
      <c r="R28" s="3021" t="s">
        <v>151</v>
      </c>
      <c r="S28" s="3021"/>
      <c r="T28" s="3021"/>
    </row>
    <row r="29" spans="1:20" ht="15.75" hidden="1" customHeight="1">
      <c r="A29" s="2"/>
      <c r="B29" s="1083"/>
      <c r="C29" s="1083"/>
      <c r="D29" s="1083"/>
      <c r="E29" s="1083"/>
      <c r="F29" s="1083"/>
      <c r="G29" s="2014"/>
      <c r="H29" s="2019" t="s">
        <v>987</v>
      </c>
      <c r="I29" s="2019"/>
      <c r="J29" s="1882">
        <f>'XM.GUI MAIL'!I46</f>
        <v>0</v>
      </c>
      <c r="K29" s="1882">
        <f>'XM.GUI MAIL'!P46</f>
        <v>0</v>
      </c>
      <c r="L29" s="1882">
        <f>'XM.GUI MAIL'!W46</f>
        <v>0</v>
      </c>
      <c r="M29" s="1882">
        <f>'XM.GUI MAIL'!AD46</f>
        <v>0</v>
      </c>
      <c r="N29" s="1882">
        <f>'XM.GUI MAIL'!AK46</f>
        <v>0</v>
      </c>
      <c r="O29" s="1882">
        <f>'XM.GUI MAIL'!AR46</f>
        <v>0</v>
      </c>
      <c r="P29" s="1190"/>
      <c r="Q29" s="1190"/>
      <c r="R29" s="3021"/>
      <c r="S29" s="3021"/>
      <c r="T29" s="3021"/>
    </row>
    <row r="30" spans="1:20" ht="15.75" customHeight="1">
      <c r="A30" s="2" t="s">
        <v>1040</v>
      </c>
      <c r="B30" s="1083">
        <v>13.55</v>
      </c>
      <c r="C30" s="1083">
        <v>13.65</v>
      </c>
      <c r="D30" s="1083">
        <v>14</v>
      </c>
      <c r="E30" s="1083">
        <v>13.7</v>
      </c>
      <c r="F30" s="1083">
        <v>13.5</v>
      </c>
      <c r="G30" s="2014">
        <v>13</v>
      </c>
      <c r="H30" s="2019" t="str">
        <f>'XM.GUI MAIL'!$E$47</f>
        <v>50~70</v>
      </c>
      <c r="I30" s="2019" t="str">
        <f>'XM.GUI MAIL'!$F$47</f>
        <v>(60±10)</v>
      </c>
      <c r="J30" s="1930">
        <f>'XM.GUI MAIL'!I47</f>
        <v>62.601000000000006</v>
      </c>
      <c r="K30" s="1930">
        <f>'XM.GUI MAIL'!P47</f>
        <v>63.063000000000002</v>
      </c>
      <c r="L30" s="1930">
        <f>'XM.GUI MAIL'!W47</f>
        <v>64.680000000000007</v>
      </c>
      <c r="M30" s="1930">
        <f>'XM.GUI MAIL'!AD47</f>
        <v>63.293999999999997</v>
      </c>
      <c r="N30" s="1930">
        <f>'XM.GUI MAIL'!AK47</f>
        <v>62.370000000000005</v>
      </c>
      <c r="O30" s="1930">
        <f>'XM.GUI MAIL'!AR47</f>
        <v>60.06</v>
      </c>
      <c r="P30" s="1190" t="s">
        <v>1149</v>
      </c>
      <c r="Q30" s="1190"/>
      <c r="R30" s="3021"/>
      <c r="S30" s="3021"/>
      <c r="T30" s="3021"/>
    </row>
    <row r="31" spans="1:20" ht="15.75" hidden="1" customHeight="1">
      <c r="A31" s="2"/>
      <c r="B31" s="1083"/>
      <c r="C31" s="1083"/>
      <c r="D31" s="1083"/>
      <c r="E31" s="1083"/>
      <c r="F31" s="1083"/>
      <c r="G31" s="2014"/>
      <c r="H31" s="2019" t="s">
        <v>988</v>
      </c>
      <c r="I31" s="2019"/>
      <c r="J31" s="1882">
        <f>'XM.GUI MAIL'!I48</f>
        <v>0</v>
      </c>
      <c r="K31" s="1882">
        <f>'XM.GUI MAIL'!P48</f>
        <v>0</v>
      </c>
      <c r="L31" s="1882">
        <f>'XM.GUI MAIL'!W48</f>
        <v>0</v>
      </c>
      <c r="M31" s="1882">
        <f>'XM.GUI MAIL'!AD48</f>
        <v>0</v>
      </c>
      <c r="N31" s="1882">
        <f>'XM.GUI MAIL'!AK48</f>
        <v>0</v>
      </c>
      <c r="O31" s="1882">
        <f>'XM.GUI MAIL'!AR48</f>
        <v>0</v>
      </c>
      <c r="P31" s="1190"/>
      <c r="Q31" s="1190"/>
      <c r="R31" s="1995"/>
      <c r="S31" s="1995"/>
      <c r="T31" s="1995"/>
    </row>
    <row r="32" spans="1:20" ht="15.75" customHeight="1">
      <c r="A32" s="2" t="s">
        <v>1041</v>
      </c>
      <c r="B32" s="1083">
        <v>13.45</v>
      </c>
      <c r="C32" s="1083">
        <v>13.05</v>
      </c>
      <c r="D32" s="1083">
        <v>13</v>
      </c>
      <c r="E32" s="1083">
        <v>11.8</v>
      </c>
      <c r="F32" s="1083">
        <v>14.5</v>
      </c>
      <c r="G32" s="2014">
        <v>14.4</v>
      </c>
      <c r="H32" s="2019" t="str">
        <f>'XM.GUI MAIL'!$E$49</f>
        <v>50~70</v>
      </c>
      <c r="I32" s="2019" t="str">
        <f>'XM.GUI MAIL'!$F$49</f>
        <v>(60±10)</v>
      </c>
      <c r="J32" s="1930">
        <f>'XM.GUI MAIL'!I49</f>
        <v>62.138999999999996</v>
      </c>
      <c r="K32" s="1930">
        <f>'XM.GUI MAIL'!P49</f>
        <v>60.291000000000004</v>
      </c>
      <c r="L32" s="1930">
        <f>'XM.GUI MAIL'!W49</f>
        <v>60.06</v>
      </c>
      <c r="M32" s="1930">
        <f>'XM.GUI MAIL'!AD49</f>
        <v>54.516000000000005</v>
      </c>
      <c r="N32" s="1930">
        <f>'XM.GUI MAIL'!AK49</f>
        <v>66.989999999999995</v>
      </c>
      <c r="O32" s="1930">
        <f>'XM.GUI MAIL'!AR49</f>
        <v>66.528000000000006</v>
      </c>
      <c r="P32" s="1190" t="s">
        <v>1149</v>
      </c>
      <c r="Q32" s="1190"/>
    </row>
    <row r="33" spans="1:19" ht="15.75" hidden="1" customHeight="1">
      <c r="A33" s="2"/>
      <c r="B33" s="1083"/>
      <c r="C33" s="1083"/>
      <c r="D33" s="1083"/>
      <c r="E33" s="1083"/>
      <c r="F33" s="1083"/>
      <c r="G33" s="2014"/>
      <c r="H33" s="2019" t="s">
        <v>988</v>
      </c>
      <c r="I33" s="2019"/>
      <c r="J33" s="1882">
        <f>'XM.GUI MAIL'!I50</f>
        <v>0</v>
      </c>
      <c r="K33" s="1882">
        <f>'XM.GUI MAIL'!P50</f>
        <v>0</v>
      </c>
      <c r="L33" s="1882">
        <f>'XM.GUI MAIL'!W50</f>
        <v>0</v>
      </c>
      <c r="M33" s="1882">
        <f>'XM.GUI MAIL'!AD50</f>
        <v>0</v>
      </c>
      <c r="N33" s="1882">
        <f>'XM.GUI MAIL'!AK50</f>
        <v>0</v>
      </c>
      <c r="O33" s="1882">
        <f>'XM.GUI MAIL'!AR50</f>
        <v>0</v>
      </c>
      <c r="P33" s="1190"/>
      <c r="Q33" s="1190"/>
    </row>
    <row r="34" spans="1:19" ht="15.75" customHeight="1">
      <c r="A34" s="2" t="s">
        <v>1055</v>
      </c>
      <c r="B34" s="1083">
        <v>18</v>
      </c>
      <c r="C34" s="1083">
        <v>17.7</v>
      </c>
      <c r="D34" s="1083">
        <v>17.649999999999999</v>
      </c>
      <c r="E34" s="1083">
        <v>17.600000000000001</v>
      </c>
      <c r="F34" s="1083">
        <v>17.7</v>
      </c>
      <c r="G34" s="2014">
        <v>17.600000000000001</v>
      </c>
      <c r="H34" s="2026" t="str">
        <f>'XM.GUI MAIL'!$E$51</f>
        <v>130 - 150</v>
      </c>
      <c r="I34" s="2026" t="str">
        <f>'XM.GUI MAIL'!$F$51</f>
        <v>(140±7)</v>
      </c>
      <c r="J34" s="1762">
        <f>'XM.GUI MAIL'!I51</f>
        <v>144</v>
      </c>
      <c r="K34" s="1762">
        <f>'XM.GUI MAIL'!P51</f>
        <v>141.6</v>
      </c>
      <c r="L34" s="1762">
        <f>'XM.GUI MAIL'!W51</f>
        <v>141.19999999999999</v>
      </c>
      <c r="M34" s="1762">
        <f>'XM.GUI MAIL'!AD51</f>
        <v>140.80000000000001</v>
      </c>
      <c r="N34" s="1762">
        <f>'XM.GUI MAIL'!AK51</f>
        <v>141.6</v>
      </c>
      <c r="O34" s="1762">
        <f>'XM.GUI MAIL'!AR51</f>
        <v>140.80000000000001</v>
      </c>
      <c r="P34" s="1190" t="s">
        <v>1149</v>
      </c>
      <c r="Q34" s="1190"/>
      <c r="R34" s="1088" t="s">
        <v>150</v>
      </c>
      <c r="S34" s="1088"/>
    </row>
    <row r="35" spans="1:19" ht="15.75" customHeight="1" thickBot="1">
      <c r="A35" s="2095" t="s">
        <v>1056</v>
      </c>
      <c r="B35" s="2096">
        <v>7.9</v>
      </c>
      <c r="C35" s="2096">
        <v>8.1999999999999993</v>
      </c>
      <c r="D35" s="2096">
        <v>8.3000000000000007</v>
      </c>
      <c r="E35" s="2096">
        <v>8.6999999999999993</v>
      </c>
      <c r="F35" s="2096">
        <v>8.5</v>
      </c>
      <c r="G35" s="2097">
        <v>8.3000000000000007</v>
      </c>
      <c r="H35" s="2098" t="str">
        <f>'XM.GUI MAIL'!$E$52</f>
        <v>8~12</v>
      </c>
      <c r="I35" s="2098" t="str">
        <f>'XM.GUI MAIL'!$F$52</f>
        <v>(10±2)</v>
      </c>
      <c r="J35" s="1738">
        <f>'XM.GUI MAIL'!I52</f>
        <v>10.270000000000001</v>
      </c>
      <c r="K35" s="1738">
        <f>'XM.GUI MAIL'!P52</f>
        <v>10.66</v>
      </c>
      <c r="L35" s="1738">
        <f>'XM.GUI MAIL'!W52</f>
        <v>10.790000000000001</v>
      </c>
      <c r="M35" s="1738">
        <f>'XM.GUI MAIL'!AD52</f>
        <v>11.309999999999999</v>
      </c>
      <c r="N35" s="1738">
        <f>'XM.GUI MAIL'!AK52</f>
        <v>11.05</v>
      </c>
      <c r="O35" s="1738">
        <f>'XM.GUI MAIL'!AR52</f>
        <v>10.790000000000001</v>
      </c>
      <c r="P35" s="1190" t="s">
        <v>1149</v>
      </c>
      <c r="Q35" s="1190"/>
    </row>
    <row r="36" spans="1:19" ht="15.75" customHeight="1" thickBot="1">
      <c r="A36" s="2103" t="s">
        <v>1057</v>
      </c>
      <c r="B36" s="2104">
        <v>17.25</v>
      </c>
      <c r="C36" s="2104">
        <v>17.399999999999999</v>
      </c>
      <c r="D36" s="2104">
        <v>17</v>
      </c>
      <c r="E36" s="2104">
        <v>16.399999999999999</v>
      </c>
      <c r="F36" s="2104">
        <v>16.7</v>
      </c>
      <c r="G36" s="2105">
        <v>17.100000000000001</v>
      </c>
      <c r="H36" s="2106" t="str">
        <f>'XM.GUI MAIL'!$E$53</f>
        <v xml:space="preserve">6~10 </v>
      </c>
      <c r="I36" s="2157" t="str">
        <f>'XM.GUI MAIL'!$F$53</f>
        <v>(7±1)</v>
      </c>
      <c r="J36" s="1738">
        <f>'XM.GUI MAIL'!I53</f>
        <v>6.2627250000000005</v>
      </c>
      <c r="K36" s="1738">
        <f>'XM.GUI MAIL'!P53</f>
        <v>6.3262799999999997</v>
      </c>
      <c r="L36" s="1738">
        <f>'XM.GUI MAIL'!W53</f>
        <v>6.1568000000000005</v>
      </c>
      <c r="M36" s="1738">
        <f>'XM.GUI MAIL'!AD53</f>
        <v>5.9025799999999995</v>
      </c>
      <c r="N36" s="1738">
        <f>'XM.GUI MAIL'!AK53</f>
        <v>6.0296900000000004</v>
      </c>
      <c r="O36" s="1738">
        <f>'XM.GUI MAIL'!AR53</f>
        <v>6.1991700000000005</v>
      </c>
      <c r="P36" s="1190" t="s">
        <v>1149</v>
      </c>
      <c r="Q36" s="2005"/>
      <c r="R36" s="1077" t="s">
        <v>152</v>
      </c>
    </row>
    <row r="37" spans="1:19" ht="15.75" hidden="1" customHeight="1">
      <c r="A37" s="2099"/>
      <c r="B37" s="2100"/>
      <c r="C37" s="2100"/>
      <c r="D37" s="2100"/>
      <c r="E37" s="2100"/>
      <c r="F37" s="2100"/>
      <c r="G37" s="2101"/>
      <c r="H37" s="2102" t="str">
        <f>'XM.GUI MAIL'!$E$54</f>
        <v>2~2.5</v>
      </c>
      <c r="I37" s="2102" t="str">
        <f>'XM.GUI MAIL'!$F$54</f>
        <v>(2.3±0.1 )</v>
      </c>
      <c r="J37" s="1738">
        <f>'XM.GUI MAIL'!I54</f>
        <v>3</v>
      </c>
      <c r="K37" s="1738">
        <f>'XM.GUI MAIL'!P54</f>
        <v>3</v>
      </c>
      <c r="L37" s="1738">
        <f>'XM.GUI MAIL'!W54</f>
        <v>2.2000000000000002</v>
      </c>
      <c r="M37" s="1738">
        <f>'XM.GUI MAIL'!AD54</f>
        <v>2.68</v>
      </c>
      <c r="N37" s="1738">
        <f>'XM.GUI MAIL'!AK54</f>
        <v>2.6</v>
      </c>
      <c r="O37" s="1738">
        <f>'XM.GUI MAIL'!AR54</f>
        <v>2.9</v>
      </c>
      <c r="P37" s="1190"/>
      <c r="Q37" s="2005"/>
    </row>
    <row r="38" spans="1:19" ht="15.75" customHeight="1">
      <c r="A38" s="2" t="s">
        <v>1046</v>
      </c>
      <c r="B38" s="1083">
        <v>3.85</v>
      </c>
      <c r="C38" s="1083">
        <v>4.0999999999999996</v>
      </c>
      <c r="D38" s="1083">
        <v>4</v>
      </c>
      <c r="E38" s="1083">
        <v>3.95</v>
      </c>
      <c r="F38" s="1083">
        <v>4.2</v>
      </c>
      <c r="G38" s="2014">
        <v>4</v>
      </c>
      <c r="H38" s="2026" t="str">
        <f>'XM.GUI MAIL'!$E$55</f>
        <v xml:space="preserve">40~50 </v>
      </c>
      <c r="I38" s="2026" t="str">
        <f>'XM.GUI MAIL'!$F$55</f>
        <v>(45±5)</v>
      </c>
      <c r="J38" s="1743">
        <f>'XM.GUI MAIL'!I55</f>
        <v>0.43914062500000001</v>
      </c>
      <c r="K38" s="1743">
        <f>'XM.GUI MAIL'!P55</f>
        <v>0.46765624999999994</v>
      </c>
      <c r="L38" s="1743">
        <f>'XM.GUI MAIL'!W55</f>
        <v>0.45624999999999999</v>
      </c>
      <c r="M38" s="1743">
        <f>'XM.GUI MAIL'!AD55</f>
        <v>0.45054687500000001</v>
      </c>
      <c r="N38" s="1743">
        <f>'XM.GUI MAIL'!AK55</f>
        <v>0.47906250000000006</v>
      </c>
      <c r="O38" s="1743">
        <f>'XM.GUI MAIL'!AR55</f>
        <v>0.45624999999999999</v>
      </c>
      <c r="P38" s="1190"/>
      <c r="Q38" s="1190"/>
      <c r="R38" s="1077">
        <f>5*1.162</f>
        <v>5.81</v>
      </c>
      <c r="S38" s="1089" t="s">
        <v>153</v>
      </c>
    </row>
    <row r="39" spans="1:19" ht="15.75" hidden="1" customHeight="1">
      <c r="A39" s="2" t="s">
        <v>1049</v>
      </c>
      <c r="B39" s="1083"/>
      <c r="C39" s="1083"/>
      <c r="D39" s="1083"/>
      <c r="E39" s="1083"/>
      <c r="F39" s="1083"/>
      <c r="G39" s="2014"/>
      <c r="H39" s="2026" t="str">
        <f>'XM.GUI MAIL'!$E$56</f>
        <v>(22±5) =17~27</v>
      </c>
      <c r="I39" s="2026" t="str">
        <f>'XM.GUI MAIL'!$F$56</f>
        <v>(22±5)</v>
      </c>
      <c r="J39" s="1743">
        <f>'XM.GUI MAIL'!I56</f>
        <v>0</v>
      </c>
      <c r="K39" s="1743">
        <f>'XM.GUI MAIL'!P56</f>
        <v>0</v>
      </c>
      <c r="L39" s="1743">
        <f>'XM.GUI MAIL'!W56</f>
        <v>0</v>
      </c>
      <c r="M39" s="1743">
        <f>'XM.GUI MAIL'!AD56</f>
        <v>0</v>
      </c>
      <c r="N39" s="1743">
        <f>'XM.GUI MAIL'!AK56</f>
        <v>0</v>
      </c>
      <c r="O39" s="1743">
        <f>'XM.GUI MAIL'!AR56</f>
        <v>0</v>
      </c>
      <c r="P39" s="1190"/>
      <c r="Q39" s="1190"/>
      <c r="R39" s="1077">
        <f>R38*1000</f>
        <v>5810</v>
      </c>
      <c r="S39" s="1089" t="s">
        <v>154</v>
      </c>
    </row>
    <row r="40" spans="1:19" ht="15.75" hidden="1" customHeight="1">
      <c r="A40" s="2" t="s">
        <v>1050</v>
      </c>
      <c r="B40" s="1083"/>
      <c r="C40" s="1083"/>
      <c r="D40" s="1083"/>
      <c r="E40" s="1083"/>
      <c r="F40" s="1083"/>
      <c r="G40" s="2014"/>
      <c r="H40" s="2026" t="str">
        <f>'XM.GUI MAIL'!$E$57</f>
        <v>5~15</v>
      </c>
      <c r="I40" s="2026" t="str">
        <f>'XM.GUI MAIL'!$F$57</f>
        <v>(10±3)</v>
      </c>
      <c r="J40" s="1743">
        <f>'XM.GUI MAIL'!I57</f>
        <v>0</v>
      </c>
      <c r="K40" s="1743">
        <f>'XM.GUI MAIL'!P57</f>
        <v>0</v>
      </c>
      <c r="L40" s="1743">
        <f>'XM.GUI MAIL'!W57</f>
        <v>0</v>
      </c>
      <c r="M40" s="1743">
        <f>'XM.GUI MAIL'!AD57</f>
        <v>0</v>
      </c>
      <c r="N40" s="1743">
        <f>'XM.GUI MAIL'!AK57</f>
        <v>0</v>
      </c>
      <c r="O40" s="1743">
        <f>'XM.GUI MAIL'!AR57</f>
        <v>0</v>
      </c>
      <c r="P40" s="1190"/>
      <c r="Q40" s="1190"/>
    </row>
    <row r="41" spans="1:19" ht="15.75" customHeight="1">
      <c r="A41" s="1057" t="s">
        <v>1051</v>
      </c>
      <c r="B41" s="1083">
        <v>8.3000000000000007</v>
      </c>
      <c r="C41" s="1083">
        <v>8.5</v>
      </c>
      <c r="D41" s="1083">
        <v>8</v>
      </c>
      <c r="E41" s="1083">
        <v>11.2</v>
      </c>
      <c r="F41" s="1083">
        <v>8.4</v>
      </c>
      <c r="G41" s="1083">
        <v>8.1</v>
      </c>
      <c r="H41" s="2026" t="str">
        <f>'XM.GUI MAIL'!$E$58</f>
        <v>0.5~1.5</v>
      </c>
      <c r="I41" s="2026" t="str">
        <f>'XM.GUI MAIL'!$F$58</f>
        <v>(1±0.4)</v>
      </c>
      <c r="J41" s="1774">
        <f>'XM.GUI MAIL'!I58</f>
        <v>1.0458E-2</v>
      </c>
      <c r="K41" s="1774">
        <f>'XM.GUI MAIL'!P58</f>
        <v>1.0709999999999999E-2</v>
      </c>
      <c r="L41" s="1774">
        <f>'XM.GUI MAIL'!W58</f>
        <v>1.008E-2</v>
      </c>
      <c r="M41" s="1774">
        <f>'XM.GUI MAIL'!AD58</f>
        <v>1.4112E-2</v>
      </c>
      <c r="N41" s="1774">
        <f>'XM.GUI MAIL'!AK58</f>
        <v>1.0584E-2</v>
      </c>
      <c r="O41" s="1774">
        <f>'XM.GUI MAIL'!AR58</f>
        <v>1.0206E-2</v>
      </c>
      <c r="P41" s="1190"/>
      <c r="Q41" s="1190"/>
    </row>
    <row r="42" spans="1:19" ht="16.5" customHeight="1">
      <c r="A42" s="1094" t="s">
        <v>1052</v>
      </c>
      <c r="B42" s="1187">
        <v>6.1</v>
      </c>
      <c r="C42" s="1187"/>
      <c r="D42" s="1187"/>
      <c r="E42" s="1187"/>
      <c r="F42" s="1187"/>
      <c r="G42" s="2016"/>
      <c r="H42" s="2026" t="str">
        <f>'XM.GUI MAIL'!$E$59</f>
        <v>5~8</v>
      </c>
      <c r="I42" s="2026" t="str">
        <f>'XM.GUI MAIL'!$F$59</f>
        <v>(6±0.5)</v>
      </c>
      <c r="J42" s="2036">
        <f>'XM.GUI MAIL'!I59</f>
        <v>6.2799999999999994</v>
      </c>
      <c r="K42" s="2036" t="str">
        <f>'XM.GUI MAIL'!P59</f>
        <v>KO SX</v>
      </c>
      <c r="L42" s="2036" t="str">
        <f>'XM.GUI MAIL'!W59</f>
        <v>KO SX</v>
      </c>
      <c r="M42" s="2036" t="str">
        <f>'XM.GUI MAIL'!AD59</f>
        <v>KO SX</v>
      </c>
      <c r="N42" s="2036" t="str">
        <f>'XM.GUI MAIL'!AK59</f>
        <v>KO SX</v>
      </c>
      <c r="O42" s="2036" t="str">
        <f>'XM.GUI MAIL'!AR59</f>
        <v>KO SX</v>
      </c>
      <c r="P42" s="1190" t="s">
        <v>1149</v>
      </c>
      <c r="Q42" s="1190"/>
    </row>
    <row r="43" spans="1:19" ht="16.5" customHeight="1">
      <c r="A43" s="1094" t="s">
        <v>1152</v>
      </c>
      <c r="B43" s="1187">
        <v>2.1</v>
      </c>
      <c r="C43" s="1187"/>
      <c r="D43" s="1187"/>
      <c r="E43" s="1187"/>
      <c r="F43" s="1187"/>
      <c r="G43" s="2016"/>
      <c r="H43" s="2026" t="str">
        <f>'XM.GUI MAIL'!$E$60</f>
        <v>1.8~2.4</v>
      </c>
      <c r="I43" s="2026" t="str">
        <f>'XM.GUI MAIL'!$F$60</f>
        <v>(2.1±0.1 )</v>
      </c>
      <c r="J43" s="2037">
        <f>'XM.GUI MAIL'!I60</f>
        <v>2.1</v>
      </c>
      <c r="K43" s="2037" t="str">
        <f>'XM.GUI MAIL'!P60</f>
        <v>KO SX</v>
      </c>
      <c r="L43" s="2037" t="str">
        <f>'XM.GUI MAIL'!W60</f>
        <v>KO SX</v>
      </c>
      <c r="M43" s="2037" t="str">
        <f>'XM.GUI MAIL'!AD60</f>
        <v>KO SX</v>
      </c>
      <c r="N43" s="2037" t="str">
        <f>'XM.GUI MAIL'!AK60</f>
        <v>KO SX</v>
      </c>
      <c r="O43" s="2037" t="str">
        <f>'XM.GUI MAIL'!AR60</f>
        <v>KO SX</v>
      </c>
      <c r="P43" s="1190" t="s">
        <v>1149</v>
      </c>
      <c r="Q43" s="1190"/>
    </row>
    <row r="44" spans="1:19" ht="20.25" customHeight="1">
      <c r="A44" s="1188" t="s">
        <v>1145</v>
      </c>
      <c r="B44" s="1189">
        <v>3</v>
      </c>
      <c r="C44" s="1189">
        <v>3</v>
      </c>
      <c r="D44" s="1189">
        <v>2.2000000000000002</v>
      </c>
      <c r="E44" s="1189">
        <v>2.68</v>
      </c>
      <c r="F44" s="1189">
        <v>2.6</v>
      </c>
      <c r="G44" s="2015">
        <v>2.9</v>
      </c>
      <c r="H44" s="2020" t="str">
        <f>'XM.FILE GOC'!E54</f>
        <v>2~2.5</v>
      </c>
      <c r="I44" s="2020" t="str">
        <f>'XM.FILE GOC'!F54</f>
        <v>(2.3±0.1 )</v>
      </c>
      <c r="J44" s="1738">
        <f>B44</f>
        <v>3</v>
      </c>
      <c r="K44" s="1738">
        <f t="shared" ref="K44:O44" si="1">C44</f>
        <v>3</v>
      </c>
      <c r="L44" s="1738">
        <f t="shared" si="1"/>
        <v>2.2000000000000002</v>
      </c>
      <c r="M44" s="1738">
        <f t="shared" si="1"/>
        <v>2.68</v>
      </c>
      <c r="N44" s="1738">
        <f t="shared" si="1"/>
        <v>2.6</v>
      </c>
      <c r="O44" s="1738">
        <f t="shared" si="1"/>
        <v>2.9</v>
      </c>
      <c r="P44" s="1190" t="s">
        <v>1149</v>
      </c>
      <c r="Q44" s="1190"/>
    </row>
    <row r="45" spans="1:19" ht="15.75" customHeight="1">
      <c r="H45" s="101"/>
      <c r="I45" s="101"/>
      <c r="J45" s="101"/>
      <c r="K45" s="101"/>
      <c r="L45" s="1"/>
      <c r="M45" s="1"/>
      <c r="N45" s="1"/>
      <c r="O45" s="1"/>
      <c r="Q45" s="1"/>
    </row>
    <row r="46" spans="1:19" ht="21.75" customHeight="1">
      <c r="A46" s="1090" t="s">
        <v>1503</v>
      </c>
      <c r="B46" s="1081" t="s">
        <v>1458</v>
      </c>
      <c r="C46" s="1082" t="s">
        <v>1459</v>
      </c>
      <c r="D46" s="1082" t="s">
        <v>1460</v>
      </c>
      <c r="E46" s="1082" t="s">
        <v>1461</v>
      </c>
      <c r="F46" s="1082" t="s">
        <v>1462</v>
      </c>
      <c r="G46" s="1081" t="s">
        <v>1463</v>
      </c>
      <c r="H46" s="2024" t="s">
        <v>1504</v>
      </c>
      <c r="I46" s="2024"/>
      <c r="J46" s="1075" t="s">
        <v>1458</v>
      </c>
      <c r="K46" s="1076" t="s">
        <v>1459</v>
      </c>
      <c r="L46" s="1076" t="s">
        <v>1460</v>
      </c>
      <c r="M46" s="1076" t="s">
        <v>1461</v>
      </c>
      <c r="N46" s="1076" t="s">
        <v>1462</v>
      </c>
      <c r="O46" s="1076" t="s">
        <v>1463</v>
      </c>
      <c r="P46" s="1192" t="s">
        <v>1151</v>
      </c>
      <c r="Q46" s="2007"/>
    </row>
    <row r="47" spans="1:19" ht="15.75" customHeight="1">
      <c r="A47" s="2" t="s">
        <v>1036</v>
      </c>
      <c r="B47" s="1083">
        <v>7.35</v>
      </c>
      <c r="C47" s="1083">
        <v>7.5</v>
      </c>
      <c r="D47" s="1083">
        <v>8.0500000000000007</v>
      </c>
      <c r="E47" s="1083">
        <v>7.7</v>
      </c>
      <c r="F47" s="1083">
        <v>7.7</v>
      </c>
      <c r="G47" s="2014">
        <v>7.8</v>
      </c>
      <c r="H47" s="2019" t="str">
        <f>'XM.GUI MAIL'!$E$78</f>
        <v>40~60</v>
      </c>
      <c r="I47" s="2019" t="str">
        <f>'XM.GUI MAIL'!$F$78</f>
        <v>(50±5)</v>
      </c>
      <c r="J47" s="1930">
        <f>'XM.GUI MAIL'!I78</f>
        <v>47.701499999999996</v>
      </c>
      <c r="K47" s="1930">
        <f>'XM.GUI MAIL'!P78</f>
        <v>48.675000000000004</v>
      </c>
      <c r="L47" s="1930">
        <f>'XM.GUI MAIL'!W78</f>
        <v>52.244500000000009</v>
      </c>
      <c r="M47" s="1930">
        <f>'XM.GUI MAIL'!AD78</f>
        <v>49.973000000000006</v>
      </c>
      <c r="N47" s="1930">
        <f>'XM.GUI MAIL'!AK78</f>
        <v>49.973000000000006</v>
      </c>
      <c r="O47" s="1930">
        <f>'XM.GUI MAIL'!AR78</f>
        <v>50.622</v>
      </c>
      <c r="P47" s="1190" t="s">
        <v>1149</v>
      </c>
    </row>
    <row r="48" spans="1:19" ht="15.75" hidden="1" customHeight="1">
      <c r="A48" s="2"/>
      <c r="B48" s="1083"/>
      <c r="C48" s="1083"/>
      <c r="D48" s="1083"/>
      <c r="E48" s="1083"/>
      <c r="F48" s="1083"/>
      <c r="G48" s="2014"/>
      <c r="H48" s="2019" t="s">
        <v>1271</v>
      </c>
      <c r="I48" s="2019"/>
      <c r="J48" s="1882">
        <f>'XM.GUI MAIL'!I79</f>
        <v>0</v>
      </c>
      <c r="K48" s="1882">
        <f>'XM.GUI MAIL'!P79</f>
        <v>0</v>
      </c>
      <c r="L48" s="1882">
        <f>'XM.GUI MAIL'!W79</f>
        <v>0</v>
      </c>
      <c r="M48" s="1882">
        <f>'XM.GUI MAIL'!AD79</f>
        <v>0</v>
      </c>
      <c r="N48" s="1882">
        <f>'XM.GUI MAIL'!AK79</f>
        <v>0</v>
      </c>
      <c r="O48" s="1882">
        <f>'XM.GUI MAIL'!AR79</f>
        <v>0</v>
      </c>
      <c r="P48" s="1190"/>
    </row>
    <row r="49" spans="1:17" ht="15.75" customHeight="1">
      <c r="A49" s="2" t="s">
        <v>1054</v>
      </c>
      <c r="B49" s="1083">
        <v>7.15</v>
      </c>
      <c r="C49" s="1083">
        <v>7.35</v>
      </c>
      <c r="D49" s="1083">
        <v>7.7</v>
      </c>
      <c r="E49" s="1083">
        <v>7.5</v>
      </c>
      <c r="F49" s="1083">
        <v>7.6</v>
      </c>
      <c r="G49" s="2014">
        <v>7.9</v>
      </c>
      <c r="H49" s="2019" t="str">
        <f>'XM.GUI MAIL'!$E$80</f>
        <v>40~60</v>
      </c>
      <c r="I49" s="2019" t="str">
        <f>'XM.GUI MAIL'!$F$80</f>
        <v>(50±5)</v>
      </c>
      <c r="J49" s="1930">
        <f>'XM.GUI MAIL'!I80</f>
        <v>46.403500000000001</v>
      </c>
      <c r="K49" s="1930">
        <f>'XM.GUI MAIL'!P80</f>
        <v>47.701499999999996</v>
      </c>
      <c r="L49" s="1930">
        <f>'XM.GUI MAIL'!W80</f>
        <v>49.973000000000006</v>
      </c>
      <c r="M49" s="1930">
        <f>'XM.GUI MAIL'!AD80</f>
        <v>48.675000000000004</v>
      </c>
      <c r="N49" s="1930">
        <f>'XM.GUI MAIL'!AK80</f>
        <v>49.323999999999998</v>
      </c>
      <c r="O49" s="1930">
        <f>'XM.GUI MAIL'!AR80</f>
        <v>51.271000000000001</v>
      </c>
      <c r="P49" s="1190" t="s">
        <v>1149</v>
      </c>
    </row>
    <row r="50" spans="1:17" ht="15.75" hidden="1" customHeight="1">
      <c r="A50" s="2"/>
      <c r="B50" s="1083"/>
      <c r="C50" s="1083"/>
      <c r="D50" s="1083"/>
      <c r="E50" s="1083"/>
      <c r="F50" s="1083"/>
      <c r="G50" s="2014"/>
      <c r="H50" s="2019" t="s">
        <v>1271</v>
      </c>
      <c r="I50" s="2019"/>
      <c r="J50" s="1882">
        <f>'XM.GUI MAIL'!I81</f>
        <v>0</v>
      </c>
      <c r="K50" s="1882">
        <f>'XM.GUI MAIL'!P81</f>
        <v>0</v>
      </c>
      <c r="L50" s="1882">
        <f>'XM.GUI MAIL'!W81</f>
        <v>0</v>
      </c>
      <c r="M50" s="1882">
        <f>'XM.GUI MAIL'!AD81</f>
        <v>0</v>
      </c>
      <c r="N50" s="1882">
        <f>'XM.GUI MAIL'!AK81</f>
        <v>0</v>
      </c>
      <c r="O50" s="1882">
        <f>'XM.GUI MAIL'!AR81</f>
        <v>0</v>
      </c>
      <c r="P50" s="1190"/>
    </row>
    <row r="51" spans="1:17" ht="15.75" customHeight="1">
      <c r="A51" s="2" t="s">
        <v>1040</v>
      </c>
      <c r="B51" s="1083">
        <v>12.65</v>
      </c>
      <c r="C51" s="1083">
        <v>12.6</v>
      </c>
      <c r="D51" s="1083">
        <v>14</v>
      </c>
      <c r="E51" s="1083">
        <v>13.4</v>
      </c>
      <c r="F51" s="1083">
        <v>13.3</v>
      </c>
      <c r="G51" s="2014">
        <v>13.4</v>
      </c>
      <c r="H51" s="2019" t="str">
        <f>'XM.GUI MAIL'!$E$82</f>
        <v>50~70</v>
      </c>
      <c r="I51" s="2019" t="str">
        <f>'XM.GUI MAIL'!$F$82</f>
        <v>(60±5)</v>
      </c>
      <c r="J51" s="1930">
        <f>'XM.GUI MAIL'!I82</f>
        <v>58.443000000000005</v>
      </c>
      <c r="K51" s="1930">
        <f>'XM.GUI MAIL'!P82</f>
        <v>58.211999999999996</v>
      </c>
      <c r="L51" s="1930">
        <f>'XM.GUI MAIL'!W82</f>
        <v>64.680000000000007</v>
      </c>
      <c r="M51" s="1930">
        <f>'XM.GUI MAIL'!AD82</f>
        <v>61.908000000000001</v>
      </c>
      <c r="N51" s="1930">
        <f>'XM.GUI MAIL'!AK82</f>
        <v>61.446000000000005</v>
      </c>
      <c r="O51" s="1930">
        <f>'XM.GUI MAIL'!AR82</f>
        <v>61.908000000000001</v>
      </c>
      <c r="P51" s="1190" t="s">
        <v>1149</v>
      </c>
    </row>
    <row r="52" spans="1:17" ht="15.75" hidden="1" customHeight="1">
      <c r="A52" s="2"/>
      <c r="B52" s="1083"/>
      <c r="C52" s="1083"/>
      <c r="D52" s="1083"/>
      <c r="E52" s="1083"/>
      <c r="F52" s="1083"/>
      <c r="G52" s="2014"/>
      <c r="H52" s="2019" t="s">
        <v>1272</v>
      </c>
      <c r="I52" s="2019"/>
      <c r="J52" s="1882">
        <f>'XM.GUI MAIL'!I83</f>
        <v>0</v>
      </c>
      <c r="K52" s="1882">
        <f>'XM.GUI MAIL'!P83</f>
        <v>0</v>
      </c>
      <c r="L52" s="1882">
        <f>'XM.GUI MAIL'!W83</f>
        <v>0</v>
      </c>
      <c r="M52" s="1882">
        <f>'XM.GUI MAIL'!AD83</f>
        <v>0</v>
      </c>
      <c r="N52" s="1882">
        <f>'XM.GUI MAIL'!AK83</f>
        <v>0</v>
      </c>
      <c r="O52" s="1882">
        <f>'XM.GUI MAIL'!AR83</f>
        <v>0</v>
      </c>
      <c r="P52" s="1190"/>
    </row>
    <row r="53" spans="1:17" ht="15.75" customHeight="1">
      <c r="A53" s="2" t="s">
        <v>1041</v>
      </c>
      <c r="B53" s="1083">
        <v>13</v>
      </c>
      <c r="C53" s="1083">
        <v>12.9</v>
      </c>
      <c r="D53" s="1083">
        <v>13.2</v>
      </c>
      <c r="E53" s="1083">
        <v>13</v>
      </c>
      <c r="F53" s="1083">
        <v>13</v>
      </c>
      <c r="G53" s="2014">
        <v>13</v>
      </c>
      <c r="H53" s="2019" t="str">
        <f>'XM.GUI MAIL'!$E$84</f>
        <v>50~70</v>
      </c>
      <c r="I53" s="2019" t="str">
        <f>'XM.GUI MAIL'!$F$84</f>
        <v>(60±5)</v>
      </c>
      <c r="J53" s="1930">
        <f>'XM.GUI MAIL'!I84</f>
        <v>60.06</v>
      </c>
      <c r="K53" s="1930">
        <f>'XM.GUI MAIL'!P84</f>
        <v>59.598000000000006</v>
      </c>
      <c r="L53" s="1930">
        <f>'XM.GUI MAIL'!W84</f>
        <v>60.983999999999995</v>
      </c>
      <c r="M53" s="1930">
        <f>'XM.GUI MAIL'!AD84</f>
        <v>60.06</v>
      </c>
      <c r="N53" s="1930">
        <f>'XM.GUI MAIL'!AK84</f>
        <v>60.06</v>
      </c>
      <c r="O53" s="1930">
        <f>'XM.GUI MAIL'!AR84</f>
        <v>60.06</v>
      </c>
      <c r="P53" s="1190" t="s">
        <v>1149</v>
      </c>
    </row>
    <row r="54" spans="1:17" ht="15.75" hidden="1" customHeight="1">
      <c r="A54" s="2"/>
      <c r="B54" s="1083"/>
      <c r="C54" s="1083"/>
      <c r="D54" s="1083"/>
      <c r="E54" s="1083"/>
      <c r="F54" s="1083"/>
      <c r="G54" s="2014"/>
      <c r="H54" s="2019" t="s">
        <v>1272</v>
      </c>
      <c r="I54" s="2019"/>
      <c r="J54" s="1882">
        <f>'XM.GUI MAIL'!I85</f>
        <v>0</v>
      </c>
      <c r="K54" s="1882">
        <f>'XM.GUI MAIL'!P85</f>
        <v>0</v>
      </c>
      <c r="L54" s="1882">
        <f>'XM.GUI MAIL'!W85</f>
        <v>0</v>
      </c>
      <c r="M54" s="1882">
        <f>'XM.GUI MAIL'!AD85</f>
        <v>0</v>
      </c>
      <c r="N54" s="1882">
        <f>'XM.GUI MAIL'!AK85</f>
        <v>0</v>
      </c>
      <c r="O54" s="1882">
        <f>'XM.GUI MAIL'!AR85</f>
        <v>0</v>
      </c>
      <c r="P54" s="1190"/>
    </row>
    <row r="55" spans="1:17" ht="15.75" customHeight="1">
      <c r="A55" s="2" t="s">
        <v>0</v>
      </c>
      <c r="B55" s="1083">
        <v>17.25</v>
      </c>
      <c r="C55" s="1083">
        <v>17.5</v>
      </c>
      <c r="D55" s="1083">
        <v>17.2</v>
      </c>
      <c r="E55" s="1083">
        <v>17.5</v>
      </c>
      <c r="F55" s="1083">
        <v>17.5</v>
      </c>
      <c r="G55" s="2014">
        <v>17.399999999999999</v>
      </c>
      <c r="H55" s="2021" t="str">
        <f>'XM.GUI MAIL'!$E$86</f>
        <v>135~ 145</v>
      </c>
      <c r="I55" s="2021" t="str">
        <f>'XM.GUI MAIL'!$F$86</f>
        <v>(140±5)</v>
      </c>
      <c r="J55" s="1752">
        <f>'XM.GUI MAIL'!I86</f>
        <v>138</v>
      </c>
      <c r="K55" s="1752">
        <f>'XM.GUI MAIL'!P86</f>
        <v>140</v>
      </c>
      <c r="L55" s="1752">
        <f>'XM.GUI MAIL'!W86</f>
        <v>137.6</v>
      </c>
      <c r="M55" s="1752">
        <f>'XM.GUI MAIL'!AD86</f>
        <v>140</v>
      </c>
      <c r="N55" s="1752">
        <f>'XM.GUI MAIL'!AK86</f>
        <v>140</v>
      </c>
      <c r="O55" s="1752">
        <f>'XM.GUI MAIL'!AR86</f>
        <v>139.19999999999999</v>
      </c>
      <c r="P55" s="1190" t="s">
        <v>1149</v>
      </c>
    </row>
    <row r="56" spans="1:17" ht="15.75" customHeight="1" thickBot="1">
      <c r="A56" s="2095" t="s">
        <v>1058</v>
      </c>
      <c r="B56" s="2096">
        <v>6.5</v>
      </c>
      <c r="C56" s="2096">
        <v>6.5</v>
      </c>
      <c r="D56" s="2096">
        <v>6.45</v>
      </c>
      <c r="E56" s="2096">
        <v>6.55</v>
      </c>
      <c r="F56" s="2096">
        <v>6.5</v>
      </c>
      <c r="G56" s="2097">
        <v>6.4</v>
      </c>
      <c r="H56" s="2109" t="str">
        <f>'XM.GUI MAIL'!$E$87</f>
        <v>7~10</v>
      </c>
      <c r="I56" s="2109" t="str">
        <f>'XM.GUI MAIL'!$F$87</f>
        <v>(8.5±1)</v>
      </c>
      <c r="J56" s="1738">
        <f>'XM.GUI MAIL'!I87</f>
        <v>8.4500000000000011</v>
      </c>
      <c r="K56" s="1738">
        <f>'XM.GUI MAIL'!P87</f>
        <v>8.4500000000000011</v>
      </c>
      <c r="L56" s="1738">
        <f>'XM.GUI MAIL'!W87</f>
        <v>8.3849999999999998</v>
      </c>
      <c r="M56" s="1738">
        <f>'XM.GUI MAIL'!AD87</f>
        <v>8.5150000000000006</v>
      </c>
      <c r="N56" s="1738">
        <f>'XM.GUI MAIL'!AK87</f>
        <v>8.4500000000000011</v>
      </c>
      <c r="O56" s="1738">
        <f>'XM.GUI MAIL'!AR87</f>
        <v>8.32</v>
      </c>
      <c r="P56" s="1190" t="s">
        <v>1149</v>
      </c>
    </row>
    <row r="57" spans="1:17" ht="17.25" customHeight="1" thickBot="1">
      <c r="A57" s="2103" t="s">
        <v>1143</v>
      </c>
      <c r="B57" s="2104">
        <v>17.8</v>
      </c>
      <c r="C57" s="2104">
        <v>17.75</v>
      </c>
      <c r="D57" s="2104">
        <v>17</v>
      </c>
      <c r="E57" s="2104">
        <v>17.3</v>
      </c>
      <c r="F57" s="2104">
        <v>17.2</v>
      </c>
      <c r="G57" s="2105">
        <v>17.399999999999999</v>
      </c>
      <c r="H57" s="2111" t="str">
        <f>'XM.GUI MAIL'!$E$88</f>
        <v>5~8</v>
      </c>
      <c r="I57" s="2158" t="str">
        <f>'XM.GUI MAIL'!$F$88</f>
        <v>(6±1)</v>
      </c>
      <c r="J57" s="1738">
        <f>'XM.GUI MAIL'!I88</f>
        <v>6.4957600000000006</v>
      </c>
      <c r="K57" s="1738">
        <f>'XM.GUI MAIL'!P88</f>
        <v>6.4745750000000006</v>
      </c>
      <c r="L57" s="1738">
        <f>'XM.GUI MAIL'!W88</f>
        <v>6.1568000000000005</v>
      </c>
      <c r="M57" s="1738">
        <f>'XM.GUI MAIL'!AD88</f>
        <v>6.2839100000000006</v>
      </c>
      <c r="N57" s="1738">
        <f>'XM.GUI MAIL'!AK88</f>
        <v>6.2415399999999996</v>
      </c>
      <c r="O57" s="1738">
        <f>'XM.GUI MAIL'!AR88</f>
        <v>6.3262799999999997</v>
      </c>
      <c r="P57" s="1190" t="s">
        <v>1149</v>
      </c>
      <c r="Q57" s="2005"/>
    </row>
    <row r="58" spans="1:17" ht="15.75" hidden="1" customHeight="1">
      <c r="A58" s="2099"/>
      <c r="B58" s="2100"/>
      <c r="C58" s="2100"/>
      <c r="D58" s="2100"/>
      <c r="E58" s="2100"/>
      <c r="F58" s="2100"/>
      <c r="G58" s="2101"/>
      <c r="H58" s="2110" t="str">
        <f>'XM.GUI MAIL'!$E$89</f>
        <v>2.0~2.4</v>
      </c>
      <c r="I58" s="2110" t="str">
        <f>'XM.GUI MAIL'!$F$89</f>
        <v>(2.2±0.1)</v>
      </c>
      <c r="J58" s="1738">
        <f>'XM.GUI MAIL'!I89</f>
        <v>2.2000000000000002</v>
      </c>
      <c r="K58" s="1738">
        <f>'XM.GUI MAIL'!P89</f>
        <v>2.1800000000000002</v>
      </c>
      <c r="L58" s="1738">
        <f>'XM.GUI MAIL'!W89</f>
        <v>2.2000000000000002</v>
      </c>
      <c r="M58" s="1738">
        <f>'XM.GUI MAIL'!AD89</f>
        <v>2.1800000000000002</v>
      </c>
      <c r="N58" s="1738">
        <f>'XM.GUI MAIL'!AK89</f>
        <v>2.15</v>
      </c>
      <c r="O58" s="1738">
        <f>'XM.GUI MAIL'!AR89</f>
        <v>2.1800000000000002</v>
      </c>
      <c r="P58" s="1190"/>
      <c r="Q58" s="2005"/>
    </row>
    <row r="59" spans="1:17" ht="15.75" customHeight="1">
      <c r="A59" s="2" t="s">
        <v>1622</v>
      </c>
      <c r="B59" s="2692">
        <v>1.8</v>
      </c>
      <c r="C59" s="2692">
        <v>1.78</v>
      </c>
      <c r="D59" s="2692">
        <v>1.8</v>
      </c>
      <c r="E59" s="2692">
        <v>1.8</v>
      </c>
      <c r="F59" s="2692">
        <v>1.88</v>
      </c>
      <c r="G59" s="2692">
        <v>1.86</v>
      </c>
      <c r="H59" s="2025" t="str">
        <f>'XM.GUI MAIL'!E90</f>
        <v>40~50</v>
      </c>
      <c r="I59" s="2025" t="str">
        <f>'XM.GUI MAIL'!F90</f>
        <v>(45±5)</v>
      </c>
      <c r="J59" s="1754">
        <f>'XM.GUI MAIL'!I90</f>
        <v>0.41062500000000002</v>
      </c>
      <c r="K59" s="1754">
        <f>'XM.GUI MAIL'!P90</f>
        <v>0.40606249999999994</v>
      </c>
      <c r="L59" s="1754">
        <f>'XM.GUI MAIL'!W90</f>
        <v>0.41062500000000002</v>
      </c>
      <c r="M59" s="1754">
        <f>'XM.GUI MAIL'!AD90</f>
        <v>0.41062500000000002</v>
      </c>
      <c r="N59" s="1754">
        <f>'XM.GUI MAIL'!AK90</f>
        <v>0.42887499999999995</v>
      </c>
      <c r="O59" s="1754">
        <f>'XM.GUI MAIL'!AR90</f>
        <v>0.42431249999999998</v>
      </c>
      <c r="P59" s="1190"/>
      <c r="Q59" s="2005"/>
    </row>
    <row r="60" spans="1:17" ht="15.75" hidden="1" customHeight="1">
      <c r="A60" s="2" t="s">
        <v>1574</v>
      </c>
      <c r="B60" s="2692"/>
      <c r="C60" s="1083"/>
      <c r="D60" s="1083"/>
      <c r="E60" s="1083"/>
      <c r="F60" s="1083"/>
      <c r="G60" s="1083"/>
      <c r="H60" s="2025" t="str">
        <f>'XM.GUI MAIL'!E91</f>
        <v>15~25</v>
      </c>
      <c r="I60" s="2025" t="str">
        <f>'XM.GUI MAIL'!F91</f>
        <v>(18±2)</v>
      </c>
      <c r="J60" s="1743">
        <f>'XM.GUI MAIL'!I91</f>
        <v>0</v>
      </c>
      <c r="K60" s="1743">
        <f>'XM.GUI MAIL'!P91</f>
        <v>0</v>
      </c>
      <c r="L60" s="1743">
        <f>'XM.GUI MAIL'!W91</f>
        <v>0</v>
      </c>
      <c r="M60" s="1743">
        <f>'XM.GUI MAIL'!AD91</f>
        <v>0</v>
      </c>
      <c r="N60" s="1743">
        <f>'XM.GUI MAIL'!AK91</f>
        <v>0</v>
      </c>
      <c r="O60" s="1743">
        <f>'XM.GUI MAIL'!AR91</f>
        <v>0</v>
      </c>
      <c r="P60" s="1190"/>
    </row>
    <row r="61" spans="1:17" ht="15.75" customHeight="1">
      <c r="A61" s="2" t="s">
        <v>1575</v>
      </c>
      <c r="B61" s="2692">
        <v>2.02</v>
      </c>
      <c r="C61" s="1083">
        <v>2</v>
      </c>
      <c r="D61" s="1083">
        <v>2.06</v>
      </c>
      <c r="E61" s="1083">
        <v>2.06</v>
      </c>
      <c r="F61" s="1083">
        <v>2.04</v>
      </c>
      <c r="G61" s="1083">
        <v>2.02</v>
      </c>
      <c r="H61" s="2025" t="str">
        <f>'XM.GUI MAIL'!E92</f>
        <v>40~50</v>
      </c>
      <c r="I61" s="2025" t="str">
        <f>'XM.GUI MAIL'!F92</f>
        <v>(45±5)</v>
      </c>
      <c r="J61" s="1754">
        <f>'XM.GUI MAIL'!I92</f>
        <v>0.46081249999999996</v>
      </c>
      <c r="K61" s="1754">
        <f>'XM.GUI MAIL'!P92</f>
        <v>0.45624999999999999</v>
      </c>
      <c r="L61" s="1754">
        <f>'XM.GUI MAIL'!W92</f>
        <v>0.46993750000000001</v>
      </c>
      <c r="M61" s="1754">
        <f>'XM.GUI MAIL'!AD92</f>
        <v>0.46993750000000001</v>
      </c>
      <c r="N61" s="1754">
        <f>'XM.GUI MAIL'!AK92</f>
        <v>0.46537500000000004</v>
      </c>
      <c r="O61" s="1754">
        <f>'XM.GUI MAIL'!AR92</f>
        <v>0.46081249999999996</v>
      </c>
      <c r="P61" s="1190"/>
    </row>
    <row r="62" spans="1:17" ht="15.75" customHeight="1">
      <c r="A62" s="2" t="s">
        <v>1576</v>
      </c>
      <c r="B62" s="2692">
        <v>2.06</v>
      </c>
      <c r="C62" s="1083">
        <v>2.06</v>
      </c>
      <c r="D62" s="1083">
        <v>2.1</v>
      </c>
      <c r="E62" s="1083">
        <v>2.1</v>
      </c>
      <c r="F62" s="1083">
        <v>2.1</v>
      </c>
      <c r="G62" s="1083">
        <v>2.06</v>
      </c>
      <c r="H62" s="2025" t="str">
        <f>'XM.GUI MAIL'!E93</f>
        <v>40~50</v>
      </c>
      <c r="I62" s="2025" t="str">
        <f>'XM.GUI MAIL'!F93</f>
        <v>(45±5)</v>
      </c>
      <c r="J62" s="1754">
        <f>'XM.GUI MAIL'!I93</f>
        <v>0.46993750000000001</v>
      </c>
      <c r="K62" s="1754">
        <f>'XM.GUI MAIL'!P93</f>
        <v>0.46993750000000001</v>
      </c>
      <c r="L62" s="1754">
        <f>'XM.GUI MAIL'!W93</f>
        <v>0.47906250000000006</v>
      </c>
      <c r="M62" s="1754">
        <f>'XM.GUI MAIL'!AD93</f>
        <v>0.47906250000000006</v>
      </c>
      <c r="N62" s="1754">
        <f>'XM.GUI MAIL'!AK93</f>
        <v>0.47906250000000006</v>
      </c>
      <c r="O62" s="1754">
        <f>'XM.GUI MAIL'!AR93</f>
        <v>0.46993750000000001</v>
      </c>
      <c r="P62" s="1190"/>
    </row>
    <row r="63" spans="1:17" ht="15.75" customHeight="1">
      <c r="A63" s="1058" t="s">
        <v>1059</v>
      </c>
      <c r="B63" s="1083">
        <v>5.3</v>
      </c>
      <c r="C63" s="1083">
        <v>5.2</v>
      </c>
      <c r="D63" s="1083">
        <v>6.1</v>
      </c>
      <c r="E63" s="1083">
        <v>6.2</v>
      </c>
      <c r="F63" s="1083">
        <v>6.4</v>
      </c>
      <c r="G63" s="1083">
        <v>6.4</v>
      </c>
      <c r="H63" s="2025" t="str">
        <f>'XM.GUI MAIL'!$E$94</f>
        <v>(1±0.4)=0.6~1.4</v>
      </c>
      <c r="I63" s="2025" t="str">
        <f>'XM.GUI MAIL'!$F$94</f>
        <v>(1±0.4)</v>
      </c>
      <c r="J63" s="1774">
        <f>'XM.GUI MAIL'!I94</f>
        <v>6.6779999999999999E-3</v>
      </c>
      <c r="K63" s="1774">
        <f>'XM.GUI MAIL'!P94</f>
        <v>6.5519999999999997E-3</v>
      </c>
      <c r="L63" s="1774">
        <f>'XM.GUI MAIL'!W94</f>
        <v>7.6859999999999993E-3</v>
      </c>
      <c r="M63" s="1774">
        <f>'XM.GUI MAIL'!AD94</f>
        <v>7.8120000000000004E-3</v>
      </c>
      <c r="N63" s="1774">
        <f>'XM.GUI MAIL'!AK94</f>
        <v>8.064E-3</v>
      </c>
      <c r="O63" s="1774">
        <f>'XM.GUI MAIL'!AR94</f>
        <v>8.064E-3</v>
      </c>
      <c r="P63" s="1190"/>
    </row>
    <row r="64" spans="1:17" ht="18" customHeight="1">
      <c r="A64" s="1094" t="s">
        <v>1052</v>
      </c>
      <c r="B64" s="1187">
        <v>5.45</v>
      </c>
      <c r="C64" s="1187">
        <v>5.4</v>
      </c>
      <c r="D64" s="1187">
        <v>5.4</v>
      </c>
      <c r="E64" s="1187">
        <v>5.45</v>
      </c>
      <c r="F64" s="1187">
        <v>5.45</v>
      </c>
      <c r="G64" s="1187">
        <v>5.4</v>
      </c>
      <c r="H64" s="2019" t="str">
        <f>'XM.GUI MAIL'!$E$95</f>
        <v>5~8</v>
      </c>
      <c r="I64" s="2019" t="str">
        <f>'XM.GUI MAIL'!$F$95</f>
        <v>(6±0.5)</v>
      </c>
      <c r="J64" s="2036">
        <f>'XM.GUI MAIL'!I95</f>
        <v>5.76</v>
      </c>
      <c r="K64" s="2036">
        <f>'XM.GUI MAIL'!P95</f>
        <v>5.7200000000000006</v>
      </c>
      <c r="L64" s="2036">
        <f>'XM.GUI MAIL'!W95</f>
        <v>5.7200000000000006</v>
      </c>
      <c r="M64" s="2036">
        <f>'XM.GUI MAIL'!AD95</f>
        <v>5.76</v>
      </c>
      <c r="N64" s="2036">
        <f>'XM.GUI MAIL'!AK95</f>
        <v>5.76</v>
      </c>
      <c r="O64" s="2036">
        <f>'XM.GUI MAIL'!AR95</f>
        <v>5.7200000000000006</v>
      </c>
      <c r="P64" s="1190" t="s">
        <v>1149</v>
      </c>
    </row>
    <row r="65" spans="1:16" ht="18" customHeight="1">
      <c r="A65" s="1094" t="s">
        <v>1053</v>
      </c>
      <c r="B65" s="1187">
        <v>2.2000000000000002</v>
      </c>
      <c r="C65" s="1187">
        <v>2.1800000000000002</v>
      </c>
      <c r="D65" s="1187">
        <v>2.12</v>
      </c>
      <c r="E65" s="1187">
        <v>2</v>
      </c>
      <c r="F65" s="1187">
        <v>2.0299999999999998</v>
      </c>
      <c r="G65" s="2016">
        <v>2.02</v>
      </c>
      <c r="H65" s="2019" t="str">
        <f>'XM.GUI MAIL'!$E$96</f>
        <v>1.8~2.4</v>
      </c>
      <c r="I65" s="2019" t="str">
        <f>'XM.GUI MAIL'!$F$96</f>
        <v>(2.1±0.1)</v>
      </c>
      <c r="J65" s="2037">
        <f>'XM.GUI MAIL'!I96</f>
        <v>2.2000000000000002</v>
      </c>
      <c r="K65" s="2037">
        <f>'XM.GUI MAIL'!P96</f>
        <v>2.1800000000000002</v>
      </c>
      <c r="L65" s="2037">
        <f>'XM.GUI MAIL'!W96</f>
        <v>2.12</v>
      </c>
      <c r="M65" s="2037">
        <f>'XM.GUI MAIL'!AD96</f>
        <v>2</v>
      </c>
      <c r="N65" s="2037">
        <f>'XM.GUI MAIL'!AK96</f>
        <v>2.0299999999999998</v>
      </c>
      <c r="O65" s="2037">
        <f>'XM.GUI MAIL'!AR96</f>
        <v>2.02</v>
      </c>
      <c r="P65" s="1190" t="s">
        <v>1149</v>
      </c>
    </row>
    <row r="66" spans="1:16" ht="18" customHeight="1">
      <c r="A66" s="1188" t="s">
        <v>1144</v>
      </c>
      <c r="B66" s="1189">
        <v>2.2000000000000002</v>
      </c>
      <c r="C66" s="1189">
        <v>2.1800000000000002</v>
      </c>
      <c r="D66" s="1189">
        <v>2.2000000000000002</v>
      </c>
      <c r="E66" s="1189">
        <v>2.1800000000000002</v>
      </c>
      <c r="F66" s="1189">
        <v>2.15</v>
      </c>
      <c r="G66" s="2015">
        <v>2.1800000000000002</v>
      </c>
      <c r="H66" s="2023" t="str">
        <f>'XM.FILE GOC'!E89</f>
        <v>2.0~2.4</v>
      </c>
      <c r="I66" s="2023" t="str">
        <f>'XM.FILE GOC'!F89</f>
        <v>(2.2±0.1)</v>
      </c>
      <c r="J66" s="1738">
        <f>B66</f>
        <v>2.2000000000000002</v>
      </c>
      <c r="K66" s="1738">
        <f t="shared" ref="K66:O66" si="2">C66</f>
        <v>2.1800000000000002</v>
      </c>
      <c r="L66" s="1738">
        <f t="shared" si="2"/>
        <v>2.2000000000000002</v>
      </c>
      <c r="M66" s="1738">
        <f t="shared" si="2"/>
        <v>2.1800000000000002</v>
      </c>
      <c r="N66" s="1738">
        <f t="shared" si="2"/>
        <v>2.15</v>
      </c>
      <c r="O66" s="1738">
        <f t="shared" si="2"/>
        <v>2.1800000000000002</v>
      </c>
      <c r="P66" s="1190" t="s">
        <v>1149</v>
      </c>
    </row>
    <row r="67" spans="1:16" ht="18" hidden="1" customHeight="1">
      <c r="A67" s="1185" t="s">
        <v>1142</v>
      </c>
      <c r="B67" s="1186"/>
      <c r="C67" s="1186"/>
      <c r="D67" s="1186"/>
      <c r="E67" s="1186"/>
      <c r="F67" s="1186"/>
      <c r="G67" s="2017"/>
      <c r="H67" s="2023"/>
      <c r="I67" s="2023"/>
      <c r="P67" s="1191" t="s">
        <v>1148</v>
      </c>
    </row>
    <row r="68" spans="1:16" ht="18" hidden="1" customHeight="1">
      <c r="A68" s="1185" t="s">
        <v>1141</v>
      </c>
      <c r="B68" s="1186"/>
      <c r="C68" s="1186"/>
      <c r="D68" s="1186"/>
      <c r="E68" s="1186"/>
      <c r="F68" s="1186"/>
      <c r="G68" s="2017"/>
      <c r="H68" s="2023" t="str">
        <f>'XM.FILE GOC'!E98</f>
        <v>1.8~2.4</v>
      </c>
      <c r="I68" s="2023" t="str">
        <f>'XM.FILE GOC'!F98</f>
        <v>(2.0 ±0.2 )</v>
      </c>
      <c r="P68" s="1191" t="s">
        <v>1148</v>
      </c>
    </row>
    <row r="69" spans="1:16" ht="15.75" customHeight="1">
      <c r="H69" s="101"/>
      <c r="I69" s="101"/>
    </row>
    <row r="70" spans="1:16" ht="16.5" customHeight="1">
      <c r="A70" s="1091" t="s">
        <v>1060</v>
      </c>
      <c r="B70" s="1081" t="s">
        <v>1458</v>
      </c>
      <c r="C70" s="1082" t="s">
        <v>1459</v>
      </c>
      <c r="D70" s="1082" t="s">
        <v>1460</v>
      </c>
      <c r="E70" s="1082" t="s">
        <v>1461</v>
      </c>
      <c r="F70" s="1082" t="s">
        <v>1462</v>
      </c>
      <c r="G70" s="1081" t="s">
        <v>1463</v>
      </c>
      <c r="H70" s="2022" t="s">
        <v>1504</v>
      </c>
      <c r="I70" s="2023"/>
      <c r="J70" s="1081" t="s">
        <v>1458</v>
      </c>
      <c r="K70" s="1082" t="s">
        <v>1459</v>
      </c>
      <c r="L70" s="1082" t="s">
        <v>1460</v>
      </c>
      <c r="M70" s="1082" t="s">
        <v>1461</v>
      </c>
      <c r="N70" s="1082" t="s">
        <v>1462</v>
      </c>
      <c r="O70" s="1081" t="s">
        <v>1463</v>
      </c>
      <c r="P70" s="1192" t="s">
        <v>1151</v>
      </c>
    </row>
    <row r="71" spans="1:16" ht="15.75" customHeight="1">
      <c r="A71" s="209" t="s">
        <v>118</v>
      </c>
      <c r="B71" s="1092">
        <v>4.55</v>
      </c>
      <c r="C71" s="1092">
        <v>4.55</v>
      </c>
      <c r="D71" s="1092">
        <v>4.5999999999999996</v>
      </c>
      <c r="E71" s="1092">
        <v>4.4000000000000004</v>
      </c>
      <c r="F71" s="1092">
        <v>4.4000000000000004</v>
      </c>
      <c r="G71" s="1092">
        <v>4.3</v>
      </c>
      <c r="H71" s="898" t="str">
        <f>'XM.GUI MAIL'!$E$99</f>
        <v>5~6</v>
      </c>
      <c r="I71" s="2070" t="str">
        <f>'XM.GUI MAIL'!$F$99</f>
        <v>(5.5± 0.5)</v>
      </c>
      <c r="J71" s="1733">
        <f>'XM.GUI MAIL'!I126</f>
        <v>5.915</v>
      </c>
      <c r="K71" s="1733">
        <f>'XM.GUI MAIL'!P126</f>
        <v>5.915</v>
      </c>
      <c r="L71" s="1733">
        <f>'XM.GUI MAIL'!W126</f>
        <v>5.9799999999999995</v>
      </c>
      <c r="M71" s="1733">
        <f>'XM.GUI MAIL'!AD126</f>
        <v>5.7200000000000006</v>
      </c>
      <c r="N71" s="1733">
        <f>'XM.GUI MAIL'!AK126</f>
        <v>5.7200000000000006</v>
      </c>
      <c r="O71" s="1733">
        <f>'XM.GUI MAIL'!AR126</f>
        <v>5.59</v>
      </c>
      <c r="P71" s="1190" t="s">
        <v>1149</v>
      </c>
    </row>
    <row r="72" spans="1:16" ht="15.75" customHeight="1">
      <c r="A72" s="209" t="s">
        <v>119</v>
      </c>
      <c r="B72" s="1092">
        <v>17</v>
      </c>
      <c r="C72" s="1092">
        <v>16.7</v>
      </c>
      <c r="D72" s="1092">
        <v>16.600000000000001</v>
      </c>
      <c r="E72" s="1092">
        <v>16.899999999999999</v>
      </c>
      <c r="F72" s="1092">
        <v>16.8</v>
      </c>
      <c r="G72" s="1092">
        <v>16.600000000000001</v>
      </c>
      <c r="H72" s="898" t="str">
        <f>'XM.GUI MAIL'!$E$100</f>
        <v>130~140</v>
      </c>
      <c r="I72" s="898" t="str">
        <f>'XM.GUI MAIL'!$F$100</f>
        <v>(135 ± 5)</v>
      </c>
      <c r="J72" s="1782">
        <f>'XM.GUI MAIL'!I127</f>
        <v>136</v>
      </c>
      <c r="K72" s="1782">
        <f>'XM.GUI MAIL'!P127</f>
        <v>133.6</v>
      </c>
      <c r="L72" s="1782">
        <f>'XM.GUI MAIL'!W127</f>
        <v>132.80000000000001</v>
      </c>
      <c r="M72" s="1782">
        <f>'XM.GUI MAIL'!AD127</f>
        <v>135.19999999999999</v>
      </c>
      <c r="N72" s="1782">
        <f>'XM.GUI MAIL'!AK127</f>
        <v>134.4</v>
      </c>
      <c r="O72" s="1782">
        <f>'XM.GUI MAIL'!AR127</f>
        <v>132.80000000000001</v>
      </c>
      <c r="P72" s="1190" t="s">
        <v>1149</v>
      </c>
    </row>
    <row r="73" spans="1:16" ht="15.75" customHeight="1">
      <c r="A73" s="1093" t="s">
        <v>1024</v>
      </c>
      <c r="B73" s="1092">
        <v>3.64</v>
      </c>
      <c r="C73" s="1092">
        <v>3.58</v>
      </c>
      <c r="D73" s="1092">
        <v>3.65</v>
      </c>
      <c r="E73" s="1092">
        <v>3.61</v>
      </c>
      <c r="F73" s="1092">
        <v>3.66</v>
      </c>
      <c r="G73" s="1092">
        <v>3.66</v>
      </c>
      <c r="H73" s="2023" t="str">
        <f>'XM.FILE GOC'!E101</f>
        <v>3.0-4.5</v>
      </c>
      <c r="I73" s="2023" t="str">
        <f>'XM.FILE GOC'!F101</f>
        <v>(4.3±0.2)</v>
      </c>
      <c r="J73" s="1733">
        <f>'XM.GUI MAIL'!I128</f>
        <v>3.64</v>
      </c>
      <c r="K73" s="1733">
        <f>'XM.GUI MAIL'!P128</f>
        <v>3.58</v>
      </c>
      <c r="L73" s="1733">
        <f>'XM.GUI MAIL'!W128</f>
        <v>3.65</v>
      </c>
      <c r="M73" s="1733">
        <f>'XM.GUI MAIL'!AD128</f>
        <v>3.61</v>
      </c>
      <c r="N73" s="1733">
        <f>'XM.GUI MAIL'!AK128</f>
        <v>3.66</v>
      </c>
      <c r="O73" s="1733">
        <f>'XM.GUI MAIL'!AR128</f>
        <v>3.66</v>
      </c>
      <c r="P73" s="1191" t="s">
        <v>1150</v>
      </c>
    </row>
    <row r="74" spans="1:16" ht="15.75" customHeight="1">
      <c r="A74" s="2799" t="s">
        <v>1661</v>
      </c>
      <c r="B74" s="1092">
        <v>5</v>
      </c>
      <c r="C74" s="1092"/>
      <c r="D74" s="1092"/>
      <c r="E74" s="1092">
        <v>5</v>
      </c>
      <c r="F74" s="1092"/>
      <c r="G74" s="1092"/>
      <c r="H74" s="2798"/>
      <c r="I74" s="2798"/>
      <c r="J74" s="1733">
        <f>'XM.GUI MAIL'!I129</f>
        <v>87.5</v>
      </c>
      <c r="K74" s="1733">
        <f>'XM.GUI MAIL'!P129</f>
        <v>0</v>
      </c>
      <c r="L74" s="1733">
        <f>'XM.GUI MAIL'!W129</f>
        <v>0</v>
      </c>
      <c r="M74" s="1733">
        <f>'XM.GUI MAIL'!AD129</f>
        <v>87.5</v>
      </c>
      <c r="N74" s="1733">
        <f>'XM.GUI MAIL'!AK129</f>
        <v>0</v>
      </c>
      <c r="O74" s="1733">
        <f>'XM.GUI MAIL'!AR129</f>
        <v>0</v>
      </c>
      <c r="P74" s="1191"/>
    </row>
    <row r="76" spans="1:16" ht="15.75" customHeight="1">
      <c r="A76" s="1091" t="s">
        <v>1254</v>
      </c>
      <c r="B76" s="1082" t="s">
        <v>1458</v>
      </c>
    </row>
    <row r="77" spans="1:16" ht="17.25" customHeight="1">
      <c r="A77" s="2" t="s">
        <v>1255</v>
      </c>
      <c r="B77" s="1083"/>
      <c r="E77" s="1310">
        <f>B77*10.6</f>
        <v>0</v>
      </c>
    </row>
    <row r="78" spans="1:16" ht="17.25" customHeight="1">
      <c r="A78" s="2" t="s">
        <v>1256</v>
      </c>
      <c r="B78" s="1083"/>
      <c r="E78" s="1310">
        <f>B78*10.8</f>
        <v>0</v>
      </c>
    </row>
    <row r="79" spans="1:16" ht="17.25" customHeight="1">
      <c r="A79" s="2" t="s">
        <v>1257</v>
      </c>
      <c r="B79" s="1083"/>
      <c r="E79" s="1310">
        <f>B79*10.8</f>
        <v>0</v>
      </c>
    </row>
    <row r="81" spans="1:6" ht="21" customHeight="1">
      <c r="A81" s="1312" t="str">
        <f>MENU!AD9</f>
        <v>2024/05/22</v>
      </c>
      <c r="B81" s="1312"/>
      <c r="C81" s="1312"/>
      <c r="D81" s="1312"/>
      <c r="E81" s="1312"/>
    </row>
    <row r="82" spans="1:6" ht="21" customHeight="1">
      <c r="A82" s="1311" t="s">
        <v>1206</v>
      </c>
      <c r="B82" s="1311" t="s">
        <v>1207</v>
      </c>
      <c r="C82" s="1311" t="s">
        <v>1238</v>
      </c>
      <c r="D82" s="1311" t="s">
        <v>1208</v>
      </c>
      <c r="E82" s="1311" t="s">
        <v>1209</v>
      </c>
    </row>
    <row r="83" spans="1:6" ht="21" customHeight="1">
      <c r="A83" s="1313" t="s">
        <v>1263</v>
      </c>
      <c r="B83" s="1313" t="s">
        <v>1264</v>
      </c>
      <c r="C83" s="1313" t="s">
        <v>1265</v>
      </c>
      <c r="D83" s="1313" t="s">
        <v>1266</v>
      </c>
      <c r="E83" s="1313">
        <f>E77</f>
        <v>0</v>
      </c>
      <c r="F83" s="101" t="s">
        <v>1258</v>
      </c>
    </row>
    <row r="84" spans="1:6" ht="21" customHeight="1">
      <c r="A84" s="1313" t="s">
        <v>1261</v>
      </c>
      <c r="B84" s="1313" t="s">
        <v>1264</v>
      </c>
      <c r="C84" s="1313" t="s">
        <v>1265</v>
      </c>
      <c r="D84" s="1313" t="s">
        <v>1266</v>
      </c>
      <c r="E84" s="1313">
        <f t="shared" ref="E84:E85" si="3">E78</f>
        <v>0</v>
      </c>
      <c r="F84" s="101" t="s">
        <v>1259</v>
      </c>
    </row>
    <row r="85" spans="1:6" ht="21" customHeight="1">
      <c r="A85" s="1313" t="s">
        <v>1262</v>
      </c>
      <c r="B85" s="1313" t="s">
        <v>1264</v>
      </c>
      <c r="C85" s="1313" t="s">
        <v>1265</v>
      </c>
      <c r="D85" s="1313" t="s">
        <v>1266</v>
      </c>
      <c r="E85" s="1313">
        <f t="shared" si="3"/>
        <v>0</v>
      </c>
      <c r="F85" s="101" t="s">
        <v>1259</v>
      </c>
    </row>
  </sheetData>
  <sheetProtection sheet="1" objects="1" scenarios="1" formatCells="0" formatColumns="0" formatRows="0" insertColumns="0" insertRows="0" insertHyperlinks="0" deleteColumns="0" deleteRows="0" selectLockedCells="1" sort="0" autoFilter="0" pivotTables="0"/>
  <mergeCells count="2">
    <mergeCell ref="R2:T2"/>
    <mergeCell ref="R28:T30"/>
  </mergeCells>
  <phoneticPr fontId="7" type="noConversion"/>
  <conditionalFormatting sqref="J72">
    <cfRule type="expression" dxfId="3912" priority="641" stopIfTrue="1">
      <formula>J72&gt;130</formula>
    </cfRule>
    <cfRule type="expression" dxfId="3911" priority="642" stopIfTrue="1">
      <formula>J72&lt;120</formula>
    </cfRule>
  </conditionalFormatting>
  <conditionalFormatting sqref="J71">
    <cfRule type="expression" dxfId="3910" priority="639">
      <formula>J71&lt;5</formula>
    </cfRule>
    <cfRule type="expression" dxfId="3909" priority="640">
      <formula>J71&gt;6</formula>
    </cfRule>
  </conditionalFormatting>
  <conditionalFormatting sqref="J73:J74">
    <cfRule type="cellIs" dxfId="3908" priority="636" operator="between">
      <formula>3</formula>
      <formula>4.099</formula>
    </cfRule>
    <cfRule type="expression" dxfId="3907" priority="637">
      <formula>J73&lt;3</formula>
    </cfRule>
    <cfRule type="expression" dxfId="3906" priority="638">
      <formula>J73&gt;4.5</formula>
    </cfRule>
  </conditionalFormatting>
  <conditionalFormatting sqref="J72">
    <cfRule type="expression" dxfId="3905" priority="634" stopIfTrue="1">
      <formula>J72&gt;130</formula>
    </cfRule>
    <cfRule type="expression" dxfId="3904" priority="635" stopIfTrue="1">
      <formula>J72&lt;120</formula>
    </cfRule>
  </conditionalFormatting>
  <conditionalFormatting sqref="J73:J74">
    <cfRule type="cellIs" dxfId="3903" priority="631" operator="between">
      <formula>3</formula>
      <formula>4.099</formula>
    </cfRule>
    <cfRule type="expression" dxfId="3902" priority="632">
      <formula>J73&lt;3</formula>
    </cfRule>
    <cfRule type="expression" dxfId="3901" priority="633">
      <formula>J73&gt;4.5</formula>
    </cfRule>
  </conditionalFormatting>
  <conditionalFormatting sqref="J71">
    <cfRule type="expression" dxfId="3900" priority="629">
      <formula>J71&lt;5</formula>
    </cfRule>
    <cfRule type="expression" dxfId="3899" priority="630">
      <formula>J71&gt;6</formula>
    </cfRule>
  </conditionalFormatting>
  <conditionalFormatting sqref="K72:O72">
    <cfRule type="expression" dxfId="3898" priority="627" stopIfTrue="1">
      <formula>K72&gt;130</formula>
    </cfRule>
    <cfRule type="expression" dxfId="3897" priority="628" stopIfTrue="1">
      <formula>K72&lt;120</formula>
    </cfRule>
  </conditionalFormatting>
  <conditionalFormatting sqref="K71:O71">
    <cfRule type="expression" dxfId="3896" priority="625">
      <formula>K71&lt;5</formula>
    </cfRule>
    <cfRule type="expression" dxfId="3895" priority="626">
      <formula>K71&gt;6</formula>
    </cfRule>
  </conditionalFormatting>
  <conditionalFormatting sqref="K73:O74">
    <cfRule type="cellIs" dxfId="3894" priority="622" operator="between">
      <formula>3</formula>
      <formula>4.099</formula>
    </cfRule>
    <cfRule type="expression" dxfId="3893" priority="623">
      <formula>K73&lt;3</formula>
    </cfRule>
    <cfRule type="expression" dxfId="3892" priority="624">
      <formula>K73&gt;4.5</formula>
    </cfRule>
  </conditionalFormatting>
  <conditionalFormatting sqref="K72:O72">
    <cfRule type="expression" dxfId="3891" priority="620" stopIfTrue="1">
      <formula>K72&gt;130</formula>
    </cfRule>
    <cfRule type="expression" dxfId="3890" priority="621" stopIfTrue="1">
      <formula>K72&lt;120</formula>
    </cfRule>
  </conditionalFormatting>
  <conditionalFormatting sqref="K73:O74">
    <cfRule type="cellIs" dxfId="3889" priority="617" operator="between">
      <formula>3</formula>
      <formula>4.099</formula>
    </cfRule>
    <cfRule type="expression" dxfId="3888" priority="618">
      <formula>K73&lt;3</formula>
    </cfRule>
    <cfRule type="expression" dxfId="3887" priority="619">
      <formula>K73&gt;4.5</formula>
    </cfRule>
  </conditionalFormatting>
  <conditionalFormatting sqref="K71:O71">
    <cfRule type="expression" dxfId="3886" priority="615">
      <formula>K71&lt;5</formula>
    </cfRule>
    <cfRule type="expression" dxfId="3885" priority="616">
      <formula>K71&gt;6</formula>
    </cfRule>
  </conditionalFormatting>
  <conditionalFormatting sqref="J13:O13 J34:O34">
    <cfRule type="cellIs" dxfId="3884" priority="219" operator="between">
      <formula>130</formula>
      <formula>132.99</formula>
    </cfRule>
    <cfRule type="cellIs" dxfId="3883" priority="220" operator="between">
      <formula>147.1</formula>
      <formula>150</formula>
    </cfRule>
    <cfRule type="expression" dxfId="3882" priority="221">
      <formula>J13&lt;130</formula>
    </cfRule>
    <cfRule type="expression" dxfId="3881" priority="222">
      <formula>J13&gt;150</formula>
    </cfRule>
  </conditionalFormatting>
  <conditionalFormatting sqref="J14:O14 J35:O35">
    <cfRule type="expression" dxfId="3880" priority="217">
      <formula>J14&lt;8</formula>
    </cfRule>
    <cfRule type="expression" dxfId="3879" priority="218">
      <formula>J14&gt;12</formula>
    </cfRule>
  </conditionalFormatting>
  <conditionalFormatting sqref="J16:O16 J23:O23">
    <cfRule type="cellIs" dxfId="3878" priority="214" operator="between">
      <formula>1.6</formula>
      <formula>1.799</formula>
    </cfRule>
    <cfRule type="expression" dxfId="3877" priority="215">
      <formula>J16&lt;1.6</formula>
    </cfRule>
    <cfRule type="expression" dxfId="3876" priority="216">
      <formula>J16&gt;2.2</formula>
    </cfRule>
  </conditionalFormatting>
  <conditionalFormatting sqref="J18:O18 J39:O39">
    <cfRule type="cellIs" dxfId="3875" priority="210" operator="between">
      <formula>15%</formula>
      <formula>16.99%</formula>
    </cfRule>
    <cfRule type="cellIs" dxfId="3874" priority="211" operator="between">
      <formula>27.01%</formula>
      <formula>30%</formula>
    </cfRule>
    <cfRule type="expression" dxfId="3873" priority="212">
      <formula>J18&lt;15%</formula>
    </cfRule>
    <cfRule type="expression" dxfId="3872" priority="213">
      <formula>J18&gt;30%</formula>
    </cfRule>
  </conditionalFormatting>
  <conditionalFormatting sqref="J19:O19">
    <cfRule type="cellIs" dxfId="3871" priority="206" operator="between">
      <formula>5%</formula>
      <formula>6.99%</formula>
    </cfRule>
    <cfRule type="cellIs" dxfId="3870" priority="207" operator="between">
      <formula>12.99%</formula>
      <formula>15%</formula>
    </cfRule>
    <cfRule type="expression" dxfId="3869" priority="208">
      <formula>J19&lt;5%</formula>
    </cfRule>
    <cfRule type="expression" dxfId="3868" priority="209">
      <formula>J19&gt;15%</formula>
    </cfRule>
  </conditionalFormatting>
  <conditionalFormatting sqref="J3:O3 J6:O6">
    <cfRule type="cellIs" dxfId="3867" priority="202" operator="between">
      <formula>20</formula>
      <formula>24.99</formula>
    </cfRule>
    <cfRule type="cellIs" dxfId="3866" priority="203" operator="between">
      <formula>35.1</formula>
      <formula>40</formula>
    </cfRule>
    <cfRule type="expression" dxfId="3865" priority="204">
      <formula>J3&lt;20</formula>
    </cfRule>
    <cfRule type="expression" dxfId="3864" priority="205">
      <formula>J3&gt;40</formula>
    </cfRule>
  </conditionalFormatting>
  <conditionalFormatting sqref="J9:O9 J11:O11">
    <cfRule type="expression" dxfId="3863" priority="200" stopIfTrue="1">
      <formula>J9&gt;80</formula>
    </cfRule>
    <cfRule type="expression" dxfId="3862" priority="201" stopIfTrue="1">
      <formula>J9&lt;60</formula>
    </cfRule>
  </conditionalFormatting>
  <conditionalFormatting sqref="J17:O17 J38:O38">
    <cfRule type="cellIs" dxfId="3861" priority="196" operator="between">
      <formula>30%</formula>
      <formula>39.99%</formula>
    </cfRule>
    <cfRule type="cellIs" dxfId="3860" priority="197" operator="between">
      <formula>50.01%</formula>
      <formula>60%</formula>
    </cfRule>
    <cfRule type="expression" dxfId="3859" priority="198">
      <formula>J17&lt;30%</formula>
    </cfRule>
    <cfRule type="expression" dxfId="3858" priority="199">
      <formula>J17&gt;60%</formula>
    </cfRule>
  </conditionalFormatting>
  <conditionalFormatting sqref="J15:O15">
    <cfRule type="cellIs" dxfId="3857" priority="193" operator="between">
      <formula>16.1</formula>
      <formula>18</formula>
    </cfRule>
    <cfRule type="expression" dxfId="3856" priority="194">
      <formula>J15&lt;12</formula>
    </cfRule>
    <cfRule type="expression" dxfId="3855" priority="195">
      <formula>J15&gt;18</formula>
    </cfRule>
  </conditionalFormatting>
  <conditionalFormatting sqref="J20:O20 J41:O41">
    <cfRule type="cellIs" dxfId="3854" priority="189" operator="between">
      <formula>0.5%</formula>
      <formula>0.599%</formula>
    </cfRule>
    <cfRule type="cellIs" dxfId="3853" priority="190" operator="between">
      <formula>1.41%</formula>
      <formula>1.5%</formula>
    </cfRule>
    <cfRule type="expression" dxfId="3852" priority="191">
      <formula>J20&lt;0.5%</formula>
    </cfRule>
    <cfRule type="expression" dxfId="3851" priority="192">
      <formula>J20&gt;1.5%</formula>
    </cfRule>
  </conditionalFormatting>
  <conditionalFormatting sqref="J37:O37 J44:O44">
    <cfRule type="cellIs" dxfId="3850" priority="139" operator="between">
      <formula>2</formula>
      <formula>2.199</formula>
    </cfRule>
    <cfRule type="cellIs" dxfId="3849" priority="140" operator="between">
      <formula>2.41</formula>
      <formula>2.5</formula>
    </cfRule>
    <cfRule type="expression" dxfId="3848" priority="141">
      <formula>J37&lt;2</formula>
    </cfRule>
    <cfRule type="expression" dxfId="3847" priority="142">
      <formula>J37&gt;2.5</formula>
    </cfRule>
  </conditionalFormatting>
  <conditionalFormatting sqref="J40:O40">
    <cfRule type="expression" dxfId="3846" priority="137">
      <formula>J40&lt;5%</formula>
    </cfRule>
    <cfRule type="expression" dxfId="3845" priority="138">
      <formula>J40&gt;15%</formula>
    </cfRule>
  </conditionalFormatting>
  <conditionalFormatting sqref="J40:O40">
    <cfRule type="cellIs" dxfId="3844" priority="135" operator="between">
      <formula>5%</formula>
      <formula>6.99%</formula>
    </cfRule>
    <cfRule type="cellIs" dxfId="3843" priority="136" operator="between">
      <formula>13.1%</formula>
      <formula>15%</formula>
    </cfRule>
  </conditionalFormatting>
  <conditionalFormatting sqref="J26:O26 J28:O28">
    <cfRule type="cellIs" dxfId="3842" priority="131" operator="between">
      <formula>60</formula>
      <formula>64.99</formula>
    </cfRule>
    <cfRule type="cellIs" dxfId="3841" priority="132" operator="between">
      <formula>75.1</formula>
      <formula>80</formula>
    </cfRule>
    <cfRule type="expression" dxfId="3840" priority="133">
      <formula>J26&lt;60</formula>
    </cfRule>
    <cfRule type="expression" dxfId="3839" priority="134">
      <formula>J26&gt;80</formula>
    </cfRule>
  </conditionalFormatting>
  <conditionalFormatting sqref="J36:O36">
    <cfRule type="cellIs" dxfId="3838" priority="128" operator="between">
      <formula>8.01</formula>
      <formula>10</formula>
    </cfRule>
    <cfRule type="expression" dxfId="3837" priority="129">
      <formula>J36&lt;6</formula>
    </cfRule>
    <cfRule type="expression" dxfId="3836" priority="130">
      <formula>J36&gt;10</formula>
    </cfRule>
  </conditionalFormatting>
  <conditionalFormatting sqref="J30:O30 J32:O32">
    <cfRule type="expression" dxfId="3835" priority="122">
      <formula>J30&lt;50</formula>
    </cfRule>
    <cfRule type="expression" dxfId="3834" priority="123">
      <formula>J30&gt;70</formula>
    </cfRule>
  </conditionalFormatting>
  <conditionalFormatting sqref="J55:O55">
    <cfRule type="expression" dxfId="3833" priority="66" stopIfTrue="1">
      <formula>J55&lt;135</formula>
    </cfRule>
  </conditionalFormatting>
  <conditionalFormatting sqref="J55:O55">
    <cfRule type="expression" dxfId="3832" priority="65" stopIfTrue="1">
      <formula>J55&gt;145</formula>
    </cfRule>
  </conditionalFormatting>
  <conditionalFormatting sqref="J56:O56">
    <cfRule type="expression" dxfId="3831" priority="63">
      <formula>J56&lt;7.5</formula>
    </cfRule>
    <cfRule type="expression" dxfId="3830" priority="64">
      <formula>J56&gt;9.5</formula>
    </cfRule>
  </conditionalFormatting>
  <conditionalFormatting sqref="J57:O57">
    <cfRule type="cellIs" dxfId="3829" priority="60" operator="between">
      <formula>7.01</formula>
      <formula>8</formula>
    </cfRule>
    <cfRule type="expression" dxfId="3828" priority="61">
      <formula>J57&lt;5</formula>
    </cfRule>
    <cfRule type="expression" dxfId="3827" priority="62">
      <formula>J57&gt;8</formula>
    </cfRule>
  </conditionalFormatting>
  <conditionalFormatting sqref="J58:O58">
    <cfRule type="expression" dxfId="3826" priority="58">
      <formula>J58&lt;2</formula>
    </cfRule>
    <cfRule type="expression" dxfId="3825" priority="59">
      <formula>J58&gt;2.4</formula>
    </cfRule>
  </conditionalFormatting>
  <conditionalFormatting sqref="J51:O51 J53:O53">
    <cfRule type="cellIs" dxfId="3824" priority="52" operator="between">
      <formula>50</formula>
      <formula>54.99</formula>
    </cfRule>
    <cfRule type="cellIs" dxfId="3823" priority="53" operator="between">
      <formula>65.01</formula>
      <formula>70</formula>
    </cfRule>
    <cfRule type="expression" dxfId="3822" priority="54">
      <formula>J51&lt;50</formula>
    </cfRule>
    <cfRule type="expression" dxfId="3821" priority="55">
      <formula>J51&gt;70</formula>
    </cfRule>
  </conditionalFormatting>
  <conditionalFormatting sqref="J47:O47 J49:O49">
    <cfRule type="cellIs" dxfId="3820" priority="48" operator="between">
      <formula>40</formula>
      <formula>44.99</formula>
    </cfRule>
    <cfRule type="cellIs" dxfId="3819" priority="49" operator="between">
      <formula>55.1</formula>
      <formula>60</formula>
    </cfRule>
    <cfRule type="expression" dxfId="3818" priority="50">
      <formula>J47&lt;40</formula>
    </cfRule>
    <cfRule type="expression" dxfId="3817" priority="51">
      <formula>J47&gt;60</formula>
    </cfRule>
  </conditionalFormatting>
  <conditionalFormatting sqref="J63">
    <cfRule type="expression" dxfId="3816" priority="44">
      <formula>J63&lt;0.6%</formula>
    </cfRule>
    <cfRule type="expression" dxfId="3815" priority="45">
      <formula>J63&gt;1.4%</formula>
    </cfRule>
  </conditionalFormatting>
  <conditionalFormatting sqref="K63:O63">
    <cfRule type="expression" dxfId="3814" priority="21">
      <formula>K63&lt;0.6%</formula>
    </cfRule>
    <cfRule type="expression" dxfId="3813" priority="22">
      <formula>K63&gt;1.4%</formula>
    </cfRule>
  </conditionalFormatting>
  <conditionalFormatting sqref="J66">
    <cfRule type="expression" dxfId="3812" priority="19">
      <formula>J66&lt;2</formula>
    </cfRule>
    <cfRule type="expression" dxfId="3811" priority="20">
      <formula>J66&gt;2.4</formula>
    </cfRule>
  </conditionalFormatting>
  <conditionalFormatting sqref="K66:O66">
    <cfRule type="expression" dxfId="3810" priority="17">
      <formula>K66&lt;2</formula>
    </cfRule>
    <cfRule type="expression" dxfId="3809" priority="18">
      <formula>K66&gt;2.4</formula>
    </cfRule>
  </conditionalFormatting>
  <conditionalFormatting sqref="J59">
    <cfRule type="expression" dxfId="3808" priority="15">
      <formula>J59&lt;40%</formula>
    </cfRule>
    <cfRule type="expression" dxfId="3807" priority="16">
      <formula>J59&gt;50%</formula>
    </cfRule>
  </conditionalFormatting>
  <conditionalFormatting sqref="J61:J62">
    <cfRule type="expression" dxfId="3806" priority="13">
      <formula>J61&lt;40%</formula>
    </cfRule>
    <cfRule type="expression" dxfId="3805" priority="14">
      <formula>J61&gt;50%</formula>
    </cfRule>
  </conditionalFormatting>
  <conditionalFormatting sqref="J60">
    <cfRule type="cellIs" dxfId="3804" priority="9" operator="between">
      <formula>5%</formula>
      <formula>6.99%</formula>
    </cfRule>
    <cfRule type="cellIs" dxfId="3803" priority="10" operator="between">
      <formula>9.01%</formula>
      <formula>10%</formula>
    </cfRule>
    <cfRule type="expression" dxfId="3802" priority="11">
      <formula>J60&lt;5%</formula>
    </cfRule>
    <cfRule type="expression" dxfId="3801" priority="12">
      <formula>J60&gt;10%</formula>
    </cfRule>
  </conditionalFormatting>
  <conditionalFormatting sqref="K59:O59">
    <cfRule type="expression" dxfId="3800" priority="7">
      <formula>K59&lt;40%</formula>
    </cfRule>
    <cfRule type="expression" dxfId="3799" priority="8">
      <formula>K59&gt;50%</formula>
    </cfRule>
  </conditionalFormatting>
  <conditionalFormatting sqref="K61:O62">
    <cfRule type="expression" dxfId="3798" priority="5">
      <formula>K61&lt;40%</formula>
    </cfRule>
    <cfRule type="expression" dxfId="3797" priority="6">
      <formula>K61&gt;50%</formula>
    </cfRule>
  </conditionalFormatting>
  <conditionalFormatting sqref="K60:O60">
    <cfRule type="cellIs" dxfId="3796" priority="1" operator="between">
      <formula>5%</formula>
      <formula>6.99%</formula>
    </cfRule>
    <cfRule type="cellIs" dxfId="3795" priority="2" operator="between">
      <formula>9.01%</formula>
      <formula>10%</formula>
    </cfRule>
    <cfRule type="expression" dxfId="3794" priority="3">
      <formula>K60&lt;5%</formula>
    </cfRule>
    <cfRule type="expression" dxfId="3793" priority="4">
      <formula>K60&gt;10%</formula>
    </cfRule>
  </conditionalFormatting>
  <pageMargins left="0.46" right="0.16" top="0.98" bottom="1" header="0.41" footer="0.5"/>
  <pageSetup paperSize="9" scale="8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sheetPr codeName="Sheet3">
    <tabColor rgb="FFFFFF00"/>
  </sheetPr>
  <dimension ref="A1:BG134"/>
  <sheetViews>
    <sheetView showGridLines="0" zoomScale="55" zoomScaleNormal="55" workbookViewId="0">
      <pane xSplit="8" ySplit="2" topLeftCell="I111" activePane="bottomRight" state="frozen"/>
      <selection pane="topRight" activeCell="I1" sqref="I1"/>
      <selection pane="bottomLeft" activeCell="A3" sqref="A3"/>
      <selection pane="bottomRight" activeCell="AR102" sqref="AR102"/>
    </sheetView>
  </sheetViews>
  <sheetFormatPr defaultRowHeight="15.75"/>
  <cols>
    <col min="1" max="1" width="12.375" style="265" customWidth="1"/>
    <col min="2" max="2" width="16.25" style="265" hidden="1" customWidth="1"/>
    <col min="3" max="3" width="32.125" style="265" customWidth="1"/>
    <col min="4" max="4" width="12.25" style="265" customWidth="1"/>
    <col min="5" max="5" width="15.375" style="12" customWidth="1"/>
    <col min="6" max="6" width="12.375" style="265" customWidth="1"/>
    <col min="7" max="7" width="13.125" style="12" hidden="1" customWidth="1"/>
    <col min="8" max="8" width="13.125" style="265" hidden="1" customWidth="1"/>
    <col min="9" max="9" width="9.5" style="265" customWidth="1"/>
    <col min="10" max="10" width="11.375" style="2079" hidden="1" customWidth="1"/>
    <col min="11" max="11" width="3" style="265" customWidth="1"/>
    <col min="12" max="12" width="7.875" style="265" customWidth="1"/>
    <col min="13" max="13" width="7.875" style="2079" hidden="1" customWidth="1"/>
    <col min="14" max="14" width="4.75" style="265" customWidth="1"/>
    <col min="15" max="15" width="6.25" style="2079" hidden="1" customWidth="1"/>
    <col min="16" max="16" width="9.125" style="265" customWidth="1"/>
    <col min="17" max="17" width="11.25" style="2079" hidden="1" customWidth="1"/>
    <col min="18" max="18" width="3" style="265" customWidth="1"/>
    <col min="19" max="19" width="8.125" style="265" customWidth="1"/>
    <col min="20" max="20" width="8.125" style="2079" hidden="1" customWidth="1"/>
    <col min="21" max="21" width="5.875" style="265" customWidth="1"/>
    <col min="22" max="22" width="9" style="2079" hidden="1" customWidth="1"/>
    <col min="23" max="23" width="9.625" style="265" customWidth="1"/>
    <col min="24" max="24" width="9" style="2079" hidden="1" customWidth="1"/>
    <col min="25" max="25" width="3.75" style="265" customWidth="1"/>
    <col min="26" max="26" width="8.75" style="265" customWidth="1"/>
    <col min="27" max="27" width="7.375" style="2079" hidden="1" customWidth="1"/>
    <col min="28" max="28" width="4.75" style="265" customWidth="1"/>
    <col min="29" max="29" width="9" style="2079" hidden="1" customWidth="1"/>
    <col min="30" max="30" width="8.625" style="265" customWidth="1"/>
    <col min="31" max="31" width="9" style="2079" hidden="1" customWidth="1"/>
    <col min="32" max="32" width="4" style="265" customWidth="1"/>
    <col min="33" max="33" width="7.5" style="265" customWidth="1"/>
    <col min="34" max="34" width="7.5" style="2079" hidden="1" customWidth="1"/>
    <col min="35" max="35" width="4.875" style="41" customWidth="1"/>
    <col min="36" max="36" width="9" style="2079" hidden="1" customWidth="1"/>
    <col min="37" max="37" width="9.25" style="265" customWidth="1"/>
    <col min="38" max="38" width="9" style="2079" hidden="1" customWidth="1"/>
    <col min="39" max="39" width="4" style="265" customWidth="1"/>
    <col min="40" max="40" width="8.5" style="265" customWidth="1"/>
    <col min="41" max="41" width="7.375" style="2079" hidden="1" customWidth="1"/>
    <col min="42" max="42" width="4.875" style="41" customWidth="1"/>
    <col min="43" max="43" width="6.625" style="2079" hidden="1" customWidth="1"/>
    <col min="44" max="44" width="8.75" style="265" customWidth="1"/>
    <col min="45" max="45" width="9" style="265" hidden="1" customWidth="1"/>
    <col min="46" max="46" width="4" style="265" customWidth="1"/>
    <col min="47" max="47" width="8" style="265" customWidth="1"/>
    <col min="48" max="48" width="7.375" style="265" hidden="1" customWidth="1"/>
    <col min="49" max="49" width="4.875" style="41" customWidth="1"/>
    <col min="50" max="51" width="11.5" style="2079" customWidth="1"/>
    <col min="52" max="52" width="12.625" style="265" bestFit="1" customWidth="1"/>
    <col min="53" max="57" width="0" style="265" hidden="1" customWidth="1"/>
    <col min="58" max="58" width="10.5" style="265" customWidth="1"/>
    <col min="59" max="16384" width="9" style="265"/>
  </cols>
  <sheetData>
    <row r="1" spans="1:59" ht="39" customHeight="1">
      <c r="A1" s="288"/>
      <c r="B1" s="288"/>
      <c r="C1" s="289" t="s">
        <v>1518</v>
      </c>
      <c r="D1" s="290"/>
      <c r="E1" s="1334"/>
      <c r="F1" s="1613"/>
      <c r="G1" s="1334"/>
      <c r="H1" s="290"/>
      <c r="I1" s="290"/>
      <c r="J1" s="2484"/>
      <c r="K1" s="290"/>
      <c r="L1" s="290"/>
      <c r="M1" s="2484"/>
      <c r="N1" s="290"/>
      <c r="O1" s="2484"/>
      <c r="P1" s="290"/>
      <c r="Q1" s="2484"/>
      <c r="R1" s="290"/>
      <c r="S1" s="290"/>
      <c r="T1" s="2484"/>
      <c r="U1" s="290"/>
      <c r="V1" s="2484"/>
      <c r="W1" s="290"/>
      <c r="X1" s="2484"/>
      <c r="Y1" s="290"/>
      <c r="Z1" s="290"/>
      <c r="AA1" s="2484"/>
      <c r="AB1" s="290"/>
      <c r="AC1" s="2484"/>
      <c r="AD1" s="290"/>
      <c r="AE1" s="2484"/>
      <c r="AF1" s="290"/>
      <c r="AG1" s="290"/>
      <c r="AH1" s="2484"/>
      <c r="AI1" s="290"/>
      <c r="AJ1" s="2484"/>
      <c r="AK1" s="290"/>
      <c r="AL1" s="2484"/>
      <c r="AM1" s="290"/>
      <c r="AN1" s="290"/>
      <c r="AO1" s="2484"/>
      <c r="AP1" s="290"/>
      <c r="AQ1" s="2484"/>
      <c r="AR1" s="290"/>
      <c r="AS1" s="290"/>
      <c r="AT1" s="290"/>
      <c r="AU1" s="290"/>
      <c r="AV1" s="290"/>
      <c r="AW1" s="290"/>
    </row>
    <row r="2" spans="1:59" ht="30.75" customHeight="1">
      <c r="A2" s="1953" t="str">
        <f>MENU!$AC$9</f>
        <v>Thứ 4,</v>
      </c>
      <c r="B2" s="1954"/>
      <c r="C2" s="1955" t="str">
        <f>MENU!$AD$9</f>
        <v>2024/05/22</v>
      </c>
      <c r="D2" s="291"/>
      <c r="E2" s="1335"/>
      <c r="F2" s="1615"/>
      <c r="G2" s="1335"/>
      <c r="H2" s="291"/>
      <c r="I2" s="291"/>
      <c r="J2" s="2485"/>
      <c r="K2" s="291"/>
      <c r="L2" s="291"/>
      <c r="M2" s="2513"/>
      <c r="N2" s="291"/>
      <c r="O2" s="2485"/>
      <c r="P2" s="291"/>
      <c r="Q2" s="2485"/>
      <c r="R2" s="291"/>
      <c r="S2" s="291"/>
      <c r="T2" s="2513"/>
      <c r="U2" s="291"/>
      <c r="V2" s="2485"/>
      <c r="W2" s="291"/>
      <c r="X2" s="2485"/>
      <c r="Y2" s="291"/>
      <c r="Z2" s="291"/>
      <c r="AA2" s="2513"/>
      <c r="AB2" s="291"/>
      <c r="AC2" s="2485"/>
      <c r="AD2" s="291"/>
      <c r="AE2" s="2485"/>
      <c r="AF2" s="291"/>
      <c r="AG2" s="291"/>
      <c r="AH2" s="2485"/>
      <c r="AI2" s="291"/>
      <c r="AJ2" s="2485"/>
      <c r="AK2" s="291"/>
      <c r="AL2" s="2485"/>
      <c r="AM2" s="291"/>
      <c r="AN2" s="291"/>
      <c r="AO2" s="2485"/>
      <c r="AP2" s="291"/>
      <c r="AQ2" s="2485"/>
      <c r="AR2" s="291"/>
      <c r="AS2" s="291"/>
      <c r="AT2" s="291"/>
      <c r="AU2" s="291"/>
      <c r="AV2" s="291"/>
      <c r="AW2" s="291"/>
    </row>
    <row r="3" spans="1:59" ht="41.25" customHeight="1">
      <c r="A3" s="1049" t="s">
        <v>211</v>
      </c>
      <c r="B3" s="1050"/>
      <c r="C3" s="1051"/>
      <c r="D3" s="1051"/>
      <c r="E3" s="1389"/>
      <c r="F3" s="1908" t="str">
        <f>MENU!$AC$9</f>
        <v>Thứ 4,</v>
      </c>
      <c r="G3" s="1907"/>
      <c r="H3" s="1052"/>
      <c r="I3" s="1832" t="str">
        <f>MENU!$AD$9</f>
        <v>2024/05/22</v>
      </c>
      <c r="J3" s="2486"/>
      <c r="K3" s="1052"/>
      <c r="L3" s="1053"/>
      <c r="M3" s="2514"/>
      <c r="N3" s="1053"/>
      <c r="O3" s="2514"/>
      <c r="P3" s="1053"/>
      <c r="Q3" s="2514"/>
      <c r="R3" s="1053"/>
      <c r="S3" s="1053"/>
      <c r="T3" s="2514"/>
      <c r="U3" s="1052"/>
      <c r="V3" s="2486"/>
      <c r="W3" s="1052"/>
      <c r="X3" s="2486"/>
      <c r="Y3" s="1052"/>
      <c r="Z3" s="1052"/>
      <c r="AA3" s="2486"/>
      <c r="AB3" s="1052"/>
      <c r="AC3" s="2486"/>
      <c r="AD3" s="1052"/>
      <c r="AE3" s="2486"/>
      <c r="AF3" s="1052"/>
      <c r="AG3" s="1052"/>
      <c r="AH3" s="2486"/>
      <c r="AI3" s="1052"/>
      <c r="AK3" s="1050"/>
      <c r="AL3" s="2605"/>
      <c r="AM3" s="1054"/>
      <c r="AN3" s="1054"/>
      <c r="AO3" s="2605"/>
      <c r="AP3" s="1054"/>
      <c r="AQ3" s="2605"/>
      <c r="AR3" s="1054"/>
      <c r="AS3" s="1054"/>
      <c r="AT3" s="1054"/>
      <c r="AU3" s="1054"/>
      <c r="AV3" s="1054"/>
      <c r="AW3" s="1055"/>
      <c r="AX3" s="2087" t="str">
        <f>A2</f>
        <v>Thứ 4,</v>
      </c>
      <c r="AY3" s="2087"/>
    </row>
    <row r="4" spans="1:59" ht="36.75" customHeight="1">
      <c r="A4" s="1390"/>
      <c r="B4" s="1385"/>
      <c r="C4" s="1390"/>
      <c r="D4" s="1390"/>
      <c r="E4" s="1390"/>
      <c r="F4" s="1888"/>
      <c r="G4" s="3054" t="s">
        <v>125</v>
      </c>
      <c r="H4" s="83"/>
      <c r="I4" s="269" t="s">
        <v>1469</v>
      </c>
      <c r="J4" s="2487"/>
      <c r="K4" s="269"/>
      <c r="L4" s="269"/>
      <c r="M4" s="2487"/>
      <c r="N4" s="269"/>
      <c r="O4" s="2538"/>
      <c r="P4" s="282" t="s">
        <v>1459</v>
      </c>
      <c r="Q4" s="2487"/>
      <c r="R4" s="269"/>
      <c r="S4" s="269"/>
      <c r="T4" s="2487"/>
      <c r="U4" s="270"/>
      <c r="V4" s="2487"/>
      <c r="W4" s="269" t="s">
        <v>1460</v>
      </c>
      <c r="X4" s="2487"/>
      <c r="Y4" s="269"/>
      <c r="Z4" s="269"/>
      <c r="AA4" s="2487"/>
      <c r="AB4" s="269"/>
      <c r="AC4" s="2538"/>
      <c r="AD4" s="282" t="s">
        <v>1461</v>
      </c>
      <c r="AE4" s="2487"/>
      <c r="AF4" s="269"/>
      <c r="AG4" s="269"/>
      <c r="AH4" s="2487"/>
      <c r="AI4" s="270"/>
      <c r="AJ4" s="2487"/>
      <c r="AK4" s="269" t="s">
        <v>1462</v>
      </c>
      <c r="AL4" s="2487"/>
      <c r="AM4" s="269"/>
      <c r="AN4" s="269"/>
      <c r="AO4" s="2487"/>
      <c r="AP4" s="269"/>
      <c r="AQ4" s="2487"/>
      <c r="AR4" s="282" t="s">
        <v>1463</v>
      </c>
      <c r="AS4" s="269"/>
      <c r="AT4" s="269"/>
      <c r="AU4" s="270"/>
      <c r="AV4" s="270"/>
      <c r="AW4" s="1003"/>
      <c r="AX4" s="2088" t="str">
        <f>C2</f>
        <v>2024/05/22</v>
      </c>
      <c r="AY4" s="2088"/>
      <c r="AZ4" s="2080">
        <f>AX4-1</f>
        <v>45433</v>
      </c>
      <c r="BF4" s="2080">
        <f>AZ4</f>
        <v>45433</v>
      </c>
    </row>
    <row r="5" spans="1:59" ht="63.75" customHeight="1">
      <c r="A5" s="1388" t="s">
        <v>238</v>
      </c>
      <c r="B5" s="1385" t="s">
        <v>317</v>
      </c>
      <c r="C5" s="1388" t="s">
        <v>316</v>
      </c>
      <c r="D5" s="1388" t="s">
        <v>1309</v>
      </c>
      <c r="E5" s="1388" t="s">
        <v>1303</v>
      </c>
      <c r="F5" s="1889" t="s">
        <v>1302</v>
      </c>
      <c r="G5" s="3055"/>
      <c r="H5" s="20"/>
      <c r="I5" s="1878" t="s">
        <v>129</v>
      </c>
      <c r="J5" s="2488" t="s">
        <v>1</v>
      </c>
      <c r="K5" s="283" t="s">
        <v>1</v>
      </c>
      <c r="L5" s="283"/>
      <c r="M5" s="2499"/>
      <c r="N5" s="284"/>
      <c r="O5" s="2539"/>
      <c r="P5" s="1878" t="s">
        <v>129</v>
      </c>
      <c r="Q5" s="2488" t="s">
        <v>1</v>
      </c>
      <c r="R5" s="283" t="s">
        <v>1</v>
      </c>
      <c r="S5" s="283"/>
      <c r="T5" s="2499"/>
      <c r="U5" s="284"/>
      <c r="V5" s="2571"/>
      <c r="W5" s="1878" t="s">
        <v>129</v>
      </c>
      <c r="X5" s="2488" t="s">
        <v>1</v>
      </c>
      <c r="Y5" s="283" t="s">
        <v>1</v>
      </c>
      <c r="Z5" s="283"/>
      <c r="AA5" s="2499"/>
      <c r="AB5" s="284"/>
      <c r="AC5" s="2539"/>
      <c r="AD5" s="1878" t="s">
        <v>129</v>
      </c>
      <c r="AE5" s="2488" t="s">
        <v>1</v>
      </c>
      <c r="AF5" s="283" t="s">
        <v>1</v>
      </c>
      <c r="AG5" s="283"/>
      <c r="AH5" s="2499"/>
      <c r="AI5" s="284"/>
      <c r="AJ5" s="2539"/>
      <c r="AK5" s="1878" t="s">
        <v>129</v>
      </c>
      <c r="AL5" s="2488" t="s">
        <v>1</v>
      </c>
      <c r="AM5" s="283" t="s">
        <v>1</v>
      </c>
      <c r="AN5" s="283"/>
      <c r="AO5" s="2499"/>
      <c r="AP5" s="284"/>
      <c r="AQ5" s="2539"/>
      <c r="AR5" s="1878" t="s">
        <v>129</v>
      </c>
      <c r="AS5" s="1877" t="s">
        <v>1</v>
      </c>
      <c r="AT5" s="283" t="s">
        <v>1</v>
      </c>
      <c r="AU5" s="283"/>
      <c r="AV5" s="283"/>
      <c r="AW5" s="284"/>
      <c r="AX5" s="2735" t="s">
        <v>1627</v>
      </c>
      <c r="AY5" s="2735" t="s">
        <v>1628</v>
      </c>
      <c r="AZ5" s="1515" t="s">
        <v>1515</v>
      </c>
      <c r="BF5" s="2735" t="s">
        <v>1627</v>
      </c>
      <c r="BG5" s="2735" t="s">
        <v>1628</v>
      </c>
    </row>
    <row r="6" spans="1:59" ht="34.5" customHeight="1">
      <c r="A6" s="1834" t="s">
        <v>239</v>
      </c>
      <c r="B6" s="1835" t="s">
        <v>215</v>
      </c>
      <c r="C6" s="1835" t="s">
        <v>77</v>
      </c>
      <c r="D6" s="1836" t="s">
        <v>4</v>
      </c>
      <c r="E6" s="1837" t="str">
        <f>'XM.GUI MAIL'!E6</f>
        <v>20~40</v>
      </c>
      <c r="F6" s="1890" t="str">
        <f>'XM.GUI MAIL'!F6</f>
        <v>(30±5)</v>
      </c>
      <c r="G6" s="1838">
        <f>'XM.GUI MAIL'!G6</f>
        <v>30</v>
      </c>
      <c r="H6" s="1839">
        <f>XM.HN!B3</f>
        <v>0</v>
      </c>
      <c r="I6" s="1840">
        <f>H6*4</f>
        <v>0</v>
      </c>
      <c r="J6" s="2489">
        <f>($G$6-I6)*2693/1000</f>
        <v>80.790000000000006</v>
      </c>
      <c r="K6" s="1842" t="s">
        <v>8</v>
      </c>
      <c r="L6" s="1843">
        <f>IF(J6&lt;0,0,J6)</f>
        <v>80.790000000000006</v>
      </c>
      <c r="M6" s="2515"/>
      <c r="N6" s="1845" t="s">
        <v>9</v>
      </c>
      <c r="O6" s="2540">
        <f>XM.HN!C3</f>
        <v>0</v>
      </c>
      <c r="P6" s="1840">
        <f>O6*4</f>
        <v>0</v>
      </c>
      <c r="Q6" s="2489">
        <f>($G$6-P6)*2693/1000</f>
        <v>80.790000000000006</v>
      </c>
      <c r="R6" s="1842" t="s">
        <v>8</v>
      </c>
      <c r="S6" s="1843">
        <f>IF(Q6&lt;0,0,Q6)</f>
        <v>80.790000000000006</v>
      </c>
      <c r="T6" s="2515"/>
      <c r="U6" s="1845" t="s">
        <v>9</v>
      </c>
      <c r="V6" s="2540">
        <f>XM.HN!D3</f>
        <v>0</v>
      </c>
      <c r="W6" s="1840">
        <f>V6*4</f>
        <v>0</v>
      </c>
      <c r="X6" s="2489">
        <f>($G$6-W6)*2693/1000</f>
        <v>80.790000000000006</v>
      </c>
      <c r="Y6" s="1842" t="s">
        <v>8</v>
      </c>
      <c r="Z6" s="1843">
        <f>IF(X6&lt;0,0,X6)</f>
        <v>80.790000000000006</v>
      </c>
      <c r="AA6" s="2515"/>
      <c r="AB6" s="1845" t="s">
        <v>9</v>
      </c>
      <c r="AC6" s="2540">
        <f>XM.HN!E3</f>
        <v>0</v>
      </c>
      <c r="AD6" s="1840">
        <f>AC6*4</f>
        <v>0</v>
      </c>
      <c r="AE6" s="2489">
        <f>($G$6-AD6)*2693/1000</f>
        <v>80.790000000000006</v>
      </c>
      <c r="AF6" s="1842" t="s">
        <v>8</v>
      </c>
      <c r="AG6" s="1843">
        <f>IF(AE6&lt;0,0,AE6)</f>
        <v>80.790000000000006</v>
      </c>
      <c r="AH6" s="2515"/>
      <c r="AI6" s="1845" t="s">
        <v>9</v>
      </c>
      <c r="AJ6" s="2540">
        <f>XM.HN!F3</f>
        <v>5.5</v>
      </c>
      <c r="AK6" s="1840">
        <f>AJ6*4</f>
        <v>22</v>
      </c>
      <c r="AL6" s="2489">
        <f>($G$6-AK6)*2693/1000</f>
        <v>21.544</v>
      </c>
      <c r="AM6" s="1842" t="s">
        <v>8</v>
      </c>
      <c r="AN6" s="1843">
        <f>IF(AL6&lt;0,0,AL6)</f>
        <v>21.544</v>
      </c>
      <c r="AO6" s="2515"/>
      <c r="AP6" s="1845" t="s">
        <v>9</v>
      </c>
      <c r="AQ6" s="2540">
        <f>XM.HN!G3</f>
        <v>7.3</v>
      </c>
      <c r="AR6" s="1840">
        <f>AQ6*4</f>
        <v>29.2</v>
      </c>
      <c r="AS6" s="1841">
        <f>($G$6-AR6)*2693/1000</f>
        <v>2.1544000000000021</v>
      </c>
      <c r="AT6" s="1842" t="s">
        <v>8</v>
      </c>
      <c r="AU6" s="1843">
        <f>IF(AS6&lt;0,0,AS6)</f>
        <v>2.1544000000000021</v>
      </c>
      <c r="AV6" s="1844"/>
      <c r="AW6" s="1845" t="s">
        <v>9</v>
      </c>
      <c r="AX6" s="2737">
        <f>'R.FILE GOC'!AI57</f>
        <v>15.4</v>
      </c>
      <c r="AY6" s="2737">
        <f>'R.FILE GOC'!AJ57</f>
        <v>0</v>
      </c>
      <c r="AZ6" s="1840">
        <v>0</v>
      </c>
      <c r="BA6" s="265">
        <v>80.790000000000006</v>
      </c>
      <c r="BB6" s="265" t="s">
        <v>8</v>
      </c>
      <c r="BC6" s="265">
        <v>80.790000000000006</v>
      </c>
      <c r="BE6" s="265" t="s">
        <v>9</v>
      </c>
      <c r="BF6" s="2082">
        <v>0</v>
      </c>
      <c r="BG6" s="2739"/>
    </row>
    <row r="7" spans="1:59" ht="34.5" customHeight="1">
      <c r="A7" s="1846"/>
      <c r="B7" s="1847"/>
      <c r="C7" s="1848" t="s">
        <v>101</v>
      </c>
      <c r="D7" s="1849"/>
      <c r="E7" s="1850" t="s">
        <v>102</v>
      </c>
      <c r="F7" s="1891"/>
      <c r="G7" s="1851"/>
      <c r="H7" s="1852"/>
      <c r="I7" s="1881"/>
      <c r="J7" s="2490"/>
      <c r="K7" s="1854" t="s">
        <v>8</v>
      </c>
      <c r="L7" s="1868">
        <f>L6/25*840/1000</f>
        <v>2.7145440000000005</v>
      </c>
      <c r="M7" s="2516" t="str">
        <f>IF('1. XL-1E TT'!AB7="","",'1. XL-1E TT'!AB7)</f>
        <v/>
      </c>
      <c r="N7" s="1856" t="s">
        <v>10</v>
      </c>
      <c r="O7" s="2541"/>
      <c r="P7" s="1881"/>
      <c r="Q7" s="2490"/>
      <c r="R7" s="1854" t="s">
        <v>8</v>
      </c>
      <c r="S7" s="1868">
        <f>S6/25*840/1000</f>
        <v>2.7145440000000005</v>
      </c>
      <c r="T7" s="2516" t="str">
        <f>IF('1. XL-1E TT'!AF7="","",'1. XL-1E TT'!AF7)</f>
        <v/>
      </c>
      <c r="U7" s="1856" t="s">
        <v>10</v>
      </c>
      <c r="V7" s="2541"/>
      <c r="W7" s="1881"/>
      <c r="X7" s="2490"/>
      <c r="Y7" s="1854" t="s">
        <v>8</v>
      </c>
      <c r="Z7" s="1868">
        <f>Z6/25*840/1000</f>
        <v>2.7145440000000005</v>
      </c>
      <c r="AA7" s="2516" t="str">
        <f>IF('1. XL-1E TT'!AJ7="","",'1. XL-1E TT'!AJ7)</f>
        <v/>
      </c>
      <c r="AB7" s="1856" t="s">
        <v>10</v>
      </c>
      <c r="AC7" s="2541"/>
      <c r="AD7" s="1881"/>
      <c r="AE7" s="2490"/>
      <c r="AF7" s="1854" t="s">
        <v>8</v>
      </c>
      <c r="AG7" s="1868">
        <f>AG6/25*840/1000</f>
        <v>2.7145440000000005</v>
      </c>
      <c r="AH7" s="2516" t="str">
        <f>IF('1. XL-1E TT(CA2)'!AB7="","",'1. XL-1E TT(CA2)'!AB7)</f>
        <v/>
      </c>
      <c r="AI7" s="1856" t="s">
        <v>10</v>
      </c>
      <c r="AJ7" s="2541"/>
      <c r="AK7" s="1881"/>
      <c r="AL7" s="2490"/>
      <c r="AM7" s="1854" t="s">
        <v>8</v>
      </c>
      <c r="AN7" s="1868">
        <f>AN6/25*840/1000</f>
        <v>0.72387839999999992</v>
      </c>
      <c r="AO7" s="2516" t="str">
        <f>IF('1. XL-1E TT(CA2)'!AF7="","",'1. XL-1E TT(CA2)'!AF7)</f>
        <v/>
      </c>
      <c r="AP7" s="1856" t="s">
        <v>10</v>
      </c>
      <c r="AQ7" s="2541"/>
      <c r="AR7" s="1881"/>
      <c r="AS7" s="1853"/>
      <c r="AT7" s="1854" t="s">
        <v>8</v>
      </c>
      <c r="AU7" s="1868">
        <f>AU6/25*840/1000</f>
        <v>7.2387840000000064E-2</v>
      </c>
      <c r="AV7" s="1855" t="str">
        <f>IF('1. XL-1E TT(CA2)'!AJ7="","",'1. XL-1E TT(CA2)'!AJ7)</f>
        <v/>
      </c>
      <c r="AW7" s="1856" t="s">
        <v>10</v>
      </c>
      <c r="AX7" s="2737">
        <f>'R.FILE GOC'!AI58</f>
        <v>15.3</v>
      </c>
      <c r="AY7" s="2737">
        <f>'R.FILE GOC'!AJ58</f>
        <v>0</v>
      </c>
      <c r="AZ7" s="1881"/>
      <c r="BB7" s="265" t="s">
        <v>8</v>
      </c>
      <c r="BC7" s="265">
        <v>2.7145440000000005</v>
      </c>
      <c r="BD7" s="265" t="s">
        <v>1514</v>
      </c>
      <c r="BE7" s="265" t="s">
        <v>10</v>
      </c>
      <c r="BF7" s="2082">
        <v>0</v>
      </c>
      <c r="BG7" s="2739"/>
    </row>
    <row r="8" spans="1:59" ht="34.5" customHeight="1">
      <c r="A8" s="1857"/>
      <c r="B8" s="1858"/>
      <c r="C8" s="1859" t="s">
        <v>103</v>
      </c>
      <c r="D8" s="1860"/>
      <c r="E8" s="1861" t="s">
        <v>102</v>
      </c>
      <c r="F8" s="1892"/>
      <c r="G8" s="1862"/>
      <c r="H8" s="1863"/>
      <c r="I8" s="1882"/>
      <c r="J8" s="2491"/>
      <c r="K8" s="1854" t="s">
        <v>8</v>
      </c>
      <c r="L8" s="1869">
        <f>L7*10</f>
        <v>27.145440000000004</v>
      </c>
      <c r="M8" s="2517" t="str">
        <f>IF('1. XL-1E TT'!AB8="","",'1. XL-1E TT'!AB8)</f>
        <v/>
      </c>
      <c r="N8" s="1867" t="s">
        <v>10</v>
      </c>
      <c r="O8" s="2542"/>
      <c r="P8" s="1882"/>
      <c r="Q8" s="2491"/>
      <c r="R8" s="1854" t="s">
        <v>8</v>
      </c>
      <c r="S8" s="1869">
        <f>S7*10</f>
        <v>27.145440000000004</v>
      </c>
      <c r="T8" s="2517" t="str">
        <f>IF('1. XL-1E TT'!AF8="","",'1. XL-1E TT'!AF8)</f>
        <v/>
      </c>
      <c r="U8" s="1867" t="s">
        <v>10</v>
      </c>
      <c r="V8" s="2542"/>
      <c r="W8" s="1882"/>
      <c r="X8" s="2491"/>
      <c r="Y8" s="1854" t="s">
        <v>8</v>
      </c>
      <c r="Z8" s="1869">
        <f>Z7*10</f>
        <v>27.145440000000004</v>
      </c>
      <c r="AA8" s="2517" t="str">
        <f>IF('1. XL-1E TT'!AJ8="","",'1. XL-1E TT'!AJ8)</f>
        <v/>
      </c>
      <c r="AB8" s="1867" t="s">
        <v>10</v>
      </c>
      <c r="AC8" s="2542"/>
      <c r="AD8" s="1882"/>
      <c r="AE8" s="2491"/>
      <c r="AF8" s="1854" t="s">
        <v>8</v>
      </c>
      <c r="AG8" s="1869">
        <f>AG7*10</f>
        <v>27.145440000000004</v>
      </c>
      <c r="AH8" s="2517" t="str">
        <f>IF('1. XL-1E TT(CA2)'!AB8="","",'1. XL-1E TT(CA2)'!AB8)</f>
        <v/>
      </c>
      <c r="AI8" s="1867" t="s">
        <v>10</v>
      </c>
      <c r="AJ8" s="2542"/>
      <c r="AK8" s="1882"/>
      <c r="AL8" s="2491"/>
      <c r="AM8" s="1854" t="s">
        <v>8</v>
      </c>
      <c r="AN8" s="1869">
        <f>AN7*10</f>
        <v>7.238783999999999</v>
      </c>
      <c r="AO8" s="2517" t="str">
        <f>IF('1. XL-1E TT(CA2)'!AF8="","",'1. XL-1E TT(CA2)'!AF8)</f>
        <v/>
      </c>
      <c r="AP8" s="1867" t="s">
        <v>10</v>
      </c>
      <c r="AQ8" s="2542"/>
      <c r="AR8" s="1882"/>
      <c r="AS8" s="1864"/>
      <c r="AT8" s="1854" t="s">
        <v>8</v>
      </c>
      <c r="AU8" s="1869">
        <f>AU7*10</f>
        <v>0.7238784000000007</v>
      </c>
      <c r="AV8" s="1866" t="str">
        <f>IF('1. XL-1E TT(CA2)'!AJ8="","",'1. XL-1E TT(CA2)'!AJ8)</f>
        <v/>
      </c>
      <c r="AW8" s="1867" t="s">
        <v>10</v>
      </c>
      <c r="AX8" s="2737">
        <f>'R.FILE GOC'!AI59</f>
        <v>15</v>
      </c>
      <c r="AY8" s="2737">
        <f>'R.FILE GOC'!AJ59</f>
        <v>0</v>
      </c>
      <c r="AZ8" s="1882"/>
      <c r="BB8" s="265" t="s">
        <v>8</v>
      </c>
      <c r="BC8" s="265">
        <v>27.145440000000004</v>
      </c>
      <c r="BD8" s="265" t="s">
        <v>1514</v>
      </c>
      <c r="BE8" s="265" t="s">
        <v>10</v>
      </c>
      <c r="BF8" s="2082">
        <v>0</v>
      </c>
      <c r="BG8" s="2739"/>
    </row>
    <row r="9" spans="1:59" ht="34.5" customHeight="1">
      <c r="A9" s="1834" t="s">
        <v>240</v>
      </c>
      <c r="B9" s="1835" t="s">
        <v>215</v>
      </c>
      <c r="C9" s="1835" t="s">
        <v>78</v>
      </c>
      <c r="D9" s="1836" t="s">
        <v>4</v>
      </c>
      <c r="E9" s="1837" t="str">
        <f>'XM.GUI MAIL'!E9</f>
        <v>20~40</v>
      </c>
      <c r="F9" s="1890" t="str">
        <f>'XM.GUI MAIL'!F9</f>
        <v>(30±5)</v>
      </c>
      <c r="G9" s="1838">
        <f>'XM.GUI MAIL'!G9</f>
        <v>30</v>
      </c>
      <c r="H9" s="1839">
        <f>XM.HN!B6</f>
        <v>0</v>
      </c>
      <c r="I9" s="1840">
        <f>H9*4</f>
        <v>0</v>
      </c>
      <c r="J9" s="2489">
        <f>($G$9-I9)*3305/1000</f>
        <v>99.15</v>
      </c>
      <c r="K9" s="1842" t="s">
        <v>8</v>
      </c>
      <c r="L9" s="1843">
        <f t="shared" ref="L9:L18" si="0">IF(J9&lt;0,0,J9)</f>
        <v>99.15</v>
      </c>
      <c r="M9" s="2515"/>
      <c r="N9" s="1845" t="s">
        <v>9</v>
      </c>
      <c r="O9" s="2540">
        <f>XM.HN!C6</f>
        <v>0</v>
      </c>
      <c r="P9" s="1840">
        <f>O9*4</f>
        <v>0</v>
      </c>
      <c r="Q9" s="2489">
        <f>($G$9-P9)*3305/1000</f>
        <v>99.15</v>
      </c>
      <c r="R9" s="1842" t="s">
        <v>8</v>
      </c>
      <c r="S9" s="1843">
        <f t="shared" ref="S9" si="1">IF(Q9&lt;0,0,Q9)</f>
        <v>99.15</v>
      </c>
      <c r="T9" s="2515"/>
      <c r="U9" s="1845" t="s">
        <v>9</v>
      </c>
      <c r="V9" s="2540">
        <f>XM.HN!D6</f>
        <v>0</v>
      </c>
      <c r="W9" s="1840">
        <f>V9*4</f>
        <v>0</v>
      </c>
      <c r="X9" s="2489">
        <f>($G$9-W9)*3305/1000</f>
        <v>99.15</v>
      </c>
      <c r="Y9" s="1842" t="s">
        <v>8</v>
      </c>
      <c r="Z9" s="1843">
        <f t="shared" ref="Z9" si="2">IF(X9&lt;0,0,X9)</f>
        <v>99.15</v>
      </c>
      <c r="AA9" s="2515"/>
      <c r="AB9" s="1845" t="s">
        <v>9</v>
      </c>
      <c r="AC9" s="2540">
        <f>XM.HN!E6</f>
        <v>0</v>
      </c>
      <c r="AD9" s="1840">
        <f>AC9*4</f>
        <v>0</v>
      </c>
      <c r="AE9" s="2489">
        <f>($G$9-AD9)*3305/1000</f>
        <v>99.15</v>
      </c>
      <c r="AF9" s="1842" t="s">
        <v>8</v>
      </c>
      <c r="AG9" s="1843">
        <f t="shared" ref="AG9" si="3">IF(AE9&lt;0,0,AE9)</f>
        <v>99.15</v>
      </c>
      <c r="AH9" s="2515"/>
      <c r="AI9" s="1845" t="s">
        <v>9</v>
      </c>
      <c r="AJ9" s="2540">
        <f>XM.HN!F6</f>
        <v>5.8</v>
      </c>
      <c r="AK9" s="1840">
        <f>AJ9*4</f>
        <v>23.2</v>
      </c>
      <c r="AL9" s="2489">
        <f>($G$9-AK9)*3305/1000</f>
        <v>22.474000000000004</v>
      </c>
      <c r="AM9" s="1842" t="s">
        <v>8</v>
      </c>
      <c r="AN9" s="1843">
        <f t="shared" ref="AN9" si="4">IF(AL9&lt;0,0,AL9)</f>
        <v>22.474000000000004</v>
      </c>
      <c r="AO9" s="2515"/>
      <c r="AP9" s="1845" t="s">
        <v>9</v>
      </c>
      <c r="AQ9" s="2540">
        <f>XM.HN!G6</f>
        <v>7.2</v>
      </c>
      <c r="AR9" s="1840">
        <f>AQ9*4</f>
        <v>28.8</v>
      </c>
      <c r="AS9" s="1841">
        <f>($G$9-AR9)*3305/1000</f>
        <v>3.9659999999999975</v>
      </c>
      <c r="AT9" s="1842" t="s">
        <v>8</v>
      </c>
      <c r="AU9" s="1843">
        <f t="shared" ref="AU9" si="5">IF(AS9&lt;0,0,AS9)</f>
        <v>3.9659999999999975</v>
      </c>
      <c r="AV9" s="1844"/>
      <c r="AW9" s="1845" t="s">
        <v>9</v>
      </c>
      <c r="AX9" s="2737">
        <f>'R.FILE GOC'!AI60</f>
        <v>10</v>
      </c>
      <c r="AY9" s="2737">
        <f>'R.FILE GOC'!AJ60</f>
        <v>0</v>
      </c>
      <c r="AZ9" s="1840">
        <v>0</v>
      </c>
      <c r="BA9" s="265">
        <v>99.15</v>
      </c>
      <c r="BB9" s="265" t="s">
        <v>8</v>
      </c>
      <c r="BC9" s="265">
        <v>99.15</v>
      </c>
      <c r="BE9" s="265" t="s">
        <v>9</v>
      </c>
      <c r="BF9" s="2082">
        <v>0</v>
      </c>
      <c r="BG9" s="2739"/>
    </row>
    <row r="10" spans="1:59" ht="34.5" customHeight="1">
      <c r="A10" s="1846"/>
      <c r="B10" s="1847"/>
      <c r="C10" s="1848" t="s">
        <v>101</v>
      </c>
      <c r="D10" s="1849"/>
      <c r="E10" s="1850" t="s">
        <v>102</v>
      </c>
      <c r="F10" s="1891"/>
      <c r="G10" s="1851"/>
      <c r="H10" s="1852"/>
      <c r="I10" s="1881"/>
      <c r="J10" s="2490"/>
      <c r="K10" s="1854" t="s">
        <v>8</v>
      </c>
      <c r="L10" s="1868">
        <f>L9/25*840/1000</f>
        <v>3.3314400000000002</v>
      </c>
      <c r="M10" s="2516" t="str">
        <f>IF('1. XL-1E TT'!AB10="","",'1. XL-1E TT'!AB10)</f>
        <v/>
      </c>
      <c r="N10" s="1856" t="s">
        <v>10</v>
      </c>
      <c r="O10" s="2541"/>
      <c r="P10" s="1881"/>
      <c r="Q10" s="2490"/>
      <c r="R10" s="1854" t="s">
        <v>8</v>
      </c>
      <c r="S10" s="1868">
        <f>S9/25*840/1000</f>
        <v>3.3314400000000002</v>
      </c>
      <c r="T10" s="2516" t="str">
        <f>IF('1. XL-1E TT'!AF10="","",'1. XL-1E TT'!AF10)</f>
        <v/>
      </c>
      <c r="U10" s="1856" t="s">
        <v>10</v>
      </c>
      <c r="V10" s="2541"/>
      <c r="W10" s="1881"/>
      <c r="X10" s="2490"/>
      <c r="Y10" s="1854" t="s">
        <v>8</v>
      </c>
      <c r="Z10" s="1868">
        <f>Z9/25*840/1000</f>
        <v>3.3314400000000002</v>
      </c>
      <c r="AA10" s="2516" t="str">
        <f>IF('1. XL-1E TT'!AJ10="","",'1. XL-1E TT'!AJ10)</f>
        <v/>
      </c>
      <c r="AB10" s="1856" t="s">
        <v>10</v>
      </c>
      <c r="AC10" s="2541"/>
      <c r="AD10" s="1881"/>
      <c r="AE10" s="2490"/>
      <c r="AF10" s="1854" t="s">
        <v>8</v>
      </c>
      <c r="AG10" s="1868">
        <f>AG9/25*840/1000</f>
        <v>3.3314400000000002</v>
      </c>
      <c r="AH10" s="2516" t="str">
        <f>IF('1. XL-1E TT(CA2)'!AB10="","",'1. XL-1E TT(CA2)'!AB10)</f>
        <v/>
      </c>
      <c r="AI10" s="1856" t="s">
        <v>10</v>
      </c>
      <c r="AJ10" s="2541"/>
      <c r="AK10" s="1881"/>
      <c r="AL10" s="2490"/>
      <c r="AM10" s="1854" t="s">
        <v>8</v>
      </c>
      <c r="AN10" s="1868">
        <f>AN9/25*840/1000</f>
        <v>0.7551264000000002</v>
      </c>
      <c r="AO10" s="2516" t="str">
        <f>IF('1. XL-1E TT(CA2)'!AF10="","",'1. XL-1E TT(CA2)'!AF10)</f>
        <v/>
      </c>
      <c r="AP10" s="1856" t="s">
        <v>10</v>
      </c>
      <c r="AQ10" s="2541"/>
      <c r="AR10" s="1881"/>
      <c r="AS10" s="1853"/>
      <c r="AT10" s="1854" t="s">
        <v>8</v>
      </c>
      <c r="AU10" s="1868">
        <f>AU9/25*840/1000</f>
        <v>0.13325759999999992</v>
      </c>
      <c r="AV10" s="1855" t="str">
        <f>IF('1. XL-1E TT(CA2)'!AJ10="","",'1. XL-1E TT(CA2)'!AJ10)</f>
        <v/>
      </c>
      <c r="AW10" s="1856" t="s">
        <v>10</v>
      </c>
      <c r="AX10" s="2737">
        <f>'R.FILE GOC'!AI61</f>
        <v>1.1399999999999999</v>
      </c>
      <c r="AY10" s="2737">
        <f>'R.FILE GOC'!AJ61</f>
        <v>0</v>
      </c>
      <c r="AZ10" s="1881"/>
      <c r="BB10" s="265" t="s">
        <v>8</v>
      </c>
      <c r="BC10" s="265">
        <v>3.3314400000000002</v>
      </c>
      <c r="BD10" s="265" t="s">
        <v>1514</v>
      </c>
      <c r="BE10" s="265" t="s">
        <v>10</v>
      </c>
      <c r="BF10" s="2082">
        <v>0</v>
      </c>
      <c r="BG10" s="2739"/>
    </row>
    <row r="11" spans="1:59" ht="34.5" customHeight="1">
      <c r="A11" s="1857"/>
      <c r="B11" s="1858"/>
      <c r="C11" s="1859" t="s">
        <v>103</v>
      </c>
      <c r="D11" s="1860"/>
      <c r="E11" s="1861" t="s">
        <v>102</v>
      </c>
      <c r="F11" s="1892"/>
      <c r="G11" s="1862"/>
      <c r="H11" s="1863"/>
      <c r="I11" s="1882"/>
      <c r="J11" s="2491"/>
      <c r="K11" s="1854" t="s">
        <v>8</v>
      </c>
      <c r="L11" s="1869">
        <f>L10*10</f>
        <v>33.314399999999999</v>
      </c>
      <c r="M11" s="2517" t="str">
        <f>IF('1. XL-1E TT'!AB11="","",'1. XL-1E TT'!AB11)</f>
        <v/>
      </c>
      <c r="N11" s="1867" t="s">
        <v>10</v>
      </c>
      <c r="O11" s="2542"/>
      <c r="P11" s="1882"/>
      <c r="Q11" s="2491"/>
      <c r="R11" s="1854" t="s">
        <v>8</v>
      </c>
      <c r="S11" s="1869">
        <f>S10*10</f>
        <v>33.314399999999999</v>
      </c>
      <c r="T11" s="2517" t="str">
        <f>IF('1. XL-1E TT'!AF11="","",'1. XL-1E TT'!AF11)</f>
        <v/>
      </c>
      <c r="U11" s="1867" t="s">
        <v>10</v>
      </c>
      <c r="V11" s="2542"/>
      <c r="W11" s="1882"/>
      <c r="X11" s="2491"/>
      <c r="Y11" s="1854" t="s">
        <v>8</v>
      </c>
      <c r="Z11" s="1869">
        <f>Z10*10</f>
        <v>33.314399999999999</v>
      </c>
      <c r="AA11" s="2517" t="str">
        <f>IF('1. XL-1E TT'!AJ11="","",'1. XL-1E TT'!AJ11)</f>
        <v/>
      </c>
      <c r="AB11" s="1867" t="s">
        <v>10</v>
      </c>
      <c r="AC11" s="2542"/>
      <c r="AD11" s="1882"/>
      <c r="AE11" s="2491"/>
      <c r="AF11" s="1854" t="s">
        <v>8</v>
      </c>
      <c r="AG11" s="1869">
        <f>AG10*10</f>
        <v>33.314399999999999</v>
      </c>
      <c r="AH11" s="2517" t="str">
        <f>IF('1. XL-1E TT(CA2)'!AB11="","",'1. XL-1E TT(CA2)'!AB11)</f>
        <v/>
      </c>
      <c r="AI11" s="1867" t="s">
        <v>10</v>
      </c>
      <c r="AJ11" s="2542"/>
      <c r="AK11" s="1882"/>
      <c r="AL11" s="2491"/>
      <c r="AM11" s="1854" t="s">
        <v>8</v>
      </c>
      <c r="AN11" s="1869">
        <f>AN10*10</f>
        <v>7.5512640000000015</v>
      </c>
      <c r="AO11" s="2517" t="str">
        <f>IF('1. XL-1E TT(CA2)'!AF11="","",'1. XL-1E TT(CA2)'!AF11)</f>
        <v/>
      </c>
      <c r="AP11" s="1867" t="s">
        <v>10</v>
      </c>
      <c r="AQ11" s="2542"/>
      <c r="AR11" s="1882"/>
      <c r="AS11" s="1864"/>
      <c r="AT11" s="1854" t="s">
        <v>8</v>
      </c>
      <c r="AU11" s="1869">
        <f>AU10*10</f>
        <v>1.3325759999999991</v>
      </c>
      <c r="AV11" s="1866" t="str">
        <f>IF('1. XL-1E TT(CA2)'!AJ11="","",'1. XL-1E TT(CA2)'!AJ11)</f>
        <v/>
      </c>
      <c r="AW11" s="1867" t="s">
        <v>10</v>
      </c>
      <c r="AX11" s="2737">
        <f>'R.FILE GOC'!AI62</f>
        <v>23.5</v>
      </c>
      <c r="AY11" s="2737">
        <f>'R.FILE GOC'!AJ62</f>
        <v>0</v>
      </c>
      <c r="AZ11" s="1882"/>
      <c r="BB11" s="265" t="s">
        <v>8</v>
      </c>
      <c r="BC11" s="265">
        <v>33.314399999999999</v>
      </c>
      <c r="BD11" s="265" t="s">
        <v>1514</v>
      </c>
      <c r="BE11" s="265" t="s">
        <v>10</v>
      </c>
      <c r="BF11" s="2082">
        <v>0</v>
      </c>
      <c r="BG11" s="2739"/>
    </row>
    <row r="12" spans="1:59" ht="34.5" customHeight="1">
      <c r="A12" s="1834" t="s">
        <v>241</v>
      </c>
      <c r="B12" s="1835" t="s">
        <v>215</v>
      </c>
      <c r="C12" s="1835" t="s">
        <v>49</v>
      </c>
      <c r="D12" s="1836" t="s">
        <v>4</v>
      </c>
      <c r="E12" s="1837" t="str">
        <f>'XM.GUI MAIL'!E12</f>
        <v>60~80</v>
      </c>
      <c r="F12" s="1890" t="str">
        <f>'XM.GUI MAIL'!F12</f>
        <v>(70±10)</v>
      </c>
      <c r="G12" s="1838">
        <f>'XM.GUI MAIL'!G12</f>
        <v>70</v>
      </c>
      <c r="H12" s="1839">
        <f>XM.HN!B9</f>
        <v>0</v>
      </c>
      <c r="I12" s="1870">
        <f>H12*4</f>
        <v>0</v>
      </c>
      <c r="J12" s="2489">
        <f>($G$12-I12)*1156/1000</f>
        <v>80.92</v>
      </c>
      <c r="K12" s="1842" t="s">
        <v>8</v>
      </c>
      <c r="L12" s="1843">
        <f t="shared" si="0"/>
        <v>80.92</v>
      </c>
      <c r="M12" s="2515"/>
      <c r="N12" s="1845" t="s">
        <v>9</v>
      </c>
      <c r="O12" s="2540">
        <f>XM.HN!C9</f>
        <v>0</v>
      </c>
      <c r="P12" s="1870">
        <f>O12*4</f>
        <v>0</v>
      </c>
      <c r="Q12" s="2489">
        <f>($G$12-P12)*1156/1000</f>
        <v>80.92</v>
      </c>
      <c r="R12" s="1842" t="s">
        <v>8</v>
      </c>
      <c r="S12" s="1843">
        <f t="shared" ref="S12:S18" si="6">IF(Q12&lt;0,0,Q12)</f>
        <v>80.92</v>
      </c>
      <c r="T12" s="2515"/>
      <c r="U12" s="1845" t="s">
        <v>9</v>
      </c>
      <c r="V12" s="2540">
        <f>XM.HN!D9</f>
        <v>0</v>
      </c>
      <c r="W12" s="1870">
        <f>V12*4</f>
        <v>0</v>
      </c>
      <c r="X12" s="2489">
        <f>($G$12-W12)*1156/1000</f>
        <v>80.92</v>
      </c>
      <c r="Y12" s="1842" t="s">
        <v>8</v>
      </c>
      <c r="Z12" s="1843">
        <f t="shared" ref="Z12:Z18" si="7">IF(X12&lt;0,0,X12)</f>
        <v>80.92</v>
      </c>
      <c r="AA12" s="2515"/>
      <c r="AB12" s="1845" t="s">
        <v>9</v>
      </c>
      <c r="AC12" s="2540">
        <f>XM.HN!E9</f>
        <v>0</v>
      </c>
      <c r="AD12" s="1870">
        <f>AC12*4</f>
        <v>0</v>
      </c>
      <c r="AE12" s="2489">
        <f>($G$12-AD12)*1156/1000</f>
        <v>80.92</v>
      </c>
      <c r="AF12" s="1842" t="s">
        <v>8</v>
      </c>
      <c r="AG12" s="1843">
        <f t="shared" ref="AG12:AG18" si="8">IF(AE12&lt;0,0,AE12)</f>
        <v>80.92</v>
      </c>
      <c r="AH12" s="2515"/>
      <c r="AI12" s="1845" t="s">
        <v>9</v>
      </c>
      <c r="AJ12" s="2540">
        <f>XM.HN!F9</f>
        <v>17.600000000000001</v>
      </c>
      <c r="AK12" s="1870">
        <f>AJ12*4</f>
        <v>70.400000000000006</v>
      </c>
      <c r="AL12" s="2489">
        <f>($G$12-AK12)*1156/1000</f>
        <v>-0.46240000000000658</v>
      </c>
      <c r="AM12" s="1842" t="s">
        <v>8</v>
      </c>
      <c r="AN12" s="1843">
        <f t="shared" ref="AN12:AN18" si="9">IF(AL12&lt;0,0,AL12)</f>
        <v>0</v>
      </c>
      <c r="AO12" s="2515"/>
      <c r="AP12" s="1845" t="s">
        <v>9</v>
      </c>
      <c r="AQ12" s="2540">
        <f>XM.HN!G9</f>
        <v>17.8</v>
      </c>
      <c r="AR12" s="1870">
        <f>AQ12*4</f>
        <v>71.2</v>
      </c>
      <c r="AS12" s="1841">
        <f>($G$12-AR12)*1156/1000</f>
        <v>-1.3872000000000033</v>
      </c>
      <c r="AT12" s="1842" t="s">
        <v>8</v>
      </c>
      <c r="AU12" s="1843">
        <f t="shared" ref="AU12:AU18" si="10">IF(AS12&lt;0,0,AS12)</f>
        <v>0</v>
      </c>
      <c r="AV12" s="1844"/>
      <c r="AW12" s="1845" t="s">
        <v>9</v>
      </c>
      <c r="AX12" s="2737">
        <f>'R.FILE GOC'!AI63</f>
        <v>8.3000000000000007</v>
      </c>
      <c r="AY12" s="2737">
        <f>'R.FILE GOC'!AJ63</f>
        <v>0</v>
      </c>
      <c r="AZ12" s="1870">
        <v>0</v>
      </c>
      <c r="BA12" s="265">
        <v>80.92</v>
      </c>
      <c r="BB12" s="265" t="s">
        <v>8</v>
      </c>
      <c r="BC12" s="265">
        <v>80.92</v>
      </c>
      <c r="BE12" s="265" t="s">
        <v>9</v>
      </c>
      <c r="BF12" s="2082">
        <v>0</v>
      </c>
      <c r="BG12" s="2739"/>
    </row>
    <row r="13" spans="1:59" ht="34.5" customHeight="1">
      <c r="A13" s="1857"/>
      <c r="B13" s="1858"/>
      <c r="C13" s="1871" t="s">
        <v>104</v>
      </c>
      <c r="D13" s="1860"/>
      <c r="E13" s="1861" t="s">
        <v>102</v>
      </c>
      <c r="F13" s="1892"/>
      <c r="G13" s="1862"/>
      <c r="H13" s="1863"/>
      <c r="I13" s="1883"/>
      <c r="J13" s="2491"/>
      <c r="K13" s="1865" t="s">
        <v>8</v>
      </c>
      <c r="L13" s="1869">
        <f>L12/25*7.5</f>
        <v>24.276</v>
      </c>
      <c r="M13" s="2517" t="str">
        <f>IF('1. XL-1E TT'!AB13="","",'1. XL-1E TT'!AB13)</f>
        <v/>
      </c>
      <c r="N13" s="1867" t="s">
        <v>10</v>
      </c>
      <c r="O13" s="2542"/>
      <c r="P13" s="1883"/>
      <c r="Q13" s="2491"/>
      <c r="R13" s="1865" t="s">
        <v>8</v>
      </c>
      <c r="S13" s="1869">
        <f>S12/25*7.5</f>
        <v>24.276</v>
      </c>
      <c r="T13" s="2517" t="str">
        <f>IF('1. XL-1E TT'!AF13="","",'1. XL-1E TT'!AF13)</f>
        <v/>
      </c>
      <c r="U13" s="1867" t="s">
        <v>10</v>
      </c>
      <c r="V13" s="2542"/>
      <c r="W13" s="1883"/>
      <c r="X13" s="2491"/>
      <c r="Y13" s="1865" t="s">
        <v>8</v>
      </c>
      <c r="Z13" s="1869">
        <f>Z12/25*7.5</f>
        <v>24.276</v>
      </c>
      <c r="AA13" s="2517" t="str">
        <f>IF('1. XL-1E TT'!AJ13="","",'1. XL-1E TT'!AJ13)</f>
        <v/>
      </c>
      <c r="AB13" s="1867" t="s">
        <v>10</v>
      </c>
      <c r="AC13" s="2542"/>
      <c r="AD13" s="1883"/>
      <c r="AE13" s="2491"/>
      <c r="AF13" s="1865" t="s">
        <v>8</v>
      </c>
      <c r="AG13" s="1869">
        <f>AG12/25*7.5</f>
        <v>24.276</v>
      </c>
      <c r="AH13" s="2517" t="str">
        <f>IF('1. XL-1E TT(CA2)'!AB13="","",'1. XL-1E TT(CA2)'!AB13)</f>
        <v/>
      </c>
      <c r="AI13" s="1867" t="s">
        <v>10</v>
      </c>
      <c r="AJ13" s="2542"/>
      <c r="AK13" s="1883"/>
      <c r="AL13" s="2491"/>
      <c r="AM13" s="1865" t="s">
        <v>8</v>
      </c>
      <c r="AN13" s="1869">
        <f>AN12/25*7.5</f>
        <v>0</v>
      </c>
      <c r="AO13" s="2517" t="str">
        <f>IF('1. XL-1E TT(CA2)'!AF13="","",'1. XL-1E TT(CA2)'!AF13)</f>
        <v/>
      </c>
      <c r="AP13" s="1867" t="s">
        <v>10</v>
      </c>
      <c r="AQ13" s="2542"/>
      <c r="AR13" s="1883"/>
      <c r="AS13" s="1864"/>
      <c r="AT13" s="1865" t="s">
        <v>8</v>
      </c>
      <c r="AU13" s="1869">
        <f>AU12/25*7.5</f>
        <v>0</v>
      </c>
      <c r="AV13" s="1866" t="str">
        <f>IF('1. XL-1E TT(CA2)'!AJ13="","",'1. XL-1E TT(CA2)'!AJ13)</f>
        <v/>
      </c>
      <c r="AW13" s="1867" t="s">
        <v>10</v>
      </c>
      <c r="AX13" s="2737">
        <f>'R.FILE GOC'!AI64</f>
        <v>7.3</v>
      </c>
      <c r="AY13" s="2737">
        <f>'R.FILE GOC'!AJ64</f>
        <v>0</v>
      </c>
      <c r="AZ13" s="1883"/>
      <c r="BB13" s="265" t="s">
        <v>8</v>
      </c>
      <c r="BC13" s="265">
        <v>24.276</v>
      </c>
      <c r="BD13" s="265" t="s">
        <v>1514</v>
      </c>
      <c r="BE13" s="265" t="s">
        <v>10</v>
      </c>
      <c r="BF13" s="2082">
        <v>0</v>
      </c>
      <c r="BG13" s="2739"/>
    </row>
    <row r="14" spans="1:59" ht="34.5" customHeight="1">
      <c r="A14" s="1834" t="s">
        <v>242</v>
      </c>
      <c r="B14" s="1835" t="s">
        <v>215</v>
      </c>
      <c r="C14" s="1835" t="s">
        <v>50</v>
      </c>
      <c r="D14" s="1836" t="s">
        <v>4</v>
      </c>
      <c r="E14" s="1837" t="str">
        <f>'XM.GUI MAIL'!E14</f>
        <v>60~80</v>
      </c>
      <c r="F14" s="1890" t="str">
        <f>'XM.GUI MAIL'!F14</f>
        <v>(70±10)</v>
      </c>
      <c r="G14" s="1838">
        <f>'XM.GUI MAIL'!G14</f>
        <v>70</v>
      </c>
      <c r="H14" s="1839">
        <f>XM.HN!B11</f>
        <v>0</v>
      </c>
      <c r="I14" s="1870">
        <f>H14*4</f>
        <v>0</v>
      </c>
      <c r="J14" s="2489">
        <f>($G$14-I14)*1459/1000</f>
        <v>102.13</v>
      </c>
      <c r="K14" s="1842" t="s">
        <v>8</v>
      </c>
      <c r="L14" s="1843">
        <f t="shared" si="0"/>
        <v>102.13</v>
      </c>
      <c r="M14" s="2515"/>
      <c r="N14" s="1845" t="s">
        <v>9</v>
      </c>
      <c r="O14" s="2540">
        <f>XM.HN!C11</f>
        <v>0</v>
      </c>
      <c r="P14" s="1870">
        <f>O14*4</f>
        <v>0</v>
      </c>
      <c r="Q14" s="2489">
        <f>($G$14-P14)*1459/1000</f>
        <v>102.13</v>
      </c>
      <c r="R14" s="1842" t="s">
        <v>8</v>
      </c>
      <c r="S14" s="1843">
        <f t="shared" si="6"/>
        <v>102.13</v>
      </c>
      <c r="T14" s="2515"/>
      <c r="U14" s="1845" t="s">
        <v>9</v>
      </c>
      <c r="V14" s="2540">
        <f>XM.HN!D11</f>
        <v>0</v>
      </c>
      <c r="W14" s="1870">
        <f>V14*4</f>
        <v>0</v>
      </c>
      <c r="X14" s="2489">
        <f>($G$14-W14)*1459/1000</f>
        <v>102.13</v>
      </c>
      <c r="Y14" s="1842" t="s">
        <v>8</v>
      </c>
      <c r="Z14" s="1843">
        <f t="shared" si="7"/>
        <v>102.13</v>
      </c>
      <c r="AA14" s="2515"/>
      <c r="AB14" s="1845" t="s">
        <v>9</v>
      </c>
      <c r="AC14" s="2540">
        <f>XM.HN!E11</f>
        <v>0</v>
      </c>
      <c r="AD14" s="1870">
        <f>AC14*4</f>
        <v>0</v>
      </c>
      <c r="AE14" s="2489">
        <f>($G$14-AD14)*1459/1000</f>
        <v>102.13</v>
      </c>
      <c r="AF14" s="1842" t="s">
        <v>8</v>
      </c>
      <c r="AG14" s="1843">
        <f t="shared" si="8"/>
        <v>102.13</v>
      </c>
      <c r="AH14" s="2515"/>
      <c r="AI14" s="1845" t="s">
        <v>9</v>
      </c>
      <c r="AJ14" s="2540">
        <f>XM.HN!F11</f>
        <v>18.5</v>
      </c>
      <c r="AK14" s="1870">
        <f>AJ14*4</f>
        <v>74</v>
      </c>
      <c r="AL14" s="2489">
        <f>($G$14-AK14)*1459/1000</f>
        <v>-5.8360000000000003</v>
      </c>
      <c r="AM14" s="1842" t="s">
        <v>8</v>
      </c>
      <c r="AN14" s="1843">
        <f t="shared" si="9"/>
        <v>0</v>
      </c>
      <c r="AO14" s="2515"/>
      <c r="AP14" s="1845" t="s">
        <v>9</v>
      </c>
      <c r="AQ14" s="2540">
        <f>XM.HN!G11</f>
        <v>18.3</v>
      </c>
      <c r="AR14" s="1870">
        <f>AQ14*4</f>
        <v>73.2</v>
      </c>
      <c r="AS14" s="1841">
        <f>($G$14-AR14)*1459/1000</f>
        <v>-4.6688000000000036</v>
      </c>
      <c r="AT14" s="1842" t="s">
        <v>8</v>
      </c>
      <c r="AU14" s="1843">
        <f t="shared" si="10"/>
        <v>0</v>
      </c>
      <c r="AV14" s="1844"/>
      <c r="AW14" s="1845" t="s">
        <v>9</v>
      </c>
      <c r="AX14" s="2737">
        <f>'R.FILE GOC'!AI65</f>
        <v>5.4</v>
      </c>
      <c r="AY14" s="2737">
        <f>'R.FILE GOC'!AJ65</f>
        <v>0</v>
      </c>
      <c r="AZ14" s="1870">
        <v>0</v>
      </c>
      <c r="BA14" s="265">
        <v>102.13</v>
      </c>
      <c r="BB14" s="265" t="s">
        <v>8</v>
      </c>
      <c r="BC14" s="265">
        <v>102.13</v>
      </c>
      <c r="BE14" s="265" t="s">
        <v>9</v>
      </c>
      <c r="BF14" s="2082">
        <v>0</v>
      </c>
      <c r="BG14" s="2739"/>
    </row>
    <row r="15" spans="1:59" ht="34.5" customHeight="1">
      <c r="A15" s="1857"/>
      <c r="B15" s="1858"/>
      <c r="C15" s="1871" t="s">
        <v>104</v>
      </c>
      <c r="D15" s="1860"/>
      <c r="E15" s="1861" t="s">
        <v>102</v>
      </c>
      <c r="F15" s="1892"/>
      <c r="G15" s="1862"/>
      <c r="H15" s="1863"/>
      <c r="I15" s="1882"/>
      <c r="J15" s="2491"/>
      <c r="K15" s="1865" t="s">
        <v>8</v>
      </c>
      <c r="L15" s="1869">
        <f>L14/25*7.5</f>
        <v>30.638999999999996</v>
      </c>
      <c r="M15" s="2517" t="str">
        <f>IF('1. XL-1E TT'!AB15="","",'1. XL-1E TT'!AB15)</f>
        <v/>
      </c>
      <c r="N15" s="1867" t="s">
        <v>10</v>
      </c>
      <c r="O15" s="2542"/>
      <c r="P15" s="1882"/>
      <c r="Q15" s="2491"/>
      <c r="R15" s="1865" t="s">
        <v>8</v>
      </c>
      <c r="S15" s="1869">
        <f>S14/25*7.5</f>
        <v>30.638999999999996</v>
      </c>
      <c r="T15" s="2517" t="str">
        <f>IF('1. XL-1E TT'!AF15="","",'1. XL-1E TT'!AF15)</f>
        <v/>
      </c>
      <c r="U15" s="1867" t="s">
        <v>10</v>
      </c>
      <c r="V15" s="2542"/>
      <c r="W15" s="1882"/>
      <c r="X15" s="2491"/>
      <c r="Y15" s="1865" t="s">
        <v>8</v>
      </c>
      <c r="Z15" s="1869">
        <f>Z14/25*7.5</f>
        <v>30.638999999999996</v>
      </c>
      <c r="AA15" s="2517" t="str">
        <f>IF('1. XL-1E TT'!AJ15="","",'1. XL-1E TT'!AJ15)</f>
        <v/>
      </c>
      <c r="AB15" s="1867" t="s">
        <v>10</v>
      </c>
      <c r="AC15" s="2542"/>
      <c r="AD15" s="1882"/>
      <c r="AE15" s="2491"/>
      <c r="AF15" s="1865" t="s">
        <v>8</v>
      </c>
      <c r="AG15" s="1869">
        <f>AG14/25*7.5</f>
        <v>30.638999999999996</v>
      </c>
      <c r="AH15" s="2517" t="str">
        <f>IF('1. XL-1E TT(CA2)'!AB15="","",'1. XL-1E TT(CA2)'!AB15)</f>
        <v/>
      </c>
      <c r="AI15" s="1867" t="s">
        <v>10</v>
      </c>
      <c r="AJ15" s="2542"/>
      <c r="AK15" s="1882"/>
      <c r="AL15" s="2491"/>
      <c r="AM15" s="1865" t="s">
        <v>8</v>
      </c>
      <c r="AN15" s="1869">
        <f>AN14/25*7.5</f>
        <v>0</v>
      </c>
      <c r="AO15" s="2517" t="str">
        <f>IF('1. XL-1E TT(CA2)'!AF15="","",'1. XL-1E TT(CA2)'!AF15)</f>
        <v/>
      </c>
      <c r="AP15" s="1867" t="s">
        <v>10</v>
      </c>
      <c r="AQ15" s="2542"/>
      <c r="AR15" s="1882"/>
      <c r="AS15" s="1864"/>
      <c r="AT15" s="1865" t="s">
        <v>8</v>
      </c>
      <c r="AU15" s="1869">
        <f>AU14/25*7.5</f>
        <v>0</v>
      </c>
      <c r="AV15" s="1866" t="str">
        <f>IF('1. XL-1E TT(CA2)'!AJ15="","",'1. XL-1E TT(CA2)'!AJ15)</f>
        <v/>
      </c>
      <c r="AW15" s="1867" t="s">
        <v>10</v>
      </c>
      <c r="AX15" s="2737">
        <f>'R.FILE GOC'!AI66</f>
        <v>0</v>
      </c>
      <c r="AY15" s="2737">
        <f>'R.FILE GOC'!AJ66</f>
        <v>0</v>
      </c>
      <c r="AZ15" s="1882"/>
      <c r="BB15" s="265" t="s">
        <v>8</v>
      </c>
      <c r="BC15" s="265">
        <v>30.638999999999996</v>
      </c>
      <c r="BD15" s="265" t="s">
        <v>1514</v>
      </c>
      <c r="BE15" s="265" t="s">
        <v>10</v>
      </c>
      <c r="BF15" s="2082">
        <v>0</v>
      </c>
      <c r="BG15" s="2739"/>
    </row>
    <row r="16" spans="1:59" ht="34.5" customHeight="1">
      <c r="A16" s="996" t="s">
        <v>243</v>
      </c>
      <c r="B16" s="996" t="s">
        <v>215</v>
      </c>
      <c r="C16" s="997" t="s">
        <v>56</v>
      </c>
      <c r="D16" s="1002" t="s">
        <v>4</v>
      </c>
      <c r="E16" s="13" t="str">
        <f>'XM.GUI MAIL'!E16</f>
        <v>130 - 150</v>
      </c>
      <c r="F16" s="1893" t="str">
        <f>'XM.GUI MAIL'!F16</f>
        <v>(140±7)</v>
      </c>
      <c r="G16" s="1069">
        <f>'XM.GUI MAIL'!G16</f>
        <v>140</v>
      </c>
      <c r="H16" s="87">
        <f>XM.HN!B13</f>
        <v>0</v>
      </c>
      <c r="I16" s="1762">
        <f>H16*8</f>
        <v>0</v>
      </c>
      <c r="J16" s="2492">
        <f>($G$16-I16)*19951/1000</f>
        <v>2793.14</v>
      </c>
      <c r="K16" s="1735" t="s">
        <v>8</v>
      </c>
      <c r="L16" s="1736">
        <f t="shared" si="0"/>
        <v>2793.14</v>
      </c>
      <c r="M16" s="2518"/>
      <c r="N16" s="1737" t="s">
        <v>9</v>
      </c>
      <c r="O16" s="2543">
        <f>XM.HN!C13</f>
        <v>0</v>
      </c>
      <c r="P16" s="1762">
        <f>O16*8</f>
        <v>0</v>
      </c>
      <c r="Q16" s="2492">
        <f>($G$16-P16)*19951/1000</f>
        <v>2793.14</v>
      </c>
      <c r="R16" s="1735" t="s">
        <v>8</v>
      </c>
      <c r="S16" s="1736">
        <f t="shared" si="6"/>
        <v>2793.14</v>
      </c>
      <c r="T16" s="2518"/>
      <c r="U16" s="1737" t="s">
        <v>9</v>
      </c>
      <c r="V16" s="2543">
        <f>XM.HN!D13</f>
        <v>0</v>
      </c>
      <c r="W16" s="1762">
        <f>V16*8</f>
        <v>0</v>
      </c>
      <c r="X16" s="2492">
        <f>($G$16-W16)*19951/1000</f>
        <v>2793.14</v>
      </c>
      <c r="Y16" s="1735" t="s">
        <v>8</v>
      </c>
      <c r="Z16" s="1736">
        <f t="shared" si="7"/>
        <v>2793.14</v>
      </c>
      <c r="AA16" s="2518"/>
      <c r="AB16" s="1737" t="s">
        <v>9</v>
      </c>
      <c r="AC16" s="2543">
        <f>XM.HN!E13</f>
        <v>0</v>
      </c>
      <c r="AD16" s="1762">
        <f>AC16*8</f>
        <v>0</v>
      </c>
      <c r="AE16" s="2492">
        <f>($G$16-AD16)*19951/1000</f>
        <v>2793.14</v>
      </c>
      <c r="AF16" s="1735" t="s">
        <v>8</v>
      </c>
      <c r="AG16" s="1736">
        <f t="shared" si="8"/>
        <v>2793.14</v>
      </c>
      <c r="AH16" s="2518"/>
      <c r="AI16" s="1737" t="s">
        <v>9</v>
      </c>
      <c r="AJ16" s="2543">
        <f>XM.HN!F13</f>
        <v>17.7</v>
      </c>
      <c r="AK16" s="1762">
        <f>AJ16*8</f>
        <v>141.6</v>
      </c>
      <c r="AL16" s="2492">
        <f>($G$16-AK16)*19951/1000</f>
        <v>-31.921599999999884</v>
      </c>
      <c r="AM16" s="1735" t="s">
        <v>8</v>
      </c>
      <c r="AN16" s="1736">
        <f t="shared" si="9"/>
        <v>0</v>
      </c>
      <c r="AO16" s="2518"/>
      <c r="AP16" s="1737" t="s">
        <v>9</v>
      </c>
      <c r="AQ16" s="2543">
        <f>XM.HN!G13</f>
        <v>17.8</v>
      </c>
      <c r="AR16" s="1762">
        <f>AQ16*8</f>
        <v>142.4</v>
      </c>
      <c r="AS16" s="1734">
        <f>($G$16-AR16)*19951/1000</f>
        <v>-47.882400000000111</v>
      </c>
      <c r="AT16" s="1735" t="s">
        <v>8</v>
      </c>
      <c r="AU16" s="1736">
        <f t="shared" si="10"/>
        <v>0</v>
      </c>
      <c r="AV16" s="1736"/>
      <c r="AW16" s="1737" t="s">
        <v>9</v>
      </c>
      <c r="AX16" s="2737">
        <f>'R.FILE GOC'!AI67</f>
        <v>15.457983884229568</v>
      </c>
      <c r="AY16" s="2737">
        <f>'R.FILE GOC'!AJ67</f>
        <v>0</v>
      </c>
      <c r="AZ16" s="1762">
        <v>0</v>
      </c>
      <c r="BA16" s="265">
        <v>2793.14</v>
      </c>
      <c r="BB16" s="265" t="s">
        <v>8</v>
      </c>
      <c r="BC16" s="265">
        <v>2793.14</v>
      </c>
      <c r="BE16" s="265" t="s">
        <v>9</v>
      </c>
      <c r="BF16" s="2082" t="s">
        <v>1514</v>
      </c>
      <c r="BG16" s="2739"/>
    </row>
    <row r="17" spans="1:59" ht="34.5" customHeight="1">
      <c r="A17" s="45" t="s">
        <v>244</v>
      </c>
      <c r="B17" s="996" t="s">
        <v>215</v>
      </c>
      <c r="C17" s="991" t="s">
        <v>57</v>
      </c>
      <c r="D17" s="1002" t="s">
        <v>4</v>
      </c>
      <c r="E17" s="13" t="str">
        <f>'XM.GUI MAIL'!E17</f>
        <v>8~12</v>
      </c>
      <c r="F17" s="1894" t="str">
        <f>'XM.GUI MAIL'!F17</f>
        <v>(10±2)</v>
      </c>
      <c r="G17" s="1069">
        <f>'XM.GUI MAIL'!G17</f>
        <v>10</v>
      </c>
      <c r="H17" s="87">
        <f>XM.HN!B14</f>
        <v>0</v>
      </c>
      <c r="I17" s="1768">
        <f>H17*1.3</f>
        <v>0</v>
      </c>
      <c r="J17" s="2492">
        <f>($G$17-I17)*19951/1000</f>
        <v>199.51</v>
      </c>
      <c r="K17" s="1735" t="s">
        <v>8</v>
      </c>
      <c r="L17" s="1736">
        <f t="shared" si="0"/>
        <v>199.51</v>
      </c>
      <c r="M17" s="2518"/>
      <c r="N17" s="1737" t="s">
        <v>986</v>
      </c>
      <c r="O17" s="2543">
        <f>XM.HN!C14</f>
        <v>0</v>
      </c>
      <c r="P17" s="1768">
        <f>O17*1.3</f>
        <v>0</v>
      </c>
      <c r="Q17" s="2492">
        <f>($G$17-P17)*19951/1000</f>
        <v>199.51</v>
      </c>
      <c r="R17" s="1735" t="s">
        <v>8</v>
      </c>
      <c r="S17" s="1736">
        <f t="shared" si="6"/>
        <v>199.51</v>
      </c>
      <c r="T17" s="2518"/>
      <c r="U17" s="1737" t="s">
        <v>1155</v>
      </c>
      <c r="V17" s="2543">
        <f>XM.HN!D14</f>
        <v>0</v>
      </c>
      <c r="W17" s="1768">
        <f>V17*1.3</f>
        <v>0</v>
      </c>
      <c r="X17" s="2492">
        <f>($G$17-W17)*19951/1000</f>
        <v>199.51</v>
      </c>
      <c r="Y17" s="1735" t="s">
        <v>8</v>
      </c>
      <c r="Z17" s="1736">
        <f t="shared" si="7"/>
        <v>199.51</v>
      </c>
      <c r="AA17" s="2518"/>
      <c r="AB17" s="1737" t="s">
        <v>986</v>
      </c>
      <c r="AC17" s="2543">
        <f>XM.HN!E14</f>
        <v>0</v>
      </c>
      <c r="AD17" s="1768">
        <f>AC17*1.3</f>
        <v>0</v>
      </c>
      <c r="AE17" s="2492">
        <f>($G$17-AD17)*19951/1000</f>
        <v>199.51</v>
      </c>
      <c r="AF17" s="1735" t="s">
        <v>1156</v>
      </c>
      <c r="AG17" s="1736">
        <f t="shared" si="8"/>
        <v>199.51</v>
      </c>
      <c r="AH17" s="2518"/>
      <c r="AI17" s="1737" t="s">
        <v>986</v>
      </c>
      <c r="AJ17" s="2543">
        <f>XM.HN!F14</f>
        <v>8.9</v>
      </c>
      <c r="AK17" s="1768">
        <f>AJ17*1.3</f>
        <v>11.57</v>
      </c>
      <c r="AL17" s="2492">
        <f>($G$17-AK17)*19951/1000</f>
        <v>-31.323070000000008</v>
      </c>
      <c r="AM17" s="1735" t="s">
        <v>8</v>
      </c>
      <c r="AN17" s="1736">
        <f t="shared" si="9"/>
        <v>0</v>
      </c>
      <c r="AO17" s="2518"/>
      <c r="AP17" s="1737" t="s">
        <v>986</v>
      </c>
      <c r="AQ17" s="2543">
        <f>XM.HN!G14</f>
        <v>8.8000000000000007</v>
      </c>
      <c r="AR17" s="1768">
        <f>AQ17*1.3</f>
        <v>11.440000000000001</v>
      </c>
      <c r="AS17" s="1734">
        <f>($G$17-AR17)*19951/1000</f>
        <v>-28.729440000000025</v>
      </c>
      <c r="AT17" s="1735" t="s">
        <v>8</v>
      </c>
      <c r="AU17" s="1736">
        <f t="shared" si="10"/>
        <v>0</v>
      </c>
      <c r="AV17" s="1736"/>
      <c r="AW17" s="1737" t="s">
        <v>986</v>
      </c>
      <c r="AX17" s="2737">
        <f>'R.FILE GOC'!AI68</f>
        <v>12</v>
      </c>
      <c r="AY17" s="2737">
        <f>'R.FILE GOC'!AJ68</f>
        <v>0</v>
      </c>
      <c r="AZ17" s="1768">
        <v>0</v>
      </c>
      <c r="BA17" s="265">
        <v>179.559</v>
      </c>
      <c r="BB17" s="265" t="s">
        <v>8</v>
      </c>
      <c r="BC17" s="265">
        <v>179.559</v>
      </c>
      <c r="BE17" s="265" t="s">
        <v>9</v>
      </c>
      <c r="BF17" s="2082" t="s">
        <v>1514</v>
      </c>
      <c r="BG17" s="2739"/>
    </row>
    <row r="18" spans="1:59" ht="34.5" customHeight="1">
      <c r="A18" s="275" t="s">
        <v>250</v>
      </c>
      <c r="B18" s="996" t="s">
        <v>215</v>
      </c>
      <c r="C18" s="1000" t="s">
        <v>978</v>
      </c>
      <c r="D18" s="1002" t="s">
        <v>3</v>
      </c>
      <c r="E18" s="13" t="str">
        <f>'XM.GUI MAIL'!E18</f>
        <v xml:space="preserve">12~18 </v>
      </c>
      <c r="F18" s="1894" t="str">
        <f>'XM.GUI MAIL'!F18</f>
        <v>(14±2)</v>
      </c>
      <c r="G18" s="1069">
        <f>'XM.GUI MAIL'!G18</f>
        <v>14</v>
      </c>
      <c r="H18" s="87">
        <f>XM.HN!B15</f>
        <v>0</v>
      </c>
      <c r="I18" s="1738">
        <f>H18*100/6.95/10</f>
        <v>0</v>
      </c>
      <c r="J18" s="2492">
        <f>($G$18-I18)*575/100</f>
        <v>80.5</v>
      </c>
      <c r="K18" s="1735" t="s">
        <v>8</v>
      </c>
      <c r="L18" s="1736">
        <f t="shared" si="0"/>
        <v>80.5</v>
      </c>
      <c r="M18" s="2518"/>
      <c r="N18" s="1739" t="s">
        <v>10</v>
      </c>
      <c r="O18" s="2544">
        <f>XM.HN!C15</f>
        <v>0</v>
      </c>
      <c r="P18" s="1738">
        <f>O18*100/6.95/10</f>
        <v>0</v>
      </c>
      <c r="Q18" s="2492">
        <f>($G$18-P18)*575/100</f>
        <v>80.5</v>
      </c>
      <c r="R18" s="1735" t="s">
        <v>8</v>
      </c>
      <c r="S18" s="1736">
        <f t="shared" si="6"/>
        <v>80.5</v>
      </c>
      <c r="T18" s="2518"/>
      <c r="U18" s="1739" t="s">
        <v>10</v>
      </c>
      <c r="V18" s="2539">
        <f>XM.HN!D15</f>
        <v>0</v>
      </c>
      <c r="W18" s="1738">
        <f>V18*100/6.95/10</f>
        <v>0</v>
      </c>
      <c r="X18" s="2492">
        <f>($G$18-W18)*575/100</f>
        <v>80.5</v>
      </c>
      <c r="Y18" s="1735" t="s">
        <v>8</v>
      </c>
      <c r="Z18" s="1736">
        <f t="shared" si="7"/>
        <v>80.5</v>
      </c>
      <c r="AA18" s="2518"/>
      <c r="AB18" s="1737" t="s">
        <v>10</v>
      </c>
      <c r="AC18" s="2571">
        <f>XM.HN!E15</f>
        <v>0</v>
      </c>
      <c r="AD18" s="1738">
        <f>AC18*100/6.95/10</f>
        <v>0</v>
      </c>
      <c r="AE18" s="2492">
        <f>($G$18-AD18)*575/100</f>
        <v>80.5</v>
      </c>
      <c r="AF18" s="1735" t="s">
        <v>8</v>
      </c>
      <c r="AG18" s="1736">
        <f t="shared" si="8"/>
        <v>80.5</v>
      </c>
      <c r="AH18" s="2518"/>
      <c r="AI18" s="1739" t="s">
        <v>10</v>
      </c>
      <c r="AJ18" s="2539">
        <f>XM.HN!F15</f>
        <v>11.8</v>
      </c>
      <c r="AK18" s="1738">
        <f>AJ18*100/6.95/10</f>
        <v>16.978417266187048</v>
      </c>
      <c r="AL18" s="2492">
        <f>($G$18-AK18)*575/100</f>
        <v>-17.125899280575524</v>
      </c>
      <c r="AM18" s="1735" t="s">
        <v>8</v>
      </c>
      <c r="AN18" s="1736">
        <f t="shared" si="9"/>
        <v>0</v>
      </c>
      <c r="AO18" s="2518"/>
      <c r="AP18" s="1739" t="s">
        <v>10</v>
      </c>
      <c r="AQ18" s="2539">
        <f>XM.HN!G15</f>
        <v>11.5</v>
      </c>
      <c r="AR18" s="1738">
        <f>AQ18*100/6.95/10</f>
        <v>16.546762589928058</v>
      </c>
      <c r="AS18" s="1734">
        <f>($G$18-AR18)*575/100</f>
        <v>-14.643884892086332</v>
      </c>
      <c r="AT18" s="1735" t="s">
        <v>8</v>
      </c>
      <c r="AU18" s="1736">
        <f t="shared" si="10"/>
        <v>0</v>
      </c>
      <c r="AV18" s="1736"/>
      <c r="AW18" s="1737" t="s">
        <v>10</v>
      </c>
      <c r="AX18" s="2737" t="str">
        <f>'R.FILE GOC'!AI69</f>
        <v/>
      </c>
      <c r="AY18" s="2737">
        <f>'R.FILE GOC'!AJ69</f>
        <v>0</v>
      </c>
      <c r="AZ18" s="1738">
        <v>0</v>
      </c>
      <c r="BA18" s="265">
        <v>80.5</v>
      </c>
      <c r="BB18" s="265" t="s">
        <v>8</v>
      </c>
      <c r="BC18" s="265">
        <v>80.5</v>
      </c>
      <c r="BE18" s="265" t="s">
        <v>10</v>
      </c>
      <c r="BF18" s="2082" t="s">
        <v>1514</v>
      </c>
      <c r="BG18" s="2739"/>
    </row>
    <row r="19" spans="1:59" ht="34.5" customHeight="1">
      <c r="A19" s="275" t="s">
        <v>252</v>
      </c>
      <c r="B19" s="996" t="s">
        <v>215</v>
      </c>
      <c r="C19" s="278"/>
      <c r="D19" s="1002" t="s">
        <v>5</v>
      </c>
      <c r="E19" s="13" t="str">
        <f>'XM.GUI MAIL'!E19</f>
        <v>1.6~2.2</v>
      </c>
      <c r="F19" s="1893" t="str">
        <f>'XM.GUI MAIL'!F19</f>
        <v>(2±0.2 )</v>
      </c>
      <c r="G19" s="1069">
        <f>'XM.GUI MAIL'!G19</f>
        <v>0</v>
      </c>
      <c r="H19" s="87"/>
      <c r="I19" s="1768">
        <f>XM.HN!B23</f>
        <v>0</v>
      </c>
      <c r="J19" s="2493"/>
      <c r="K19" s="1741"/>
      <c r="L19" s="1741"/>
      <c r="M19" s="2495"/>
      <c r="N19" s="1742"/>
      <c r="O19" s="2545"/>
      <c r="P19" s="1768">
        <f>XM.HN!C23</f>
        <v>0</v>
      </c>
      <c r="Q19" s="2493"/>
      <c r="R19" s="1741"/>
      <c r="S19" s="1741"/>
      <c r="T19" s="2495"/>
      <c r="U19" s="1742"/>
      <c r="V19" s="2572"/>
      <c r="W19" s="1768">
        <f>XM.HN!D23</f>
        <v>0</v>
      </c>
      <c r="X19" s="2493"/>
      <c r="Y19" s="1741"/>
      <c r="Z19" s="1741"/>
      <c r="AA19" s="2495"/>
      <c r="AB19" s="1876"/>
      <c r="AC19" s="2572"/>
      <c r="AD19" s="1768">
        <f>XM.HN!E23</f>
        <v>0</v>
      </c>
      <c r="AE19" s="2493"/>
      <c r="AF19" s="1741"/>
      <c r="AG19" s="1741"/>
      <c r="AH19" s="2495"/>
      <c r="AI19" s="1742"/>
      <c r="AJ19" s="2543"/>
      <c r="AK19" s="1768">
        <f>XM.HN!F23</f>
        <v>1.48</v>
      </c>
      <c r="AL19" s="2493"/>
      <c r="AM19" s="1741"/>
      <c r="AN19" s="1741"/>
      <c r="AO19" s="2495"/>
      <c r="AP19" s="1742"/>
      <c r="AQ19" s="2543"/>
      <c r="AR19" s="1768">
        <f>XM.HN!G23</f>
        <v>1.64</v>
      </c>
      <c r="AS19" s="1769"/>
      <c r="AT19" s="1735"/>
      <c r="AU19" s="1736"/>
      <c r="AV19" s="1736"/>
      <c r="AW19" s="1778"/>
      <c r="AX19" s="2737" t="str">
        <f>'R.FILE GOC'!AI70</f>
        <v/>
      </c>
      <c r="AY19" s="2737">
        <f>'R.FILE GOC'!AJ70</f>
        <v>0</v>
      </c>
      <c r="AZ19" s="1768">
        <v>0</v>
      </c>
      <c r="BF19" s="2082" t="s">
        <v>1514</v>
      </c>
      <c r="BG19" s="2739"/>
    </row>
    <row r="20" spans="1:59" ht="34.5" customHeight="1">
      <c r="A20" s="45" t="s">
        <v>245</v>
      </c>
      <c r="B20" s="996" t="s">
        <v>215</v>
      </c>
      <c r="C20" s="997" t="s">
        <v>58</v>
      </c>
      <c r="D20" s="1002" t="s">
        <v>6</v>
      </c>
      <c r="E20" s="13" t="str">
        <f>'XM.GUI MAIL'!E20</f>
        <v xml:space="preserve">40~50 </v>
      </c>
      <c r="F20" s="1893" t="str">
        <f>'XM.GUI MAIL'!F20</f>
        <v>(45±5)</v>
      </c>
      <c r="G20" s="1340">
        <f>'XM.GUI MAIL'!G20</f>
        <v>0.45</v>
      </c>
      <c r="H20" s="87">
        <f>XM.HN!B17</f>
        <v>0</v>
      </c>
      <c r="I20" s="1743">
        <f>(1*H20*36.5)/(1*10)/32%/100</f>
        <v>0</v>
      </c>
      <c r="J20" s="2494">
        <f>($G$20-I20)*2122</f>
        <v>954.9</v>
      </c>
      <c r="K20" s="1745" t="s">
        <v>8</v>
      </c>
      <c r="L20" s="1746">
        <f>IF(J20&lt;0,0,J20)</f>
        <v>954.9</v>
      </c>
      <c r="M20" s="2519"/>
      <c r="N20" s="1747" t="s">
        <v>10</v>
      </c>
      <c r="O20" s="2546">
        <f>XM.HN!C17</f>
        <v>0</v>
      </c>
      <c r="P20" s="1743">
        <f>(1*O20*36.5)/(1*10)/32%/100</f>
        <v>0</v>
      </c>
      <c r="Q20" s="2494">
        <f>($G$20-P20)*2122</f>
        <v>954.9</v>
      </c>
      <c r="R20" s="1745" t="s">
        <v>8</v>
      </c>
      <c r="S20" s="1746">
        <f>IF(Q20&lt;0,0,Q20)</f>
        <v>954.9</v>
      </c>
      <c r="T20" s="2519"/>
      <c r="U20" s="1747" t="s">
        <v>10</v>
      </c>
      <c r="V20" s="2546">
        <f>XM.HN!D17</f>
        <v>0</v>
      </c>
      <c r="W20" s="1743">
        <f>(1*V20*36.5)/(1*10)/32%/100</f>
        <v>0</v>
      </c>
      <c r="X20" s="2494">
        <f>($G$20-W20)*2122</f>
        <v>954.9</v>
      </c>
      <c r="Y20" s="1745" t="s">
        <v>8</v>
      </c>
      <c r="Z20" s="1746">
        <f>IF(X20&lt;0,0,X20)</f>
        <v>954.9</v>
      </c>
      <c r="AA20" s="2519"/>
      <c r="AB20" s="1747" t="s">
        <v>10</v>
      </c>
      <c r="AC20" s="2546">
        <f>XM.HN!E17</f>
        <v>0</v>
      </c>
      <c r="AD20" s="1743">
        <f>(1*AC20*36.5)/(1*10)/32%/100</f>
        <v>0</v>
      </c>
      <c r="AE20" s="2494">
        <f>($G$20-AD20)*2122</f>
        <v>954.9</v>
      </c>
      <c r="AF20" s="1745" t="s">
        <v>8</v>
      </c>
      <c r="AG20" s="1746">
        <f>IF(AE20&lt;0,0,AE20)</f>
        <v>954.9</v>
      </c>
      <c r="AH20" s="2519"/>
      <c r="AI20" s="1747" t="s">
        <v>10</v>
      </c>
      <c r="AJ20" s="2543">
        <f>XM.HN!F17</f>
        <v>3.4</v>
      </c>
      <c r="AK20" s="1743">
        <f>(1*AJ20*36.5)/(1*10)/32%/100</f>
        <v>0.3878125</v>
      </c>
      <c r="AL20" s="2494">
        <f>($G$20-AK20)*2122</f>
        <v>131.96187500000002</v>
      </c>
      <c r="AM20" s="1745" t="s">
        <v>8</v>
      </c>
      <c r="AN20" s="1746">
        <f>IF(AL20&lt;0,0,AL20)</f>
        <v>131.96187500000002</v>
      </c>
      <c r="AO20" s="2519"/>
      <c r="AP20" s="1747" t="s">
        <v>10</v>
      </c>
      <c r="AQ20" s="2543">
        <f>XM.HN!G17</f>
        <v>4</v>
      </c>
      <c r="AR20" s="1743">
        <f>(1*AQ20*36.5)/(1*10)/32%/100</f>
        <v>0.45624999999999999</v>
      </c>
      <c r="AS20" s="1744">
        <f>($G$20-AR20)*2122</f>
        <v>-13.262499999999953</v>
      </c>
      <c r="AT20" s="1745" t="s">
        <v>8</v>
      </c>
      <c r="AU20" s="1746">
        <f>IF(AS20&lt;0,0,AS20)</f>
        <v>0</v>
      </c>
      <c r="AV20" s="1746"/>
      <c r="AW20" s="1747" t="s">
        <v>10</v>
      </c>
      <c r="AX20" s="2737">
        <f>'R.FILE GOC'!AI71</f>
        <v>0.84937712344280936</v>
      </c>
      <c r="AY20" s="2737">
        <f>'R.FILE GOC'!AJ71</f>
        <v>0</v>
      </c>
      <c r="AZ20" s="1743">
        <v>0</v>
      </c>
      <c r="BA20" s="265">
        <v>954.9</v>
      </c>
      <c r="BB20" s="265" t="s">
        <v>8</v>
      </c>
      <c r="BC20" s="265">
        <v>954.9</v>
      </c>
      <c r="BE20" s="265" t="s">
        <v>10</v>
      </c>
      <c r="BF20" s="2082" t="s">
        <v>1514</v>
      </c>
      <c r="BG20" s="2739"/>
    </row>
    <row r="21" spans="1:59" ht="34.5" hidden="1" customHeight="1">
      <c r="A21" s="276" t="s">
        <v>246</v>
      </c>
      <c r="B21" s="996" t="s">
        <v>215</v>
      </c>
      <c r="C21" s="997" t="s">
        <v>59</v>
      </c>
      <c r="D21" s="1002" t="s">
        <v>6</v>
      </c>
      <c r="E21" s="13" t="str">
        <f>'XM.GUI MAIL'!E21</f>
        <v>(22±5) =17~27</v>
      </c>
      <c r="F21" s="2155" t="str">
        <f>'XM.GUI MAIL'!F21</f>
        <v>(22±5)</v>
      </c>
      <c r="G21" s="1340">
        <f>'XM.GUI MAIL'!G21</f>
        <v>0.22</v>
      </c>
      <c r="H21" s="87">
        <f>XM.HN!B18</f>
        <v>0</v>
      </c>
      <c r="I21" s="1772">
        <f>(1*H21*36.5)/(1*10)/32%/100</f>
        <v>0</v>
      </c>
      <c r="J21" s="2494">
        <f>($G$21-I21)*612</f>
        <v>134.64000000000001</v>
      </c>
      <c r="K21" s="1745" t="s">
        <v>8</v>
      </c>
      <c r="L21" s="1746">
        <f>IF(J21&lt;0,0,J21)</f>
        <v>134.64000000000001</v>
      </c>
      <c r="M21" s="2519"/>
      <c r="N21" s="1747" t="s">
        <v>10</v>
      </c>
      <c r="O21" s="2547">
        <f>XM.HN!C18</f>
        <v>0</v>
      </c>
      <c r="P21" s="1772">
        <f>(1*O21*36.5)/(1*10)/32%/100</f>
        <v>0</v>
      </c>
      <c r="Q21" s="2494">
        <f>($G$21-P21)*612</f>
        <v>134.64000000000001</v>
      </c>
      <c r="R21" s="1745" t="s">
        <v>8</v>
      </c>
      <c r="S21" s="1746">
        <f>IF(Q21&lt;0,0,Q21)</f>
        <v>134.64000000000001</v>
      </c>
      <c r="T21" s="2519"/>
      <c r="U21" s="1747" t="s">
        <v>10</v>
      </c>
      <c r="V21" s="2546">
        <f>XM.HN!D18</f>
        <v>0</v>
      </c>
      <c r="W21" s="1772">
        <f>(1*V21*36.5)/(1*10)/32%/100</f>
        <v>0</v>
      </c>
      <c r="X21" s="2494">
        <f>($G$21-W21)*612</f>
        <v>134.64000000000001</v>
      </c>
      <c r="Y21" s="1745" t="s">
        <v>8</v>
      </c>
      <c r="Z21" s="1746">
        <f>IF(X21&lt;0,0,X21)</f>
        <v>134.64000000000001</v>
      </c>
      <c r="AA21" s="2519"/>
      <c r="AB21" s="1747" t="s">
        <v>10</v>
      </c>
      <c r="AC21" s="2546">
        <f>XM.HN!E18</f>
        <v>0</v>
      </c>
      <c r="AD21" s="1772">
        <f>(1*AC21*36.5)/(1*10)/32%/100</f>
        <v>0</v>
      </c>
      <c r="AE21" s="2494">
        <f>($G$21-AD21)*612</f>
        <v>134.64000000000001</v>
      </c>
      <c r="AF21" s="1745" t="s">
        <v>8</v>
      </c>
      <c r="AG21" s="1746">
        <f>IF(AE21&lt;0,0,AE21)</f>
        <v>134.64000000000001</v>
      </c>
      <c r="AH21" s="2519"/>
      <c r="AI21" s="1747" t="s">
        <v>10</v>
      </c>
      <c r="AJ21" s="2546">
        <f>XM.HN!F18</f>
        <v>0</v>
      </c>
      <c r="AK21" s="1772">
        <f>(1*AJ21*36.5)/(1*10)/32%/100</f>
        <v>0</v>
      </c>
      <c r="AL21" s="2494">
        <f>($G$21-AK21)*612</f>
        <v>134.64000000000001</v>
      </c>
      <c r="AM21" s="1745" t="s">
        <v>8</v>
      </c>
      <c r="AN21" s="1746">
        <f>IF(AL21&lt;0,0,AL21)</f>
        <v>134.64000000000001</v>
      </c>
      <c r="AO21" s="2519"/>
      <c r="AP21" s="1747" t="s">
        <v>10</v>
      </c>
      <c r="AQ21" s="2546">
        <f>XM.HN!G18</f>
        <v>0</v>
      </c>
      <c r="AR21" s="1772">
        <f>(1*AQ21*36.5)/(1*10)/32%/100</f>
        <v>0</v>
      </c>
      <c r="AS21" s="1744">
        <f>($G$21-AR21)*612</f>
        <v>134.64000000000001</v>
      </c>
      <c r="AT21" s="1745" t="s">
        <v>8</v>
      </c>
      <c r="AU21" s="1746">
        <f>IF(AS21&lt;0,0,AS21)</f>
        <v>134.64000000000001</v>
      </c>
      <c r="AV21" s="1746"/>
      <c r="AW21" s="1747" t="s">
        <v>10</v>
      </c>
      <c r="AX21" s="2082">
        <f>'R.FILE GOC'!AI72</f>
        <v>0.50395968322534201</v>
      </c>
      <c r="AY21" s="2082">
        <f>'R.FILE GOC'!AJ72</f>
        <v>0</v>
      </c>
      <c r="AZ21" s="1772">
        <v>0</v>
      </c>
      <c r="BA21" s="265">
        <v>134.64000000000001</v>
      </c>
      <c r="BB21" s="265" t="s">
        <v>8</v>
      </c>
      <c r="BC21" s="265">
        <v>134.64000000000001</v>
      </c>
      <c r="BE21" s="265" t="s">
        <v>10</v>
      </c>
      <c r="BF21" s="2082" t="s">
        <v>1514</v>
      </c>
    </row>
    <row r="22" spans="1:59" ht="34.5" hidden="1" customHeight="1">
      <c r="A22" s="276" t="s">
        <v>247</v>
      </c>
      <c r="B22" s="996" t="s">
        <v>215</v>
      </c>
      <c r="C22" s="997" t="s">
        <v>60</v>
      </c>
      <c r="D22" s="45" t="s">
        <v>6</v>
      </c>
      <c r="E22" s="13" t="str">
        <f>'XM.GUI MAIL'!E22</f>
        <v>5~15</v>
      </c>
      <c r="F22" s="2155" t="str">
        <f>'XM.GUI MAIL'!F22</f>
        <v>(30±4)</v>
      </c>
      <c r="G22" s="1340">
        <f>'XM.GUI MAIL'!G22</f>
        <v>0.1</v>
      </c>
      <c r="H22" s="87">
        <f>XM.HN!B19</f>
        <v>0</v>
      </c>
      <c r="I22" s="1772">
        <f>(1*H22*36.5)/(5*10)/32%/100</f>
        <v>0</v>
      </c>
      <c r="J22" s="2495">
        <f>($G$22-I22)*575</f>
        <v>57.5</v>
      </c>
      <c r="K22" s="1745" t="s">
        <v>8</v>
      </c>
      <c r="L22" s="1746">
        <f>IF(J22&lt;0,0,J22)</f>
        <v>57.5</v>
      </c>
      <c r="M22" s="2519"/>
      <c r="N22" s="1747" t="s">
        <v>10</v>
      </c>
      <c r="O22" s="2548">
        <f>XM.HN!C19</f>
        <v>0</v>
      </c>
      <c r="P22" s="1772">
        <f>(1*O22*36.5)/(5*10)/32%/100</f>
        <v>0</v>
      </c>
      <c r="Q22" s="2495">
        <f>($G$22-P22)*575</f>
        <v>57.5</v>
      </c>
      <c r="R22" s="1745" t="s">
        <v>8</v>
      </c>
      <c r="S22" s="1746">
        <f>IF(Q22&lt;0,0,Q22)</f>
        <v>57.5</v>
      </c>
      <c r="T22" s="2519"/>
      <c r="U22" s="1747" t="s">
        <v>10</v>
      </c>
      <c r="V22" s="2548">
        <f>XM.HN!D19</f>
        <v>0</v>
      </c>
      <c r="W22" s="1772">
        <f>(1*V22*36.5)/(5*10)/32%/100</f>
        <v>0</v>
      </c>
      <c r="X22" s="2495">
        <f>($G$22-W22)*575</f>
        <v>57.5</v>
      </c>
      <c r="Y22" s="1745" t="s">
        <v>8</v>
      </c>
      <c r="Z22" s="1746">
        <f>IF(X22&lt;0,0,X22)</f>
        <v>57.5</v>
      </c>
      <c r="AA22" s="2519"/>
      <c r="AB22" s="1747" t="s">
        <v>10</v>
      </c>
      <c r="AC22" s="2548">
        <f>XM.HN!E19</f>
        <v>0</v>
      </c>
      <c r="AD22" s="1772">
        <f>(1*AC22*36.5)/(5*10)/32%/100</f>
        <v>0</v>
      </c>
      <c r="AE22" s="2495">
        <f>($G$22-AD22)*575</f>
        <v>57.5</v>
      </c>
      <c r="AF22" s="1745" t="s">
        <v>8</v>
      </c>
      <c r="AG22" s="1746">
        <f>IF(AE22&lt;0,0,AE22)</f>
        <v>57.5</v>
      </c>
      <c r="AH22" s="2519"/>
      <c r="AI22" s="1747" t="s">
        <v>10</v>
      </c>
      <c r="AJ22" s="2548">
        <f>XM.HN!F19</f>
        <v>0</v>
      </c>
      <c r="AK22" s="1772">
        <f>(1*AJ22*36.5)/(5*10)/32%/100</f>
        <v>0</v>
      </c>
      <c r="AL22" s="2495">
        <f>($G$22-AK22)*575</f>
        <v>57.5</v>
      </c>
      <c r="AM22" s="1745" t="s">
        <v>8</v>
      </c>
      <c r="AN22" s="1746">
        <f>IF(AL22&lt;0,0,AL22)</f>
        <v>57.5</v>
      </c>
      <c r="AO22" s="2519"/>
      <c r="AP22" s="1747" t="s">
        <v>10</v>
      </c>
      <c r="AQ22" s="2548">
        <f>XM.HN!G19</f>
        <v>0</v>
      </c>
      <c r="AR22" s="1772">
        <f>(1*AQ22*36.5)/(5*10)/32%/100</f>
        <v>0</v>
      </c>
      <c r="AS22" s="1741">
        <f>($G$22-AR22)*575</f>
        <v>57.5</v>
      </c>
      <c r="AT22" s="1745" t="s">
        <v>8</v>
      </c>
      <c r="AU22" s="1746">
        <f>IF(AS22&lt;0,0,AS22)</f>
        <v>57.5</v>
      </c>
      <c r="AV22" s="1746"/>
      <c r="AW22" s="1747" t="s">
        <v>10</v>
      </c>
      <c r="AY22" s="2082">
        <f>'R.FILE GOC'!AJ73</f>
        <v>0</v>
      </c>
      <c r="AZ22" s="1772">
        <v>0</v>
      </c>
      <c r="BA22" s="265">
        <v>57.5</v>
      </c>
      <c r="BB22" s="265" t="s">
        <v>8</v>
      </c>
      <c r="BC22" s="265">
        <v>57.5</v>
      </c>
      <c r="BE22" s="265" t="s">
        <v>10</v>
      </c>
      <c r="BF22" s="2083"/>
    </row>
    <row r="23" spans="1:59" ht="34.5" customHeight="1">
      <c r="A23" s="276" t="s">
        <v>248</v>
      </c>
      <c r="B23" s="996" t="s">
        <v>215</v>
      </c>
      <c r="C23" s="997" t="s">
        <v>146</v>
      </c>
      <c r="D23" s="1040" t="s">
        <v>992</v>
      </c>
      <c r="E23" s="13" t="str">
        <f>'XM.GUI MAIL'!E23</f>
        <v>0.5~1.5</v>
      </c>
      <c r="F23" s="2155" t="str">
        <f>'XM.GUI MAIL'!F23</f>
        <v>(1±0.4)</v>
      </c>
      <c r="G23" s="1340">
        <f>'XM.GUI MAIL'!G23</f>
        <v>0.01</v>
      </c>
      <c r="H23" s="87">
        <f>XM.HN!B20</f>
        <v>0</v>
      </c>
      <c r="I23" s="1774">
        <f>(H23*0.126)/100</f>
        <v>0</v>
      </c>
      <c r="J23" s="2494">
        <f>($G$23-I23)*530/65%/1.51</f>
        <v>5.3998981151299033</v>
      </c>
      <c r="K23" s="1745" t="s">
        <v>8</v>
      </c>
      <c r="L23" s="1873">
        <f>IF(J23&lt;0,0,J23)</f>
        <v>5.3998981151299033</v>
      </c>
      <c r="M23" s="2520"/>
      <c r="N23" s="1747" t="s">
        <v>10</v>
      </c>
      <c r="O23" s="2546">
        <f>XM.HN!C20</f>
        <v>0</v>
      </c>
      <c r="P23" s="1774">
        <f>(O23*0.126)/100</f>
        <v>0</v>
      </c>
      <c r="Q23" s="2494">
        <f>($G$23-P23)*530/65%/1.51</f>
        <v>5.3998981151299033</v>
      </c>
      <c r="R23" s="1745" t="s">
        <v>8</v>
      </c>
      <c r="S23" s="1873">
        <f>IF(Q23&lt;0,0,Q23)</f>
        <v>5.3998981151299033</v>
      </c>
      <c r="T23" s="2520"/>
      <c r="U23" s="1747" t="s">
        <v>10</v>
      </c>
      <c r="V23" s="2546">
        <f>XM.HN!D20</f>
        <v>0</v>
      </c>
      <c r="W23" s="1774">
        <f>(V23*0.126)/100</f>
        <v>0</v>
      </c>
      <c r="X23" s="2494">
        <f>($G$23-W23)*530/65%/1.51</f>
        <v>5.3998981151299033</v>
      </c>
      <c r="Y23" s="1745" t="s">
        <v>8</v>
      </c>
      <c r="Z23" s="1873">
        <f>IF(X23&lt;0,0,X23)</f>
        <v>5.3998981151299033</v>
      </c>
      <c r="AA23" s="2520"/>
      <c r="AB23" s="1747" t="s">
        <v>10</v>
      </c>
      <c r="AC23" s="2546">
        <f>XM.HN!E20</f>
        <v>0</v>
      </c>
      <c r="AD23" s="1774">
        <f>(AC23*0.126)/100</f>
        <v>0</v>
      </c>
      <c r="AE23" s="2494">
        <f>($G$23-AD23)*530/65%/1.51</f>
        <v>5.3998981151299033</v>
      </c>
      <c r="AF23" s="1745" t="s">
        <v>8</v>
      </c>
      <c r="AG23" s="1873">
        <f>IF(AE23&lt;0,0,AE23)</f>
        <v>5.3998981151299033</v>
      </c>
      <c r="AH23" s="2520"/>
      <c r="AI23" s="1747" t="s">
        <v>10</v>
      </c>
      <c r="AJ23" s="2543">
        <f>XM.HN!F20</f>
        <v>0</v>
      </c>
      <c r="AK23" s="1774" t="s">
        <v>1679</v>
      </c>
      <c r="AL23" s="2494" t="e">
        <f>($G$23-AK23)*530/65%/1.51</f>
        <v>#VALUE!</v>
      </c>
      <c r="AM23" s="1745" t="s">
        <v>8</v>
      </c>
      <c r="AN23" s="1873"/>
      <c r="AO23" s="2520"/>
      <c r="AP23" s="1747" t="s">
        <v>10</v>
      </c>
      <c r="AQ23" s="2543">
        <f>XM.HN!G20</f>
        <v>8.1999999999999993</v>
      </c>
      <c r="AR23" s="1774">
        <f>(AQ23*0.126)/100</f>
        <v>1.0331999999999999E-2</v>
      </c>
      <c r="AS23" s="1744">
        <f>($G$23-AR23)*530/65%/1.51</f>
        <v>-0.17927661742231221</v>
      </c>
      <c r="AT23" s="1745" t="s">
        <v>8</v>
      </c>
      <c r="AU23" s="1873">
        <f>IF(AS23&lt;0,0,AS23)</f>
        <v>0</v>
      </c>
      <c r="AV23" s="1873"/>
      <c r="AW23" s="1747" t="s">
        <v>10</v>
      </c>
      <c r="AY23" s="2082"/>
      <c r="AZ23" s="1774">
        <v>0</v>
      </c>
      <c r="BA23" s="265">
        <v>8.1538461538461533</v>
      </c>
      <c r="BB23" s="265" t="s">
        <v>8</v>
      </c>
      <c r="BC23" s="265">
        <v>8.1538461538461533</v>
      </c>
      <c r="BE23" s="265" t="s">
        <v>10</v>
      </c>
      <c r="BF23" s="2083"/>
    </row>
    <row r="24" spans="1:59" ht="43.5" customHeight="1">
      <c r="A24" s="275" t="s">
        <v>249</v>
      </c>
      <c r="B24" s="996" t="s">
        <v>215</v>
      </c>
      <c r="C24" s="998" t="s">
        <v>74</v>
      </c>
      <c r="D24" s="45" t="s">
        <v>3</v>
      </c>
      <c r="E24" s="13" t="str">
        <f>'XM.GUI MAIL'!E24</f>
        <v>5~10</v>
      </c>
      <c r="F24" s="1893" t="str">
        <f>'XM.GUI MAIL'!F24</f>
        <v>(7.5±1)</v>
      </c>
      <c r="G24" s="1069">
        <f>'XM.GUI MAIL'!G24</f>
        <v>7.5</v>
      </c>
      <c r="H24" s="87">
        <f>XM.HN!B21</f>
        <v>0</v>
      </c>
      <c r="I24" s="1840">
        <f>H24*(0.1*100)/(5*3.12)</f>
        <v>0</v>
      </c>
      <c r="J24" s="2496">
        <f>($G$24-I24)*575/95</f>
        <v>45.39473684210526</v>
      </c>
      <c r="K24" s="1745" t="s">
        <v>8</v>
      </c>
      <c r="L24" s="2192">
        <f>IF(J24&lt;0,0,J24)</f>
        <v>45.39473684210526</v>
      </c>
      <c r="M24" s="2521"/>
      <c r="N24" s="1766" t="s">
        <v>10</v>
      </c>
      <c r="O24" s="2546">
        <f>XM.HN!C21</f>
        <v>0</v>
      </c>
      <c r="P24" s="1840">
        <f>O24*(0.1*100)/(5*3.12)</f>
        <v>0</v>
      </c>
      <c r="Q24" s="2496">
        <f>($G$24-P24)*575/95</f>
        <v>45.39473684210526</v>
      </c>
      <c r="R24" s="1745" t="s">
        <v>8</v>
      </c>
      <c r="S24" s="2192">
        <f>IF(Q24&lt;0,0,Q24)</f>
        <v>45.39473684210526</v>
      </c>
      <c r="T24" s="2521"/>
      <c r="U24" s="1766" t="s">
        <v>10</v>
      </c>
      <c r="V24" s="2546">
        <f>XM.HN!D21</f>
        <v>0</v>
      </c>
      <c r="W24" s="1840">
        <f>V24*(0.1*100)/(5*3.12)</f>
        <v>0</v>
      </c>
      <c r="X24" s="2496">
        <f>($G$24-W24)*575/95</f>
        <v>45.39473684210526</v>
      </c>
      <c r="Y24" s="1745" t="s">
        <v>8</v>
      </c>
      <c r="Z24" s="1873">
        <f>IF(X24&lt;0,0,X24)</f>
        <v>45.39473684210526</v>
      </c>
      <c r="AA24" s="2521"/>
      <c r="AB24" s="1766" t="s">
        <v>10</v>
      </c>
      <c r="AC24" s="2546">
        <f>XM.HN!E21</f>
        <v>0</v>
      </c>
      <c r="AD24" s="1840">
        <f>AC24*(0.1*100)/(5*3.12)</f>
        <v>0</v>
      </c>
      <c r="AE24" s="2496">
        <f>($G$24-AD24)*575/95</f>
        <v>45.39473684210526</v>
      </c>
      <c r="AF24" s="1745" t="s">
        <v>8</v>
      </c>
      <c r="AG24" s="2192">
        <f>IF(AE24&lt;0,0,AE24)</f>
        <v>45.39473684210526</v>
      </c>
      <c r="AH24" s="2521"/>
      <c r="AI24" s="1766" t="s">
        <v>10</v>
      </c>
      <c r="AJ24" s="2546">
        <f>XM.HN!F21</f>
        <v>15.8</v>
      </c>
      <c r="AK24" s="1840">
        <f>AJ24*(0.1*100)/(5*3.12)</f>
        <v>10.128205128205128</v>
      </c>
      <c r="AL24" s="2496">
        <f>($G$24-AK24)*575/95</f>
        <v>-15.907557354925773</v>
      </c>
      <c r="AM24" s="1745" t="s">
        <v>8</v>
      </c>
      <c r="AN24" s="2192">
        <f>IF(AL24&lt;0,0,AL24)</f>
        <v>0</v>
      </c>
      <c r="AO24" s="2521"/>
      <c r="AP24" s="1766" t="s">
        <v>10</v>
      </c>
      <c r="AQ24" s="2546">
        <f>XM.HN!G21</f>
        <v>0</v>
      </c>
      <c r="AR24" s="1840" t="s">
        <v>1681</v>
      </c>
      <c r="AS24" s="1734" t="e">
        <f>($G$24-AR24)*575/95</f>
        <v>#VALUE!</v>
      </c>
      <c r="AT24" s="1735" t="s">
        <v>8</v>
      </c>
      <c r="AU24" s="2192"/>
      <c r="AV24" s="1736"/>
      <c r="AW24" s="1737" t="s">
        <v>10</v>
      </c>
      <c r="AY24" s="2082"/>
      <c r="AZ24" s="1874"/>
      <c r="BA24" s="265">
        <v>45.39473684210526</v>
      </c>
      <c r="BB24" s="265" t="s">
        <v>8</v>
      </c>
      <c r="BC24" s="265">
        <v>45.39473684210526</v>
      </c>
    </row>
    <row r="25" spans="1:59" ht="32.25" customHeight="1">
      <c r="A25" s="45" t="s">
        <v>251</v>
      </c>
      <c r="B25" s="996" t="s">
        <v>215</v>
      </c>
      <c r="C25" s="999" t="s">
        <v>5</v>
      </c>
      <c r="D25" s="45" t="s">
        <v>5</v>
      </c>
      <c r="E25" s="13" t="str">
        <f>'XM.GUI MAIL'!E25</f>
        <v>1.8~2.2</v>
      </c>
      <c r="F25" s="1893" t="str">
        <f>'XM.GUI MAIL'!F25</f>
        <v>(2±0.1)</v>
      </c>
      <c r="G25" s="1341"/>
      <c r="H25" s="87"/>
      <c r="I25" s="2194">
        <f>XM.HN!B22</f>
        <v>0</v>
      </c>
      <c r="J25" s="2496"/>
      <c r="K25" s="1745"/>
      <c r="L25" s="1746"/>
      <c r="M25" s="2521"/>
      <c r="N25" s="1747"/>
      <c r="O25" s="2546"/>
      <c r="P25" s="1768">
        <f>XM.HN!C22</f>
        <v>0</v>
      </c>
      <c r="Q25" s="2496"/>
      <c r="R25" s="1745"/>
      <c r="S25" s="1746"/>
      <c r="T25" s="2521"/>
      <c r="U25" s="1747"/>
      <c r="V25" s="2546"/>
      <c r="W25" s="1768">
        <f>XM.HN!D22</f>
        <v>0</v>
      </c>
      <c r="X25" s="2496"/>
      <c r="Y25" s="1745"/>
      <c r="Z25" s="1746"/>
      <c r="AA25" s="2521"/>
      <c r="AB25" s="1747"/>
      <c r="AC25" s="2546"/>
      <c r="AD25" s="1768">
        <f>XM.HN!E22</f>
        <v>0</v>
      </c>
      <c r="AE25" s="2496"/>
      <c r="AF25" s="1745"/>
      <c r="AG25" s="1746"/>
      <c r="AH25" s="2521"/>
      <c r="AI25" s="1747"/>
      <c r="AJ25" s="2546"/>
      <c r="AK25" s="1768">
        <f>XM.HN!F22</f>
        <v>2.57</v>
      </c>
      <c r="AL25" s="2496"/>
      <c r="AM25" s="1745"/>
      <c r="AN25" s="1746"/>
      <c r="AO25" s="2521"/>
      <c r="AP25" s="1747"/>
      <c r="AQ25" s="2546"/>
      <c r="AR25" s="1840" t="s">
        <v>1681</v>
      </c>
      <c r="AS25" s="1769"/>
      <c r="AT25" s="1735"/>
      <c r="AU25" s="1736"/>
      <c r="AV25" s="1736"/>
      <c r="AW25" s="1778"/>
      <c r="AY25" s="2082"/>
      <c r="AZ25" s="1875"/>
    </row>
    <row r="26" spans="1:59" s="206" customFormat="1" ht="54" customHeight="1">
      <c r="A26" s="285" t="s">
        <v>73</v>
      </c>
      <c r="B26" s="286"/>
      <c r="C26" s="286"/>
      <c r="D26" s="286"/>
      <c r="E26" s="296"/>
      <c r="F26" s="283"/>
      <c r="G26" s="296"/>
      <c r="H26" s="286"/>
      <c r="I26" s="286"/>
      <c r="J26" s="2497"/>
      <c r="K26" s="1405"/>
      <c r="L26" s="1405"/>
      <c r="M26" s="2497"/>
      <c r="N26" s="1405"/>
      <c r="O26" s="2497"/>
      <c r="P26" s="287"/>
      <c r="Q26" s="2497"/>
      <c r="R26" s="1405"/>
      <c r="S26" s="1405"/>
      <c r="T26" s="2534"/>
      <c r="U26" s="287"/>
      <c r="V26" s="2497"/>
      <c r="W26" s="287"/>
      <c r="X26" s="2497"/>
      <c r="Y26" s="1405"/>
      <c r="Z26" s="1405"/>
      <c r="AA26" s="2497"/>
      <c r="AB26" s="1405"/>
      <c r="AC26" s="2497"/>
      <c r="AD26" s="1405"/>
      <c r="AE26" s="2497"/>
      <c r="AF26" s="1405"/>
      <c r="AG26" s="1405"/>
      <c r="AH26" s="2497"/>
      <c r="AI26" s="1405"/>
      <c r="AJ26" s="2598"/>
      <c r="AK26" s="287"/>
      <c r="AL26" s="2598"/>
      <c r="AM26" s="287"/>
      <c r="AN26" s="287"/>
      <c r="AO26" s="2598"/>
      <c r="AP26" s="287"/>
      <c r="AQ26" s="2598"/>
      <c r="AR26" s="287"/>
      <c r="AS26" s="287"/>
      <c r="AT26" s="287"/>
      <c r="AU26" s="287"/>
      <c r="AV26" s="287"/>
      <c r="AW26" s="1006"/>
      <c r="AX26" s="2089"/>
      <c r="AY26" s="2089"/>
      <c r="AZ26" s="89"/>
      <c r="BA26" s="89"/>
      <c r="BB26" s="89"/>
    </row>
    <row r="27" spans="1:59" s="89" customFormat="1" ht="54" customHeight="1">
      <c r="A27" s="1002" t="s">
        <v>238</v>
      </c>
      <c r="B27" s="995" t="s">
        <v>317</v>
      </c>
      <c r="C27" s="278" t="s">
        <v>61</v>
      </c>
      <c r="D27" s="278" t="s">
        <v>63</v>
      </c>
      <c r="E27" s="1388" t="s">
        <v>1303</v>
      </c>
      <c r="F27" s="1895" t="s">
        <v>1302</v>
      </c>
      <c r="G27" s="1124"/>
      <c r="H27" s="90"/>
      <c r="I27" s="1727" t="s">
        <v>45</v>
      </c>
      <c r="J27" s="2498"/>
      <c r="K27" s="1728"/>
      <c r="L27" s="1728" t="s">
        <v>62</v>
      </c>
      <c r="M27" s="2498"/>
      <c r="N27" s="1729"/>
      <c r="O27" s="2549"/>
      <c r="P27" s="1727" t="s">
        <v>45</v>
      </c>
      <c r="Q27" s="2498"/>
      <c r="R27" s="1728"/>
      <c r="S27" s="1728" t="s">
        <v>62</v>
      </c>
      <c r="T27" s="2498"/>
      <c r="U27" s="1729"/>
      <c r="V27" s="2573"/>
      <c r="W27" s="1727" t="s">
        <v>45</v>
      </c>
      <c r="X27" s="2498"/>
      <c r="Y27" s="1728"/>
      <c r="Z27" s="1728" t="s">
        <v>62</v>
      </c>
      <c r="AA27" s="2498"/>
      <c r="AB27" s="1729"/>
      <c r="AC27" s="2585"/>
      <c r="AD27" s="1727" t="s">
        <v>45</v>
      </c>
      <c r="AE27" s="2498"/>
      <c r="AF27" s="1728"/>
      <c r="AG27" s="1728" t="s">
        <v>62</v>
      </c>
      <c r="AH27" s="2498"/>
      <c r="AI27" s="1729"/>
      <c r="AJ27" s="2585"/>
      <c r="AK27" s="1727" t="s">
        <v>45</v>
      </c>
      <c r="AL27" s="2498"/>
      <c r="AM27" s="1728"/>
      <c r="AN27" s="1728" t="s">
        <v>62</v>
      </c>
      <c r="AO27" s="2498"/>
      <c r="AP27" s="1729"/>
      <c r="AQ27" s="2585"/>
      <c r="AR27" s="1727" t="s">
        <v>45</v>
      </c>
      <c r="AS27" s="1728"/>
      <c r="AT27" s="1728"/>
      <c r="AU27" s="1728" t="s">
        <v>62</v>
      </c>
      <c r="AV27" s="1728"/>
      <c r="AW27" s="1729"/>
      <c r="AX27" s="2089"/>
      <c r="AY27" s="2089"/>
      <c r="BC27" s="89" t="s">
        <v>62</v>
      </c>
    </row>
    <row r="28" spans="1:59" s="89" customFormat="1" ht="34.5" customHeight="1">
      <c r="A28" s="996" t="s">
        <v>253</v>
      </c>
      <c r="B28" s="996" t="s">
        <v>215</v>
      </c>
      <c r="C28" s="992" t="s">
        <v>65</v>
      </c>
      <c r="D28" s="21" t="s">
        <v>105</v>
      </c>
      <c r="E28" s="1336" t="str">
        <f>'XM.GUI MAIL'!E28</f>
        <v>50~70</v>
      </c>
      <c r="F28" s="1896" t="str">
        <f>'XM.GUI MAIL'!F28</f>
        <v>(60±5)</v>
      </c>
      <c r="G28" s="1342"/>
      <c r="H28" s="93"/>
      <c r="I28" s="3033"/>
      <c r="J28" s="3026"/>
      <c r="K28" s="3026"/>
      <c r="L28" s="3026"/>
      <c r="M28" s="3026"/>
      <c r="N28" s="3034"/>
      <c r="O28" s="2550"/>
      <c r="P28" s="3033"/>
      <c r="Q28" s="3026"/>
      <c r="R28" s="3026"/>
      <c r="S28" s="3026"/>
      <c r="T28" s="3026"/>
      <c r="U28" s="3034"/>
      <c r="V28" s="2573"/>
      <c r="W28" s="3033"/>
      <c r="X28" s="3026"/>
      <c r="Y28" s="3026"/>
      <c r="Z28" s="3026"/>
      <c r="AA28" s="3026"/>
      <c r="AB28" s="3034"/>
      <c r="AC28" s="2585"/>
      <c r="AD28" s="3033"/>
      <c r="AE28" s="3026"/>
      <c r="AF28" s="3026"/>
      <c r="AG28" s="3026"/>
      <c r="AH28" s="3026"/>
      <c r="AI28" s="3034"/>
      <c r="AJ28" s="2585"/>
      <c r="AK28" s="3033">
        <v>64</v>
      </c>
      <c r="AL28" s="3026"/>
      <c r="AM28" s="3026"/>
      <c r="AN28" s="3026">
        <v>63</v>
      </c>
      <c r="AO28" s="3026"/>
      <c r="AP28" s="3034"/>
      <c r="AQ28" s="2585"/>
      <c r="AR28" s="3033">
        <v>64</v>
      </c>
      <c r="AS28" s="3026"/>
      <c r="AT28" s="3026"/>
      <c r="AU28" s="3026">
        <v>63</v>
      </c>
      <c r="AV28" s="3026"/>
      <c r="AW28" s="3027"/>
      <c r="AX28" s="2089"/>
      <c r="AY28" s="2089"/>
      <c r="BC28" s="89">
        <v>69</v>
      </c>
    </row>
    <row r="29" spans="1:59" s="89" customFormat="1" ht="34.5" customHeight="1">
      <c r="A29" s="996" t="s">
        <v>254</v>
      </c>
      <c r="B29" s="996" t="s">
        <v>215</v>
      </c>
      <c r="C29" s="992" t="s">
        <v>66</v>
      </c>
      <c r="D29" s="21" t="s">
        <v>105</v>
      </c>
      <c r="E29" s="1336" t="str">
        <f>'XM.GUI MAIL'!E29</f>
        <v>50~70</v>
      </c>
      <c r="F29" s="1896" t="str">
        <f>'XM.GUI MAIL'!F29</f>
        <v>(60±5)</v>
      </c>
      <c r="G29" s="1342"/>
      <c r="H29" s="93"/>
      <c r="I29" s="3033"/>
      <c r="J29" s="3026"/>
      <c r="K29" s="3026"/>
      <c r="L29" s="3026"/>
      <c r="M29" s="3026"/>
      <c r="N29" s="3034"/>
      <c r="O29" s="2550"/>
      <c r="P29" s="3033"/>
      <c r="Q29" s="3026"/>
      <c r="R29" s="3026"/>
      <c r="S29" s="3026"/>
      <c r="T29" s="3026"/>
      <c r="U29" s="3034"/>
      <c r="V29" s="2573"/>
      <c r="W29" s="3033"/>
      <c r="X29" s="3026"/>
      <c r="Y29" s="3026"/>
      <c r="Z29" s="3026"/>
      <c r="AA29" s="3026"/>
      <c r="AB29" s="3034"/>
      <c r="AC29" s="2585"/>
      <c r="AD29" s="3033"/>
      <c r="AE29" s="3026"/>
      <c r="AF29" s="3026"/>
      <c r="AG29" s="3026"/>
      <c r="AH29" s="3026"/>
      <c r="AI29" s="3034"/>
      <c r="AJ29" s="2585"/>
      <c r="AK29" s="3033">
        <v>64</v>
      </c>
      <c r="AL29" s="3026"/>
      <c r="AM29" s="3026"/>
      <c r="AN29" s="3026">
        <v>63</v>
      </c>
      <c r="AO29" s="3026"/>
      <c r="AP29" s="3034"/>
      <c r="AQ29" s="2585"/>
      <c r="AR29" s="3033">
        <v>63</v>
      </c>
      <c r="AS29" s="3026"/>
      <c r="AT29" s="3026"/>
      <c r="AU29" s="3026">
        <v>62</v>
      </c>
      <c r="AV29" s="3026"/>
      <c r="AW29" s="3027"/>
      <c r="AX29" s="2089"/>
      <c r="AY29" s="2089"/>
      <c r="BC29" s="89">
        <v>67</v>
      </c>
    </row>
    <row r="30" spans="1:59" s="89" customFormat="1" ht="34.5" customHeight="1">
      <c r="A30" s="996" t="s">
        <v>255</v>
      </c>
      <c r="B30" s="996" t="s">
        <v>215</v>
      </c>
      <c r="C30" s="992" t="s">
        <v>68</v>
      </c>
      <c r="D30" s="21" t="s">
        <v>105</v>
      </c>
      <c r="E30" s="1336" t="str">
        <f>'XM.GUI MAIL'!E30</f>
        <v>40~60</v>
      </c>
      <c r="F30" s="1896" t="str">
        <f>'XM.GUI MAIL'!F30</f>
        <v>(50±5)</v>
      </c>
      <c r="G30" s="1342"/>
      <c r="H30" s="93"/>
      <c r="I30" s="3033"/>
      <c r="J30" s="3026"/>
      <c r="K30" s="3034"/>
      <c r="L30" s="3026"/>
      <c r="M30" s="3026"/>
      <c r="N30" s="3027"/>
      <c r="O30" s="2549"/>
      <c r="P30" s="3033"/>
      <c r="Q30" s="3026"/>
      <c r="R30" s="3034"/>
      <c r="S30" s="3026"/>
      <c r="T30" s="3026"/>
      <c r="U30" s="3027"/>
      <c r="V30" s="2573"/>
      <c r="W30" s="3033"/>
      <c r="X30" s="3026"/>
      <c r="Y30" s="3034"/>
      <c r="Z30" s="3026"/>
      <c r="AA30" s="3026"/>
      <c r="AB30" s="3027"/>
      <c r="AC30" s="2585"/>
      <c r="AD30" s="3033"/>
      <c r="AE30" s="3026"/>
      <c r="AF30" s="3034"/>
      <c r="AG30" s="3026"/>
      <c r="AH30" s="3026"/>
      <c r="AI30" s="3027"/>
      <c r="AJ30" s="2585"/>
      <c r="AK30" s="3033">
        <v>53</v>
      </c>
      <c r="AL30" s="3026"/>
      <c r="AM30" s="3034"/>
      <c r="AN30" s="3026">
        <v>52</v>
      </c>
      <c r="AO30" s="3026"/>
      <c r="AP30" s="3027"/>
      <c r="AQ30" s="2585"/>
      <c r="AR30" s="3033">
        <v>55</v>
      </c>
      <c r="AS30" s="3026"/>
      <c r="AT30" s="3034"/>
      <c r="AU30" s="3026">
        <v>54</v>
      </c>
      <c r="AV30" s="3026"/>
      <c r="AW30" s="3027"/>
      <c r="AX30" s="2089"/>
      <c r="AY30" s="2089"/>
      <c r="BC30" s="89">
        <v>58</v>
      </c>
    </row>
    <row r="31" spans="1:59" s="89" customFormat="1" ht="34.5" customHeight="1">
      <c r="A31" s="996" t="s">
        <v>256</v>
      </c>
      <c r="B31" s="996" t="s">
        <v>215</v>
      </c>
      <c r="C31" s="992" t="s">
        <v>67</v>
      </c>
      <c r="D31" s="21" t="s">
        <v>105</v>
      </c>
      <c r="E31" s="1336" t="str">
        <f>'XM.GUI MAIL'!E31</f>
        <v>40~60</v>
      </c>
      <c r="F31" s="1896" t="str">
        <f>'XM.GUI MAIL'!F31</f>
        <v>(50±5)</v>
      </c>
      <c r="G31" s="1342"/>
      <c r="H31" s="93"/>
      <c r="I31" s="3033"/>
      <c r="J31" s="3026"/>
      <c r="K31" s="3034"/>
      <c r="L31" s="3026"/>
      <c r="M31" s="3026"/>
      <c r="N31" s="3027"/>
      <c r="O31" s="2549"/>
      <c r="P31" s="3033"/>
      <c r="Q31" s="3026"/>
      <c r="R31" s="3034"/>
      <c r="S31" s="3026"/>
      <c r="T31" s="3026"/>
      <c r="U31" s="3027"/>
      <c r="V31" s="2573"/>
      <c r="W31" s="3033"/>
      <c r="X31" s="3026"/>
      <c r="Y31" s="3034"/>
      <c r="Z31" s="3026"/>
      <c r="AA31" s="3026"/>
      <c r="AB31" s="3027"/>
      <c r="AC31" s="2585"/>
      <c r="AD31" s="3033"/>
      <c r="AE31" s="3026"/>
      <c r="AF31" s="3034"/>
      <c r="AG31" s="3026"/>
      <c r="AH31" s="3026"/>
      <c r="AI31" s="3027"/>
      <c r="AJ31" s="2585"/>
      <c r="AK31" s="3033">
        <v>52</v>
      </c>
      <c r="AL31" s="3026"/>
      <c r="AM31" s="3034"/>
      <c r="AN31" s="3026">
        <v>51</v>
      </c>
      <c r="AO31" s="3026"/>
      <c r="AP31" s="3027"/>
      <c r="AQ31" s="2585"/>
      <c r="AR31" s="3033">
        <v>53</v>
      </c>
      <c r="AS31" s="3026"/>
      <c r="AT31" s="3034"/>
      <c r="AU31" s="3026">
        <v>52</v>
      </c>
      <c r="AV31" s="3026"/>
      <c r="AW31" s="3027"/>
      <c r="AX31" s="2089"/>
      <c r="AY31" s="2089"/>
      <c r="BC31" s="89">
        <v>51</v>
      </c>
    </row>
    <row r="32" spans="1:59" s="89" customFormat="1" ht="34.5" customHeight="1">
      <c r="A32" s="996" t="s">
        <v>314</v>
      </c>
      <c r="B32" s="996" t="s">
        <v>215</v>
      </c>
      <c r="C32" s="992" t="s">
        <v>69</v>
      </c>
      <c r="D32" s="21" t="s">
        <v>105</v>
      </c>
      <c r="E32" s="1336" t="str">
        <f>'XM.GUI MAIL'!E32</f>
        <v>20~35</v>
      </c>
      <c r="F32" s="1896" t="str">
        <f>'XM.GUI MAIL'!F32</f>
        <v>(30±4)</v>
      </c>
      <c r="G32" s="1342"/>
      <c r="H32" s="93"/>
      <c r="I32" s="3033"/>
      <c r="J32" s="3026"/>
      <c r="K32" s="3026"/>
      <c r="L32" s="3026"/>
      <c r="M32" s="3026"/>
      <c r="N32" s="3034"/>
      <c r="O32" s="2550"/>
      <c r="P32" s="3033"/>
      <c r="Q32" s="3026"/>
      <c r="R32" s="3026"/>
      <c r="S32" s="3026"/>
      <c r="T32" s="3026"/>
      <c r="U32" s="3034"/>
      <c r="V32" s="2573"/>
      <c r="W32" s="3033"/>
      <c r="X32" s="3026"/>
      <c r="Y32" s="3026"/>
      <c r="Z32" s="3026"/>
      <c r="AA32" s="3026"/>
      <c r="AB32" s="3034"/>
      <c r="AC32" s="2585"/>
      <c r="AD32" s="3033"/>
      <c r="AE32" s="3026"/>
      <c r="AF32" s="3026"/>
      <c r="AG32" s="3026"/>
      <c r="AH32" s="3026"/>
      <c r="AI32" s="3034"/>
      <c r="AJ32" s="2585"/>
      <c r="AK32" s="3033">
        <v>28</v>
      </c>
      <c r="AL32" s="3026"/>
      <c r="AM32" s="3026"/>
      <c r="AN32" s="3026">
        <v>27</v>
      </c>
      <c r="AO32" s="3026"/>
      <c r="AP32" s="3034"/>
      <c r="AQ32" s="2585"/>
      <c r="AR32" s="3033">
        <v>28</v>
      </c>
      <c r="AS32" s="3026"/>
      <c r="AT32" s="3026"/>
      <c r="AU32" s="3026">
        <v>27</v>
      </c>
      <c r="AV32" s="3026"/>
      <c r="AW32" s="3027"/>
      <c r="AX32" s="2089"/>
      <c r="AY32" s="2089"/>
      <c r="BC32" s="89">
        <v>28</v>
      </c>
    </row>
    <row r="33" spans="1:55" s="89" customFormat="1" ht="34.5" customHeight="1">
      <c r="A33" s="275" t="s">
        <v>257</v>
      </c>
      <c r="B33" s="996" t="s">
        <v>215</v>
      </c>
      <c r="C33" s="992" t="s">
        <v>984</v>
      </c>
      <c r="D33" s="21" t="s">
        <v>105</v>
      </c>
      <c r="E33" s="1336" t="str">
        <f>'XM.GUI MAIL'!E33</f>
        <v>30~40</v>
      </c>
      <c r="F33" s="1896" t="str">
        <f>'XM.GUI MAIL'!F33</f>
        <v>(34±3)</v>
      </c>
      <c r="G33" s="1342"/>
      <c r="H33" s="93"/>
      <c r="I33" s="3033"/>
      <c r="J33" s="3026"/>
      <c r="K33" s="3034"/>
      <c r="L33" s="3026"/>
      <c r="M33" s="3026"/>
      <c r="N33" s="3027"/>
      <c r="O33" s="2550"/>
      <c r="P33" s="3033"/>
      <c r="Q33" s="3026"/>
      <c r="R33" s="3034"/>
      <c r="S33" s="3026"/>
      <c r="T33" s="3026"/>
      <c r="U33" s="3027"/>
      <c r="V33" s="2573"/>
      <c r="W33" s="3033"/>
      <c r="X33" s="3026"/>
      <c r="Y33" s="3034"/>
      <c r="Z33" s="3026"/>
      <c r="AA33" s="3026"/>
      <c r="AB33" s="3027"/>
      <c r="AC33" s="2585"/>
      <c r="AD33" s="3033"/>
      <c r="AE33" s="3026"/>
      <c r="AF33" s="3034"/>
      <c r="AG33" s="3026"/>
      <c r="AH33" s="3026"/>
      <c r="AI33" s="3027"/>
      <c r="AJ33" s="2585"/>
      <c r="AK33" s="3033">
        <v>37</v>
      </c>
      <c r="AL33" s="3026"/>
      <c r="AM33" s="3034"/>
      <c r="AN33" s="3026">
        <v>36</v>
      </c>
      <c r="AO33" s="3026"/>
      <c r="AP33" s="3027"/>
      <c r="AQ33" s="2585"/>
      <c r="AR33" s="3033">
        <v>37</v>
      </c>
      <c r="AS33" s="3026"/>
      <c r="AT33" s="3034"/>
      <c r="AU33" s="3026">
        <v>36</v>
      </c>
      <c r="AV33" s="3026"/>
      <c r="AW33" s="3027"/>
      <c r="AX33" s="2089"/>
      <c r="AY33" s="2089"/>
      <c r="BC33" s="89">
        <v>42</v>
      </c>
    </row>
    <row r="34" spans="1:55" s="89" customFormat="1" ht="34.5" customHeight="1">
      <c r="A34" s="275" t="s">
        <v>258</v>
      </c>
      <c r="B34" s="996" t="s">
        <v>215</v>
      </c>
      <c r="C34" s="992" t="s">
        <v>70</v>
      </c>
      <c r="D34" s="21" t="s">
        <v>105</v>
      </c>
      <c r="E34" s="1336" t="str">
        <f>'XM.GUI MAIL'!E34</f>
        <v>50~70</v>
      </c>
      <c r="F34" s="1896" t="str">
        <f>'XM.GUI MAIL'!F34</f>
        <v>(60±10)</v>
      </c>
      <c r="G34" s="1342"/>
      <c r="H34" s="93"/>
      <c r="I34" s="3033"/>
      <c r="J34" s="3026"/>
      <c r="K34" s="3034"/>
      <c r="L34" s="3026"/>
      <c r="M34" s="3026"/>
      <c r="N34" s="3027"/>
      <c r="O34" s="2550"/>
      <c r="P34" s="3033"/>
      <c r="Q34" s="3026"/>
      <c r="R34" s="3034"/>
      <c r="S34" s="3026"/>
      <c r="T34" s="3026"/>
      <c r="U34" s="3027"/>
      <c r="V34" s="2573"/>
      <c r="W34" s="3033"/>
      <c r="X34" s="3026"/>
      <c r="Y34" s="3034"/>
      <c r="Z34" s="3026"/>
      <c r="AA34" s="3026"/>
      <c r="AB34" s="3027"/>
      <c r="AC34" s="2585"/>
      <c r="AD34" s="3033"/>
      <c r="AE34" s="3026"/>
      <c r="AF34" s="3034"/>
      <c r="AG34" s="3026"/>
      <c r="AH34" s="3026"/>
      <c r="AI34" s="3027"/>
      <c r="AJ34" s="2585"/>
      <c r="AK34" s="3033">
        <v>32</v>
      </c>
      <c r="AL34" s="3026"/>
      <c r="AM34" s="3034"/>
      <c r="AN34" s="3026">
        <v>31</v>
      </c>
      <c r="AO34" s="3026"/>
      <c r="AP34" s="3027"/>
      <c r="AQ34" s="2585"/>
      <c r="AR34" s="3033">
        <v>46</v>
      </c>
      <c r="AS34" s="3026"/>
      <c r="AT34" s="3034"/>
      <c r="AU34" s="3026">
        <v>45</v>
      </c>
      <c r="AV34" s="3026"/>
      <c r="AW34" s="3027"/>
      <c r="AX34" s="2089"/>
      <c r="AY34" s="2089"/>
      <c r="BC34" s="89">
        <v>57</v>
      </c>
    </row>
    <row r="35" spans="1:55" s="89" customFormat="1" ht="34.5" customHeight="1">
      <c r="A35" s="45" t="s">
        <v>259</v>
      </c>
      <c r="B35" s="996" t="s">
        <v>215</v>
      </c>
      <c r="C35" s="992" t="s">
        <v>71</v>
      </c>
      <c r="D35" s="21" t="s">
        <v>105</v>
      </c>
      <c r="E35" s="1336" t="str">
        <f>'XM.GUI MAIL'!E35</f>
        <v>80~100</v>
      </c>
      <c r="F35" s="1896" t="str">
        <f>'XM.GUI MAIL'!F35</f>
        <v>(90±5)</v>
      </c>
      <c r="G35" s="1342"/>
      <c r="H35" s="93"/>
      <c r="I35" s="3029" t="s">
        <v>985</v>
      </c>
      <c r="J35" s="3030"/>
      <c r="K35" s="3031"/>
      <c r="L35" s="3026"/>
      <c r="M35" s="3026"/>
      <c r="N35" s="3027"/>
      <c r="O35" s="2551"/>
      <c r="P35" s="3029" t="s">
        <v>985</v>
      </c>
      <c r="Q35" s="3030"/>
      <c r="R35" s="3031"/>
      <c r="S35" s="3026"/>
      <c r="T35" s="3026"/>
      <c r="U35" s="3027"/>
      <c r="V35" s="2573"/>
      <c r="W35" s="3029" t="s">
        <v>985</v>
      </c>
      <c r="X35" s="3030"/>
      <c r="Y35" s="3031"/>
      <c r="Z35" s="3026"/>
      <c r="AA35" s="3026"/>
      <c r="AB35" s="3027"/>
      <c r="AC35" s="2585"/>
      <c r="AD35" s="3029" t="s">
        <v>985</v>
      </c>
      <c r="AE35" s="3030"/>
      <c r="AF35" s="3031"/>
      <c r="AG35" s="3026"/>
      <c r="AH35" s="3026"/>
      <c r="AI35" s="3027"/>
      <c r="AJ35" s="2585"/>
      <c r="AK35" s="3029" t="s">
        <v>985</v>
      </c>
      <c r="AL35" s="3030"/>
      <c r="AM35" s="3031"/>
      <c r="AN35" s="3026" t="s">
        <v>1677</v>
      </c>
      <c r="AO35" s="3026"/>
      <c r="AP35" s="3027"/>
      <c r="AQ35" s="2585"/>
      <c r="AR35" s="3029" t="s">
        <v>985</v>
      </c>
      <c r="AS35" s="3030"/>
      <c r="AT35" s="3031"/>
      <c r="AU35" s="3026">
        <v>87</v>
      </c>
      <c r="AV35" s="3026"/>
      <c r="AW35" s="3027"/>
      <c r="AX35" s="2089"/>
      <c r="AY35" s="2089"/>
      <c r="BC35" s="89">
        <v>72</v>
      </c>
    </row>
    <row r="36" spans="1:55" s="206" customFormat="1" ht="54" customHeight="1">
      <c r="A36" s="285" t="s">
        <v>75</v>
      </c>
      <c r="B36" s="286"/>
      <c r="C36" s="286"/>
      <c r="D36" s="286"/>
      <c r="E36" s="296"/>
      <c r="F36" s="283"/>
      <c r="G36" s="296"/>
      <c r="H36" s="286"/>
      <c r="I36" s="286"/>
      <c r="J36" s="2499"/>
      <c r="K36" s="286"/>
      <c r="L36" s="286"/>
      <c r="M36" s="2499"/>
      <c r="N36" s="286"/>
      <c r="O36" s="2499"/>
      <c r="P36" s="287"/>
      <c r="Q36" s="2499"/>
      <c r="R36" s="286"/>
      <c r="S36" s="286"/>
      <c r="T36" s="2534"/>
      <c r="U36" s="287"/>
      <c r="V36" s="2499"/>
      <c r="W36" s="287"/>
      <c r="X36" s="2499"/>
      <c r="Y36" s="286"/>
      <c r="Z36" s="286"/>
      <c r="AA36" s="2499"/>
      <c r="AB36" s="286"/>
      <c r="AC36" s="2499"/>
      <c r="AD36" s="286"/>
      <c r="AE36" s="2499"/>
      <c r="AF36" s="286"/>
      <c r="AG36" s="286"/>
      <c r="AH36" s="2499"/>
      <c r="AI36" s="286"/>
      <c r="AJ36" s="2598"/>
      <c r="AK36" s="287"/>
      <c r="AL36" s="2598"/>
      <c r="AM36" s="287"/>
      <c r="AN36" s="287"/>
      <c r="AO36" s="2598"/>
      <c r="AP36" s="287"/>
      <c r="AQ36" s="2598"/>
      <c r="AR36" s="287"/>
      <c r="AS36" s="287"/>
      <c r="AT36" s="287"/>
      <c r="AU36" s="287"/>
      <c r="AV36" s="287"/>
      <c r="AW36" s="1004"/>
      <c r="AX36" s="2089"/>
      <c r="AY36" s="2089"/>
      <c r="AZ36" s="89"/>
      <c r="BA36" s="89"/>
      <c r="BB36" s="89"/>
    </row>
    <row r="37" spans="1:55" s="89" customFormat="1" ht="45.75" customHeight="1">
      <c r="A37" s="275" t="s">
        <v>260</v>
      </c>
      <c r="B37" s="996" t="s">
        <v>215</v>
      </c>
      <c r="C37" s="998" t="s">
        <v>51</v>
      </c>
      <c r="D37" s="94" t="s">
        <v>48</v>
      </c>
      <c r="E37" s="965" t="str">
        <f>'XM.GUI MAIL'!E37</f>
        <v>300-360</v>
      </c>
      <c r="F37" s="1897" t="str">
        <f>'XM.GUI MAIL'!F37</f>
        <v>300-360</v>
      </c>
      <c r="G37" s="1343"/>
      <c r="H37" s="279"/>
      <c r="I37" s="3046"/>
      <c r="J37" s="3047"/>
      <c r="K37" s="3047"/>
      <c r="L37" s="3047"/>
      <c r="M37" s="3047"/>
      <c r="N37" s="3048"/>
      <c r="O37" s="2549"/>
      <c r="P37" s="3046"/>
      <c r="Q37" s="3047"/>
      <c r="R37" s="3047"/>
      <c r="S37" s="3047"/>
      <c r="T37" s="3047"/>
      <c r="U37" s="3048"/>
      <c r="V37" s="2089"/>
      <c r="W37" s="3046"/>
      <c r="X37" s="3047"/>
      <c r="Y37" s="3047"/>
      <c r="Z37" s="3047"/>
      <c r="AA37" s="3047"/>
      <c r="AB37" s="3048"/>
      <c r="AC37" s="2588"/>
      <c r="AD37" s="3046"/>
      <c r="AE37" s="3047"/>
      <c r="AF37" s="3047"/>
      <c r="AG37" s="3047"/>
      <c r="AH37" s="3047"/>
      <c r="AI37" s="3048"/>
      <c r="AJ37" s="2599"/>
      <c r="AK37" s="3046" t="s">
        <v>1678</v>
      </c>
      <c r="AL37" s="3047"/>
      <c r="AM37" s="3047"/>
      <c r="AN37" s="3047"/>
      <c r="AO37" s="3047"/>
      <c r="AP37" s="3048"/>
      <c r="AQ37" s="2599"/>
      <c r="AR37" s="3046" t="s">
        <v>1678</v>
      </c>
      <c r="AS37" s="3047"/>
      <c r="AT37" s="3047"/>
      <c r="AU37" s="3047"/>
      <c r="AV37" s="3047"/>
      <c r="AW37" s="3048"/>
      <c r="AX37" s="2089"/>
      <c r="AY37" s="2089"/>
    </row>
    <row r="38" spans="1:55" s="89" customFormat="1" ht="45.75" customHeight="1">
      <c r="A38" s="275" t="s">
        <v>261</v>
      </c>
      <c r="B38" s="996" t="s">
        <v>215</v>
      </c>
      <c r="C38" s="102" t="s">
        <v>52</v>
      </c>
      <c r="D38" s="94" t="s">
        <v>48</v>
      </c>
      <c r="E38" s="965" t="str">
        <f>'XM.GUI MAIL'!E38</f>
        <v>30-50</v>
      </c>
      <c r="F38" s="1898" t="str">
        <f>'XM.GUI MAIL'!F38</f>
        <v>30-50</v>
      </c>
      <c r="G38" s="13"/>
      <c r="H38" s="46"/>
      <c r="I38" s="3046"/>
      <c r="J38" s="3047"/>
      <c r="K38" s="3047"/>
      <c r="L38" s="3047"/>
      <c r="M38" s="3047"/>
      <c r="N38" s="3048"/>
      <c r="O38" s="2552"/>
      <c r="P38" s="3046"/>
      <c r="Q38" s="3047"/>
      <c r="R38" s="3047"/>
      <c r="S38" s="3047"/>
      <c r="T38" s="3047"/>
      <c r="U38" s="3048"/>
      <c r="V38" s="2574"/>
      <c r="W38" s="3046"/>
      <c r="X38" s="3047"/>
      <c r="Y38" s="3047"/>
      <c r="Z38" s="3047"/>
      <c r="AA38" s="3047"/>
      <c r="AB38" s="3048"/>
      <c r="AC38" s="2552"/>
      <c r="AD38" s="3046"/>
      <c r="AE38" s="3047"/>
      <c r="AF38" s="3047"/>
      <c r="AG38" s="3047"/>
      <c r="AH38" s="3047"/>
      <c r="AI38" s="3048"/>
      <c r="AJ38" s="2600"/>
      <c r="AK38" s="3046" t="s">
        <v>1678</v>
      </c>
      <c r="AL38" s="3047"/>
      <c r="AM38" s="3047"/>
      <c r="AN38" s="3047"/>
      <c r="AO38" s="3047"/>
      <c r="AP38" s="3048"/>
      <c r="AQ38" s="2600"/>
      <c r="AR38" s="3046" t="s">
        <v>1678</v>
      </c>
      <c r="AS38" s="3047"/>
      <c r="AT38" s="3047"/>
      <c r="AU38" s="3047"/>
      <c r="AV38" s="3047"/>
      <c r="AW38" s="3048"/>
      <c r="AX38" s="2089"/>
      <c r="AY38" s="2089"/>
    </row>
    <row r="39" spans="1:55" ht="26.25" customHeight="1">
      <c r="A39" s="274"/>
      <c r="B39" s="274"/>
      <c r="C39" s="268"/>
      <c r="D39" s="268"/>
      <c r="E39" s="1337"/>
      <c r="F39" s="1619"/>
      <c r="G39" s="1337"/>
      <c r="H39" s="268"/>
      <c r="I39" s="268"/>
      <c r="J39" s="2500"/>
      <c r="K39" s="268"/>
      <c r="L39" s="268"/>
      <c r="M39" s="2522"/>
      <c r="N39" s="268"/>
      <c r="O39" s="2500"/>
      <c r="P39" s="268"/>
      <c r="Q39" s="2500"/>
      <c r="R39" s="268"/>
      <c r="S39" s="268"/>
      <c r="T39" s="2522"/>
      <c r="U39" s="268"/>
      <c r="V39" s="2500"/>
      <c r="W39" s="268"/>
      <c r="X39" s="2500"/>
      <c r="Y39" s="268"/>
      <c r="Z39" s="268"/>
      <c r="AA39" s="2522"/>
      <c r="AB39" s="268"/>
      <c r="AC39" s="2500"/>
      <c r="AD39" s="268"/>
      <c r="AE39" s="2500"/>
      <c r="AF39" s="268"/>
      <c r="AG39" s="268"/>
      <c r="AH39" s="2522"/>
      <c r="AI39" s="268"/>
      <c r="AP39" s="265"/>
      <c r="AW39" s="265"/>
    </row>
    <row r="40" spans="1:55" ht="41.25" customHeight="1">
      <c r="A40" s="1936" t="s">
        <v>212</v>
      </c>
      <c r="B40" s="1937"/>
      <c r="C40" s="1938"/>
      <c r="D40" s="1938"/>
      <c r="E40" s="1939"/>
      <c r="F40" s="1940" t="str">
        <f>MENU!$AC$9</f>
        <v>Thứ 4,</v>
      </c>
      <c r="G40" s="1941"/>
      <c r="H40" s="1942"/>
      <c r="I40" s="1943" t="str">
        <f>MENU!$AD$9</f>
        <v>2024/05/22</v>
      </c>
      <c r="J40" s="2486"/>
      <c r="K40" s="1942"/>
      <c r="L40" s="1944"/>
      <c r="M40" s="2514"/>
      <c r="N40" s="1944"/>
      <c r="O40" s="2514"/>
      <c r="P40" s="1944"/>
      <c r="Q40" s="2514"/>
      <c r="R40" s="1944"/>
      <c r="S40" s="1944"/>
      <c r="T40" s="2514"/>
      <c r="U40" s="1942"/>
      <c r="V40" s="2486"/>
      <c r="W40" s="1942"/>
      <c r="X40" s="2486"/>
      <c r="Y40" s="1942"/>
      <c r="Z40" s="1942"/>
      <c r="AA40" s="2486"/>
      <c r="AB40" s="1942"/>
      <c r="AC40" s="2486"/>
      <c r="AD40" s="1942"/>
      <c r="AE40" s="2486"/>
      <c r="AF40" s="1942"/>
      <c r="AG40" s="1942"/>
      <c r="AH40" s="2486"/>
      <c r="AI40" s="1942"/>
      <c r="AK40" s="1937" t="s">
        <v>212</v>
      </c>
      <c r="AL40" s="2605"/>
      <c r="AM40" s="1945"/>
      <c r="AN40" s="1945"/>
      <c r="AO40" s="2605"/>
      <c r="AP40" s="1945"/>
      <c r="AQ40" s="2605"/>
      <c r="AR40" s="1945"/>
      <c r="AS40" s="1945"/>
      <c r="AT40" s="1945"/>
      <c r="AU40" s="1945"/>
      <c r="AV40" s="1945"/>
      <c r="AW40" s="1946"/>
    </row>
    <row r="41" spans="1:55" ht="36.75" customHeight="1">
      <c r="A41" s="994"/>
      <c r="B41" s="994"/>
      <c r="C41" s="994"/>
      <c r="D41" s="994"/>
      <c r="E41" s="1382"/>
      <c r="F41" s="1899"/>
      <c r="G41" s="3054" t="s">
        <v>125</v>
      </c>
      <c r="H41" s="83"/>
      <c r="I41" s="269" t="s">
        <v>1469</v>
      </c>
      <c r="J41" s="2487"/>
      <c r="K41" s="269"/>
      <c r="L41" s="269"/>
      <c r="M41" s="2487"/>
      <c r="N41" s="269"/>
      <c r="O41" s="2538"/>
      <c r="P41" s="282" t="s">
        <v>1459</v>
      </c>
      <c r="Q41" s="2487"/>
      <c r="R41" s="269"/>
      <c r="S41" s="269"/>
      <c r="T41" s="2487"/>
      <c r="U41" s="270"/>
      <c r="V41" s="2487"/>
      <c r="W41" s="269" t="s">
        <v>1460</v>
      </c>
      <c r="X41" s="2487"/>
      <c r="Y41" s="269"/>
      <c r="Z41" s="269"/>
      <c r="AA41" s="2487"/>
      <c r="AB41" s="269"/>
      <c r="AC41" s="2538"/>
      <c r="AD41" s="282" t="s">
        <v>1461</v>
      </c>
      <c r="AE41" s="2487"/>
      <c r="AF41" s="269"/>
      <c r="AG41" s="269"/>
      <c r="AH41" s="2487"/>
      <c r="AI41" s="270"/>
      <c r="AJ41" s="2487"/>
      <c r="AK41" s="269" t="s">
        <v>1462</v>
      </c>
      <c r="AL41" s="2487"/>
      <c r="AM41" s="269"/>
      <c r="AN41" s="269"/>
      <c r="AO41" s="2487"/>
      <c r="AP41" s="269"/>
      <c r="AQ41" s="2487"/>
      <c r="AR41" s="282" t="s">
        <v>1463</v>
      </c>
      <c r="AS41" s="269"/>
      <c r="AT41" s="269"/>
      <c r="AU41" s="270"/>
      <c r="AV41" s="270"/>
      <c r="AW41" s="1003"/>
    </row>
    <row r="42" spans="1:55" ht="63.75" customHeight="1">
      <c r="A42" s="995" t="s">
        <v>238</v>
      </c>
      <c r="B42" s="995" t="s">
        <v>317</v>
      </c>
      <c r="C42" s="1001" t="s">
        <v>316</v>
      </c>
      <c r="D42" s="995" t="s">
        <v>124</v>
      </c>
      <c r="E42" s="1388" t="s">
        <v>1303</v>
      </c>
      <c r="F42" s="1900" t="s">
        <v>1302</v>
      </c>
      <c r="G42" s="3055"/>
      <c r="H42" s="20"/>
      <c r="I42" s="1878" t="s">
        <v>129</v>
      </c>
      <c r="J42" s="2488" t="s">
        <v>1</v>
      </c>
      <c r="K42" s="283" t="s">
        <v>1</v>
      </c>
      <c r="L42" s="283"/>
      <c r="M42" s="2499"/>
      <c r="N42" s="284"/>
      <c r="O42" s="2539"/>
      <c r="P42" s="1878" t="s">
        <v>129</v>
      </c>
      <c r="Q42" s="2488" t="s">
        <v>1</v>
      </c>
      <c r="R42" s="283" t="s">
        <v>1</v>
      </c>
      <c r="S42" s="283"/>
      <c r="T42" s="2499"/>
      <c r="U42" s="284"/>
      <c r="V42" s="2571"/>
      <c r="W42" s="1878" t="s">
        <v>129</v>
      </c>
      <c r="X42" s="2488" t="s">
        <v>1</v>
      </c>
      <c r="Y42" s="283" t="s">
        <v>1</v>
      </c>
      <c r="Z42" s="283"/>
      <c r="AA42" s="2499"/>
      <c r="AB42" s="284"/>
      <c r="AC42" s="2539"/>
      <c r="AD42" s="1878" t="s">
        <v>129</v>
      </c>
      <c r="AE42" s="2488" t="s">
        <v>1</v>
      </c>
      <c r="AF42" s="283" t="s">
        <v>1</v>
      </c>
      <c r="AG42" s="283"/>
      <c r="AH42" s="2499"/>
      <c r="AI42" s="284"/>
      <c r="AJ42" s="2539"/>
      <c r="AK42" s="1878" t="s">
        <v>129</v>
      </c>
      <c r="AL42" s="2488" t="s">
        <v>1</v>
      </c>
      <c r="AM42" s="283" t="s">
        <v>1</v>
      </c>
      <c r="AN42" s="283"/>
      <c r="AO42" s="2499"/>
      <c r="AP42" s="284"/>
      <c r="AQ42" s="2539"/>
      <c r="AR42" s="1878" t="s">
        <v>129</v>
      </c>
      <c r="AS42" s="1877" t="s">
        <v>1</v>
      </c>
      <c r="AT42" s="283" t="s">
        <v>1</v>
      </c>
      <c r="AU42" s="283"/>
      <c r="AV42" s="283"/>
      <c r="AW42" s="284"/>
      <c r="AZ42" s="2081"/>
      <c r="BA42" s="265" t="s">
        <v>1</v>
      </c>
      <c r="BB42" s="265" t="s">
        <v>1</v>
      </c>
    </row>
    <row r="43" spans="1:55" ht="34.5" customHeight="1">
      <c r="A43" s="1835" t="s">
        <v>262</v>
      </c>
      <c r="B43" s="1835" t="s">
        <v>214</v>
      </c>
      <c r="C43" s="1872" t="s">
        <v>1485</v>
      </c>
      <c r="D43" s="1919" t="s">
        <v>4</v>
      </c>
      <c r="E43" s="1884" t="str">
        <f>'XM.GUI MAIL'!E43</f>
        <v>60~80</v>
      </c>
      <c r="F43" s="1901" t="str">
        <f>'XM.GUI MAIL'!F43</f>
        <v>(70±5)</v>
      </c>
      <c r="G43" s="1920">
        <f>'XM.GUI MAIL'!G43</f>
        <v>70</v>
      </c>
      <c r="H43" s="1839">
        <f>XM.HN!B26</f>
        <v>10.85</v>
      </c>
      <c r="I43" s="1930">
        <f>H43*6.49</f>
        <v>70.416499999999999</v>
      </c>
      <c r="J43" s="2501">
        <f>($G$43-I43)*2693/1000</f>
        <v>-1.1216344999999979</v>
      </c>
      <c r="K43" s="1842" t="s">
        <v>8</v>
      </c>
      <c r="L43" s="1922">
        <f>IF(J43&lt;0,0,J43)</f>
        <v>0</v>
      </c>
      <c r="M43" s="2523"/>
      <c r="N43" s="1923" t="s">
        <v>9</v>
      </c>
      <c r="O43" s="2553">
        <f>XM.HN!C26</f>
        <v>10.85</v>
      </c>
      <c r="P43" s="1930">
        <f>O43*6.49</f>
        <v>70.416499999999999</v>
      </c>
      <c r="Q43" s="2501">
        <f>($G$43-P43)*2693/1000</f>
        <v>-1.1216344999999979</v>
      </c>
      <c r="R43" s="1842" t="s">
        <v>8</v>
      </c>
      <c r="S43" s="1922">
        <f>IF(Q43&lt;0,0,Q43)</f>
        <v>0</v>
      </c>
      <c r="T43" s="2523"/>
      <c r="U43" s="1924" t="s">
        <v>9</v>
      </c>
      <c r="V43" s="2575">
        <f>XM.HN!D26</f>
        <v>10.5</v>
      </c>
      <c r="W43" s="1930">
        <f>V43*6.49</f>
        <v>68.144999999999996</v>
      </c>
      <c r="X43" s="2501">
        <f>($G$43-W43)*2693/1000</f>
        <v>4.9955150000000099</v>
      </c>
      <c r="Y43" s="1842" t="s">
        <v>8</v>
      </c>
      <c r="Z43" s="1922">
        <f>IF(X43&lt;0,0,X43)</f>
        <v>4.9955150000000099</v>
      </c>
      <c r="AA43" s="2523"/>
      <c r="AB43" s="1923" t="s">
        <v>9</v>
      </c>
      <c r="AC43" s="2553">
        <f>XM.HN!E26</f>
        <v>10</v>
      </c>
      <c r="AD43" s="1930">
        <v>72.3</v>
      </c>
      <c r="AE43" s="2501">
        <f>($G$43-AD43)*2693/1000</f>
        <v>-6.1938999999999922</v>
      </c>
      <c r="AF43" s="1842" t="s">
        <v>8</v>
      </c>
      <c r="AG43" s="1922">
        <f>IF(AE43&lt;0,0,AE43)</f>
        <v>0</v>
      </c>
      <c r="AH43" s="2523"/>
      <c r="AI43" s="1923" t="s">
        <v>9</v>
      </c>
      <c r="AJ43" s="2553">
        <f>XM.HN!F26</f>
        <v>10.6</v>
      </c>
      <c r="AK43" s="1930">
        <v>71.599999999999994</v>
      </c>
      <c r="AL43" s="2501">
        <f>($G$43-AK43)*2693/1000</f>
        <v>-4.3087999999999846</v>
      </c>
      <c r="AM43" s="1842" t="s">
        <v>8</v>
      </c>
      <c r="AN43" s="1922">
        <f>IF(AL43&lt;0,0,AL43)</f>
        <v>0</v>
      </c>
      <c r="AO43" s="2523"/>
      <c r="AP43" s="1923" t="s">
        <v>9</v>
      </c>
      <c r="AQ43" s="2553">
        <f>XM.HN!G26</f>
        <v>11</v>
      </c>
      <c r="AR43" s="1930">
        <f>AQ43*6.49</f>
        <v>71.39</v>
      </c>
      <c r="AS43" s="1921">
        <f>($G$43-AR43)*2693/1000</f>
        <v>-3.7432700000000012</v>
      </c>
      <c r="AT43" s="1842" t="s">
        <v>8</v>
      </c>
      <c r="AU43" s="1922">
        <f>IF(AS43&lt;0,0,AS43)</f>
        <v>0</v>
      </c>
      <c r="AV43" s="1922"/>
      <c r="AW43" s="1924" t="s">
        <v>9</v>
      </c>
      <c r="AZ43" s="1930"/>
      <c r="BA43" s="265">
        <v>1.5000010000000059</v>
      </c>
      <c r="BB43" s="265" t="s">
        <v>8</v>
      </c>
      <c r="BC43" s="265">
        <v>1.5000010000000059</v>
      </c>
    </row>
    <row r="44" spans="1:55" ht="34.5" customHeight="1">
      <c r="A44" s="1858"/>
      <c r="B44" s="1858"/>
      <c r="C44" s="1871" t="s">
        <v>231</v>
      </c>
      <c r="D44" s="1860"/>
      <c r="E44" s="1861" t="s">
        <v>1363</v>
      </c>
      <c r="F44" s="1902"/>
      <c r="G44" s="1925"/>
      <c r="H44" s="1863"/>
      <c r="I44" s="1882"/>
      <c r="J44" s="2502"/>
      <c r="K44" s="1865" t="s">
        <v>8</v>
      </c>
      <c r="L44" s="1869">
        <f>L43/25*7.5</f>
        <v>0</v>
      </c>
      <c r="M44" s="2524"/>
      <c r="N44" s="1928" t="s">
        <v>10</v>
      </c>
      <c r="O44" s="2554"/>
      <c r="P44" s="1882"/>
      <c r="Q44" s="2502"/>
      <c r="R44" s="1865" t="s">
        <v>8</v>
      </c>
      <c r="S44" s="1869">
        <f>S43/25*7.5</f>
        <v>0</v>
      </c>
      <c r="T44" s="2524"/>
      <c r="U44" s="1929" t="s">
        <v>10</v>
      </c>
      <c r="V44" s="2576"/>
      <c r="W44" s="1882"/>
      <c r="X44" s="2502"/>
      <c r="Y44" s="1865" t="s">
        <v>8</v>
      </c>
      <c r="Z44" s="1869">
        <f>Z43/25*7.5</f>
        <v>1.4986545000000031</v>
      </c>
      <c r="AA44" s="2524"/>
      <c r="AB44" s="1928" t="s">
        <v>10</v>
      </c>
      <c r="AC44" s="2554"/>
      <c r="AD44" s="1882"/>
      <c r="AE44" s="2502"/>
      <c r="AF44" s="1865" t="s">
        <v>8</v>
      </c>
      <c r="AG44" s="1869">
        <f>AG43/25*7.5</f>
        <v>0</v>
      </c>
      <c r="AH44" s="2524"/>
      <c r="AI44" s="1928" t="s">
        <v>10</v>
      </c>
      <c r="AJ44" s="2554"/>
      <c r="AK44" s="1882"/>
      <c r="AL44" s="2502"/>
      <c r="AM44" s="1865" t="s">
        <v>8</v>
      </c>
      <c r="AN44" s="1869">
        <f>AN43/25*7.5</f>
        <v>0</v>
      </c>
      <c r="AO44" s="2524"/>
      <c r="AP44" s="1928"/>
      <c r="AQ44" s="2554"/>
      <c r="AR44" s="1882"/>
      <c r="AS44" s="1926"/>
      <c r="AT44" s="1865" t="s">
        <v>8</v>
      </c>
      <c r="AU44" s="1869">
        <f>AU43/25*7.5</f>
        <v>0</v>
      </c>
      <c r="AV44" s="1927"/>
      <c r="AW44" s="1929" t="s">
        <v>10</v>
      </c>
      <c r="AZ44" s="1882"/>
      <c r="BB44" s="265" t="s">
        <v>8</v>
      </c>
      <c r="BC44" s="265">
        <v>0.45000030000000174</v>
      </c>
    </row>
    <row r="45" spans="1:55" ht="34.5" customHeight="1">
      <c r="A45" s="1835" t="s">
        <v>263</v>
      </c>
      <c r="B45" s="1835" t="s">
        <v>214</v>
      </c>
      <c r="C45" s="1872" t="s">
        <v>1486</v>
      </c>
      <c r="D45" s="1919" t="s">
        <v>4</v>
      </c>
      <c r="E45" s="1884" t="str">
        <f>'XM.GUI MAIL'!E45</f>
        <v>60~80</v>
      </c>
      <c r="F45" s="1901" t="str">
        <f>'XM.GUI MAIL'!F45</f>
        <v>(70±5)</v>
      </c>
      <c r="G45" s="1920">
        <f>'XM.GUI MAIL'!G45</f>
        <v>70</v>
      </c>
      <c r="H45" s="1839">
        <f>XM.HN!B28</f>
        <v>11.2</v>
      </c>
      <c r="I45" s="1930">
        <f>H45*6.49</f>
        <v>72.688000000000002</v>
      </c>
      <c r="J45" s="2501">
        <f>($G$45-I45)*3305/1000</f>
        <v>-8.8838400000000082</v>
      </c>
      <c r="K45" s="1842" t="s">
        <v>8</v>
      </c>
      <c r="L45" s="1922">
        <f>IF(J45&lt;0,0,J45)</f>
        <v>0</v>
      </c>
      <c r="M45" s="2523"/>
      <c r="N45" s="1923" t="s">
        <v>9</v>
      </c>
      <c r="O45" s="2553">
        <f>XM.HN!C28</f>
        <v>11.2</v>
      </c>
      <c r="P45" s="1930">
        <f>O45*6.49</f>
        <v>72.688000000000002</v>
      </c>
      <c r="Q45" s="2501">
        <f>($G$45-P45)*3305/1000</f>
        <v>-8.8838400000000082</v>
      </c>
      <c r="R45" s="1842" t="s">
        <v>8</v>
      </c>
      <c r="S45" s="1922">
        <f>IF(Q45&lt;0,0,Q45)</f>
        <v>0</v>
      </c>
      <c r="T45" s="2523"/>
      <c r="U45" s="1924" t="s">
        <v>9</v>
      </c>
      <c r="V45" s="2575">
        <f>XM.HN!D28</f>
        <v>11.05</v>
      </c>
      <c r="W45" s="1930">
        <f>V45*6.49</f>
        <v>71.714500000000001</v>
      </c>
      <c r="X45" s="2501">
        <f>($G$45-W45)*3305/1000</f>
        <v>-5.666422500000003</v>
      </c>
      <c r="Y45" s="1842" t="s">
        <v>8</v>
      </c>
      <c r="Z45" s="1922">
        <f>IF(X45&lt;0,0,X45)</f>
        <v>0</v>
      </c>
      <c r="AA45" s="2523"/>
      <c r="AB45" s="1923" t="s">
        <v>9</v>
      </c>
      <c r="AC45" s="2553">
        <f>XM.HN!E28</f>
        <v>10.9</v>
      </c>
      <c r="AD45" s="1930">
        <v>71</v>
      </c>
      <c r="AE45" s="2501">
        <f>($G$45-AD45)*3305/1000</f>
        <v>-3.3050000000000002</v>
      </c>
      <c r="AF45" s="1842" t="s">
        <v>8</v>
      </c>
      <c r="AG45" s="1922">
        <f>IF(AE45&lt;0,0,AE45)</f>
        <v>0</v>
      </c>
      <c r="AH45" s="2523"/>
      <c r="AI45" s="1923" t="s">
        <v>9</v>
      </c>
      <c r="AJ45" s="2553">
        <f>XM.HN!F28</f>
        <v>11</v>
      </c>
      <c r="AK45" s="1930">
        <v>70.599999999999994</v>
      </c>
      <c r="AL45" s="2501">
        <f>($G$45-AK45)*3305/1000</f>
        <v>-1.9829999999999812</v>
      </c>
      <c r="AM45" s="1842" t="s">
        <v>8</v>
      </c>
      <c r="AN45" s="1922">
        <f>IF(AL45&lt;0,0,AL45)</f>
        <v>0</v>
      </c>
      <c r="AO45" s="2523"/>
      <c r="AP45" s="1923" t="s">
        <v>9</v>
      </c>
      <c r="AQ45" s="2553">
        <f>XM.HN!G28</f>
        <v>11.1</v>
      </c>
      <c r="AR45" s="1930">
        <v>70</v>
      </c>
      <c r="AS45" s="1921">
        <f>($G$45-AR45)*3305/1000</f>
        <v>0</v>
      </c>
      <c r="AT45" s="1842" t="s">
        <v>8</v>
      </c>
      <c r="AU45" s="1922">
        <f>IF(AS45&lt;0,0,AS45)</f>
        <v>0</v>
      </c>
      <c r="AV45" s="1922"/>
      <c r="AW45" s="1924" t="s">
        <v>9</v>
      </c>
      <c r="AZ45" s="1930"/>
      <c r="BA45" s="265">
        <v>-8.8838400000000082</v>
      </c>
      <c r="BB45" s="265" t="s">
        <v>8</v>
      </c>
      <c r="BC45" s="265">
        <v>0</v>
      </c>
    </row>
    <row r="46" spans="1:55" ht="34.5" customHeight="1">
      <c r="A46" s="1858"/>
      <c r="B46" s="1858"/>
      <c r="C46" s="1871" t="s">
        <v>231</v>
      </c>
      <c r="D46" s="1860"/>
      <c r="E46" s="1861" t="s">
        <v>1363</v>
      </c>
      <c r="F46" s="1902"/>
      <c r="G46" s="1925"/>
      <c r="H46" s="1863"/>
      <c r="I46" s="1882"/>
      <c r="J46" s="2502"/>
      <c r="K46" s="1865" t="s">
        <v>8</v>
      </c>
      <c r="L46" s="1869">
        <f>L45/25*7.5</f>
        <v>0</v>
      </c>
      <c r="M46" s="2524"/>
      <c r="N46" s="1928" t="s">
        <v>10</v>
      </c>
      <c r="O46" s="2554"/>
      <c r="P46" s="1882"/>
      <c r="Q46" s="2502"/>
      <c r="R46" s="1865" t="s">
        <v>8</v>
      </c>
      <c r="S46" s="1869">
        <f>S45/25*7.5</f>
        <v>0</v>
      </c>
      <c r="T46" s="2524"/>
      <c r="U46" s="1929" t="s">
        <v>10</v>
      </c>
      <c r="V46" s="2576"/>
      <c r="W46" s="1882"/>
      <c r="X46" s="2502"/>
      <c r="Y46" s="1865" t="s">
        <v>8</v>
      </c>
      <c r="Z46" s="1869">
        <f>Z45/25*7.5</f>
        <v>0</v>
      </c>
      <c r="AA46" s="2524"/>
      <c r="AB46" s="1928" t="s">
        <v>10</v>
      </c>
      <c r="AC46" s="2554"/>
      <c r="AD46" s="1882"/>
      <c r="AE46" s="2502"/>
      <c r="AF46" s="1865" t="s">
        <v>8</v>
      </c>
      <c r="AG46" s="1869">
        <f>AG45/25*7.5</f>
        <v>0</v>
      </c>
      <c r="AH46" s="2524"/>
      <c r="AI46" s="1928" t="s">
        <v>10</v>
      </c>
      <c r="AJ46" s="2554"/>
      <c r="AK46" s="1882"/>
      <c r="AL46" s="2502"/>
      <c r="AM46" s="1865" t="s">
        <v>8</v>
      </c>
      <c r="AN46" s="1869">
        <f>AN45/25*7.5</f>
        <v>0</v>
      </c>
      <c r="AO46" s="2524"/>
      <c r="AP46" s="1928"/>
      <c r="AQ46" s="2554"/>
      <c r="AR46" s="1882"/>
      <c r="AS46" s="1926"/>
      <c r="AT46" s="1865" t="s">
        <v>8</v>
      </c>
      <c r="AU46" s="1869">
        <f>AU45/25*7.5</f>
        <v>0</v>
      </c>
      <c r="AV46" s="1927"/>
      <c r="AW46" s="1929" t="s">
        <v>10</v>
      </c>
      <c r="AZ46" s="1882"/>
      <c r="BB46" s="265" t="s">
        <v>8</v>
      </c>
      <c r="BC46" s="265">
        <v>0</v>
      </c>
    </row>
    <row r="47" spans="1:55" ht="34.5" customHeight="1">
      <c r="A47" s="1835" t="s">
        <v>264</v>
      </c>
      <c r="B47" s="1835" t="s">
        <v>214</v>
      </c>
      <c r="C47" s="1872" t="s">
        <v>1487</v>
      </c>
      <c r="D47" s="1836" t="s">
        <v>4</v>
      </c>
      <c r="E47" s="1884" t="str">
        <f>'XM.GUI MAIL'!E47</f>
        <v>50~70</v>
      </c>
      <c r="F47" s="1901" t="str">
        <f>'XM.GUI MAIL'!F47</f>
        <v>(60±10)</v>
      </c>
      <c r="G47" s="1920">
        <f>'XM.GUI MAIL'!G47</f>
        <v>60</v>
      </c>
      <c r="H47" s="1839">
        <f>XM.HN!B30</f>
        <v>13.55</v>
      </c>
      <c r="I47" s="1930">
        <f>H47*4.62</f>
        <v>62.601000000000006</v>
      </c>
      <c r="J47" s="2503">
        <f>($G$47-I47)*1156/1000</f>
        <v>-3.0067560000000073</v>
      </c>
      <c r="K47" s="1842" t="s">
        <v>8</v>
      </c>
      <c r="L47" s="1922">
        <f>IF(J47&lt;0,0,J47)</f>
        <v>0</v>
      </c>
      <c r="M47" s="2523"/>
      <c r="N47" s="1923" t="s">
        <v>9</v>
      </c>
      <c r="O47" s="2555">
        <f>XM.HN!C30</f>
        <v>13.65</v>
      </c>
      <c r="P47" s="1930">
        <f>O47*4.62</f>
        <v>63.063000000000002</v>
      </c>
      <c r="Q47" s="2503">
        <f>($G$47-P47)*1156/1000</f>
        <v>-3.5408280000000025</v>
      </c>
      <c r="R47" s="1842" t="s">
        <v>8</v>
      </c>
      <c r="S47" s="1922">
        <f>IF(Q47&lt;0,0,Q47)</f>
        <v>0</v>
      </c>
      <c r="T47" s="2523"/>
      <c r="U47" s="1924" t="s">
        <v>9</v>
      </c>
      <c r="V47" s="2577">
        <f>XM.HN!D30</f>
        <v>14</v>
      </c>
      <c r="W47" s="1930">
        <f>V47*4.62</f>
        <v>64.680000000000007</v>
      </c>
      <c r="X47" s="2503">
        <f>($G$47-W47)*1156/1000</f>
        <v>-5.4100800000000078</v>
      </c>
      <c r="Y47" s="1842" t="s">
        <v>8</v>
      </c>
      <c r="Z47" s="1922">
        <f>IF(X47&lt;0,0,X47)</f>
        <v>0</v>
      </c>
      <c r="AA47" s="2523"/>
      <c r="AB47" s="1923" t="s">
        <v>9</v>
      </c>
      <c r="AC47" s="2577">
        <f>XM.HN!E30</f>
        <v>13.7</v>
      </c>
      <c r="AD47" s="1930">
        <f>AC47*4.62</f>
        <v>63.293999999999997</v>
      </c>
      <c r="AE47" s="2503">
        <f>($G$47-AD47)*1156/1000</f>
        <v>-3.8078639999999964</v>
      </c>
      <c r="AF47" s="1842" t="s">
        <v>8</v>
      </c>
      <c r="AG47" s="1922">
        <f>IF(AE47&lt;0,0,AE47)</f>
        <v>0</v>
      </c>
      <c r="AH47" s="2523"/>
      <c r="AI47" s="1923" t="s">
        <v>9</v>
      </c>
      <c r="AJ47" s="2577">
        <f>XM.HN!F30</f>
        <v>13.5</v>
      </c>
      <c r="AK47" s="1930">
        <f>AJ47*4.62</f>
        <v>62.370000000000005</v>
      </c>
      <c r="AL47" s="2503">
        <f>($G$47-AK47)*1156/1000</f>
        <v>-2.739720000000005</v>
      </c>
      <c r="AM47" s="1842" t="s">
        <v>8</v>
      </c>
      <c r="AN47" s="1922">
        <f>IF(AL47&lt;0,0,AL47)</f>
        <v>0</v>
      </c>
      <c r="AO47" s="2523"/>
      <c r="AP47" s="1923" t="s">
        <v>9</v>
      </c>
      <c r="AQ47" s="2577">
        <f>XM.HN!G30</f>
        <v>13</v>
      </c>
      <c r="AR47" s="1930">
        <v>61.2</v>
      </c>
      <c r="AS47" s="1921">
        <f>($G$47-AR47)*1156/1000</f>
        <v>-1.3872000000000033</v>
      </c>
      <c r="AT47" s="1842" t="s">
        <v>8</v>
      </c>
      <c r="AU47" s="1922">
        <f>IF(AS47&lt;0,0,AS47)</f>
        <v>0</v>
      </c>
      <c r="AV47" s="1922"/>
      <c r="AW47" s="1924" t="s">
        <v>9</v>
      </c>
      <c r="AZ47" s="1930"/>
      <c r="BA47" s="265">
        <v>-1.3872000000000033</v>
      </c>
      <c r="BB47" s="265" t="s">
        <v>8</v>
      </c>
      <c r="BC47" s="265">
        <v>0</v>
      </c>
    </row>
    <row r="48" spans="1:55" ht="34.5" customHeight="1">
      <c r="A48" s="1858"/>
      <c r="B48" s="1858"/>
      <c r="C48" s="1871" t="s">
        <v>233</v>
      </c>
      <c r="D48" s="1860"/>
      <c r="E48" s="1861" t="s">
        <v>1488</v>
      </c>
      <c r="F48" s="1902"/>
      <c r="G48" s="1925"/>
      <c r="H48" s="1863"/>
      <c r="I48" s="1882"/>
      <c r="J48" s="2504"/>
      <c r="K48" s="1865" t="s">
        <v>8</v>
      </c>
      <c r="L48" s="1869">
        <f>L47/25*7</f>
        <v>0</v>
      </c>
      <c r="M48" s="2524"/>
      <c r="N48" s="1928" t="s">
        <v>10</v>
      </c>
      <c r="O48" s="2556"/>
      <c r="P48" s="1882"/>
      <c r="Q48" s="2504"/>
      <c r="R48" s="1865" t="s">
        <v>8</v>
      </c>
      <c r="S48" s="1869">
        <f>S47/25*7</f>
        <v>0</v>
      </c>
      <c r="T48" s="2524"/>
      <c r="U48" s="1929" t="s">
        <v>10</v>
      </c>
      <c r="V48" s="2578"/>
      <c r="W48" s="1882"/>
      <c r="X48" s="2504"/>
      <c r="Y48" s="1865" t="s">
        <v>8</v>
      </c>
      <c r="Z48" s="1869">
        <f>Z47/25*7</f>
        <v>0</v>
      </c>
      <c r="AA48" s="2524"/>
      <c r="AB48" s="1928" t="s">
        <v>10</v>
      </c>
      <c r="AC48" s="2578"/>
      <c r="AD48" s="1882"/>
      <c r="AE48" s="2504"/>
      <c r="AF48" s="1865" t="s">
        <v>8</v>
      </c>
      <c r="AG48" s="1869">
        <f>AG47/25*7</f>
        <v>0</v>
      </c>
      <c r="AH48" s="2524"/>
      <c r="AI48" s="1928" t="s">
        <v>10</v>
      </c>
      <c r="AJ48" s="2578"/>
      <c r="AK48" s="1882"/>
      <c r="AL48" s="2504"/>
      <c r="AM48" s="1865" t="s">
        <v>8</v>
      </c>
      <c r="AN48" s="1869">
        <f>AN47/25*7</f>
        <v>0</v>
      </c>
      <c r="AO48" s="2524"/>
      <c r="AP48" s="1928"/>
      <c r="AQ48" s="2578"/>
      <c r="AR48" s="1882"/>
      <c r="AS48" s="1926"/>
      <c r="AT48" s="1865" t="s">
        <v>8</v>
      </c>
      <c r="AU48" s="1869">
        <f>AU47/25*7</f>
        <v>0</v>
      </c>
      <c r="AV48" s="1927"/>
      <c r="AW48" s="1929" t="s">
        <v>10</v>
      </c>
      <c r="AZ48" s="1882"/>
      <c r="BB48" s="265" t="s">
        <v>8</v>
      </c>
      <c r="BC48" s="265">
        <v>0</v>
      </c>
    </row>
    <row r="49" spans="1:55" ht="34.5" customHeight="1">
      <c r="A49" s="1835" t="s">
        <v>265</v>
      </c>
      <c r="B49" s="1835" t="s">
        <v>214</v>
      </c>
      <c r="C49" s="1872" t="s">
        <v>1489</v>
      </c>
      <c r="D49" s="1836" t="s">
        <v>4</v>
      </c>
      <c r="E49" s="1884" t="str">
        <f>'XM.GUI MAIL'!E49</f>
        <v>50~70</v>
      </c>
      <c r="F49" s="1901" t="str">
        <f>'XM.GUI MAIL'!F49</f>
        <v>(60±10)</v>
      </c>
      <c r="G49" s="1920">
        <f>'XM.GUI MAIL'!G49</f>
        <v>60</v>
      </c>
      <c r="H49" s="1839">
        <f>XM.HN!B32</f>
        <v>13.45</v>
      </c>
      <c r="I49" s="1930">
        <f>H49*4.62</f>
        <v>62.138999999999996</v>
      </c>
      <c r="J49" s="2503">
        <f>($G$49-I49)*1459/1000</f>
        <v>-3.1208009999999939</v>
      </c>
      <c r="K49" s="1842" t="s">
        <v>8</v>
      </c>
      <c r="L49" s="1922">
        <f>IF(J49&lt;0,0,J49)</f>
        <v>0</v>
      </c>
      <c r="M49" s="2523"/>
      <c r="N49" s="1923" t="s">
        <v>9</v>
      </c>
      <c r="O49" s="2555">
        <f>XM.HN!C32</f>
        <v>13.05</v>
      </c>
      <c r="P49" s="1930">
        <f>O49*4.62</f>
        <v>60.291000000000004</v>
      </c>
      <c r="Q49" s="2503">
        <f>($G$49-P49)*1459/1000</f>
        <v>-0.42456900000000569</v>
      </c>
      <c r="R49" s="1842" t="s">
        <v>8</v>
      </c>
      <c r="S49" s="1922">
        <f>IF(Q49&lt;0,0,Q49)</f>
        <v>0</v>
      </c>
      <c r="T49" s="2523"/>
      <c r="U49" s="1924" t="s">
        <v>9</v>
      </c>
      <c r="V49" s="2577">
        <f>XM.HN!D32</f>
        <v>13</v>
      </c>
      <c r="W49" s="1930">
        <f>V49*4.62</f>
        <v>60.06</v>
      </c>
      <c r="X49" s="2503">
        <f>($G$49-W49)*1459/1000</f>
        <v>-8.7540000000003323E-2</v>
      </c>
      <c r="Y49" s="1842" t="s">
        <v>8</v>
      </c>
      <c r="Z49" s="1922">
        <f>IF(X49&lt;0,0,X49)</f>
        <v>0</v>
      </c>
      <c r="AA49" s="2523"/>
      <c r="AB49" s="1923" t="s">
        <v>9</v>
      </c>
      <c r="AC49" s="2577">
        <f>XM.HN!E32</f>
        <v>11.8</v>
      </c>
      <c r="AD49" s="1930">
        <f>AC49*4.62</f>
        <v>54.516000000000005</v>
      </c>
      <c r="AE49" s="2503">
        <f>($G$49-AD49)*1459/1000</f>
        <v>8.0011559999999911</v>
      </c>
      <c r="AF49" s="1842" t="s">
        <v>8</v>
      </c>
      <c r="AG49" s="1922">
        <f>IF(AE49&lt;0,0,AE49)</f>
        <v>8.0011559999999911</v>
      </c>
      <c r="AH49" s="2523"/>
      <c r="AI49" s="1923" t="s">
        <v>9</v>
      </c>
      <c r="AJ49" s="2577">
        <f>XM.HN!F32</f>
        <v>14.5</v>
      </c>
      <c r="AK49" s="1930">
        <f>AJ49*4.62</f>
        <v>66.989999999999995</v>
      </c>
      <c r="AL49" s="2503">
        <f>($G$49-AK49)*1459/1000</f>
        <v>-10.198409999999992</v>
      </c>
      <c r="AM49" s="1842" t="s">
        <v>8</v>
      </c>
      <c r="AN49" s="1922">
        <f>IF(AL49&lt;0,0,AL49)</f>
        <v>0</v>
      </c>
      <c r="AO49" s="2523"/>
      <c r="AP49" s="1923" t="s">
        <v>9</v>
      </c>
      <c r="AQ49" s="2577">
        <f>XM.HN!G32</f>
        <v>14.4</v>
      </c>
      <c r="AR49" s="1930">
        <f>AQ49*4.62</f>
        <v>66.528000000000006</v>
      </c>
      <c r="AS49" s="1921">
        <f>($G$49-AR49)*1459/1000</f>
        <v>-9.5243520000000075</v>
      </c>
      <c r="AT49" s="1842" t="s">
        <v>8</v>
      </c>
      <c r="AU49" s="1922">
        <f>IF(AS49&lt;0,0,AS49)</f>
        <v>0</v>
      </c>
      <c r="AV49" s="1922"/>
      <c r="AW49" s="1924" t="s">
        <v>9</v>
      </c>
      <c r="AZ49" s="1930"/>
      <c r="BA49" s="265">
        <v>-2.9180000000000001</v>
      </c>
      <c r="BB49" s="265" t="s">
        <v>8</v>
      </c>
      <c r="BC49" s="265">
        <v>0</v>
      </c>
    </row>
    <row r="50" spans="1:55" ht="34.5" customHeight="1">
      <c r="A50" s="1858"/>
      <c r="B50" s="1858"/>
      <c r="C50" s="1871" t="s">
        <v>233</v>
      </c>
      <c r="D50" s="1860"/>
      <c r="E50" s="1861" t="s">
        <v>1488</v>
      </c>
      <c r="F50" s="1902"/>
      <c r="G50" s="1925"/>
      <c r="H50" s="1863"/>
      <c r="I50" s="1882"/>
      <c r="J50" s="2504"/>
      <c r="K50" s="1865" t="s">
        <v>8</v>
      </c>
      <c r="L50" s="1869">
        <f>L49/25*7</f>
        <v>0</v>
      </c>
      <c r="M50" s="2524"/>
      <c r="N50" s="1928" t="s">
        <v>10</v>
      </c>
      <c r="O50" s="2556"/>
      <c r="P50" s="1882"/>
      <c r="Q50" s="2504"/>
      <c r="R50" s="1865" t="s">
        <v>8</v>
      </c>
      <c r="S50" s="1869">
        <f>S49/25*7</f>
        <v>0</v>
      </c>
      <c r="T50" s="2524"/>
      <c r="U50" s="1929" t="s">
        <v>10</v>
      </c>
      <c r="V50" s="2578"/>
      <c r="W50" s="1882"/>
      <c r="X50" s="2504"/>
      <c r="Y50" s="1865" t="s">
        <v>8</v>
      </c>
      <c r="Z50" s="1869">
        <f>Z49/25*7</f>
        <v>0</v>
      </c>
      <c r="AA50" s="2524"/>
      <c r="AB50" s="1928" t="s">
        <v>10</v>
      </c>
      <c r="AC50" s="2578"/>
      <c r="AD50" s="1882"/>
      <c r="AE50" s="2504"/>
      <c r="AF50" s="1865" t="s">
        <v>8</v>
      </c>
      <c r="AG50" s="1869">
        <f>AG49/25*7</f>
        <v>2.2403236799999977</v>
      </c>
      <c r="AH50" s="2524"/>
      <c r="AI50" s="1928" t="s">
        <v>10</v>
      </c>
      <c r="AJ50" s="2578"/>
      <c r="AK50" s="1882"/>
      <c r="AL50" s="2504"/>
      <c r="AM50" s="1865" t="s">
        <v>8</v>
      </c>
      <c r="AN50" s="1869">
        <f>AN49/25*7</f>
        <v>0</v>
      </c>
      <c r="AO50" s="2524"/>
      <c r="AP50" s="1928"/>
      <c r="AQ50" s="2578"/>
      <c r="AR50" s="1882"/>
      <c r="AS50" s="1926"/>
      <c r="AT50" s="1865" t="s">
        <v>8</v>
      </c>
      <c r="AU50" s="1869">
        <f>AU49/25*7</f>
        <v>0</v>
      </c>
      <c r="AV50" s="1927"/>
      <c r="AW50" s="1929" t="s">
        <v>10</v>
      </c>
      <c r="AZ50" s="1882"/>
      <c r="BB50" s="265" t="s">
        <v>8</v>
      </c>
      <c r="BC50" s="265">
        <v>0</v>
      </c>
    </row>
    <row r="51" spans="1:55" ht="34.5" customHeight="1">
      <c r="A51" s="996" t="s">
        <v>266</v>
      </c>
      <c r="B51" s="996" t="s">
        <v>214</v>
      </c>
      <c r="C51" s="997" t="s">
        <v>56</v>
      </c>
      <c r="D51" s="1002" t="s">
        <v>4</v>
      </c>
      <c r="E51" s="13" t="str">
        <f>'XM.GUI MAIL'!E51</f>
        <v>130 - 150</v>
      </c>
      <c r="F51" s="1903" t="str">
        <f>'XM.GUI MAIL'!F51</f>
        <v>(140±7)</v>
      </c>
      <c r="G51" s="1344">
        <f>'XM.GUI MAIL'!G51</f>
        <v>140</v>
      </c>
      <c r="H51" s="87">
        <f>XM.HN!B34</f>
        <v>18</v>
      </c>
      <c r="I51" s="1762">
        <f>H51*8</f>
        <v>144</v>
      </c>
      <c r="J51" s="2492">
        <f>($G$51-I51)*19951/1000</f>
        <v>-79.804000000000002</v>
      </c>
      <c r="K51" s="1735" t="s">
        <v>8</v>
      </c>
      <c r="L51" s="1736">
        <f t="shared" ref="L51:L53" si="11">IF(J51&lt;0,0,J51)</f>
        <v>0</v>
      </c>
      <c r="M51" s="2518"/>
      <c r="N51" s="1739" t="s">
        <v>9</v>
      </c>
      <c r="O51" s="2544">
        <f>XM.HN!C34</f>
        <v>17.7</v>
      </c>
      <c r="P51" s="1762">
        <f>O51*8</f>
        <v>141.6</v>
      </c>
      <c r="Q51" s="2492">
        <f>($G$51-P51)*19951/1000</f>
        <v>-31.921599999999884</v>
      </c>
      <c r="R51" s="1735" t="s">
        <v>8</v>
      </c>
      <c r="S51" s="1736">
        <f t="shared" ref="S51:S53" si="12">IF(Q51&lt;0,0,Q51)</f>
        <v>0</v>
      </c>
      <c r="T51" s="2518"/>
      <c r="U51" s="1739" t="s">
        <v>9</v>
      </c>
      <c r="V51" s="2543">
        <f>XM.HN!D34</f>
        <v>17.649999999999999</v>
      </c>
      <c r="W51" s="1762">
        <f>V51*8</f>
        <v>141.19999999999999</v>
      </c>
      <c r="X51" s="2492">
        <f>($G$51-W51)*19951/1000</f>
        <v>-23.941199999999771</v>
      </c>
      <c r="Y51" s="1735" t="s">
        <v>8</v>
      </c>
      <c r="Z51" s="1736">
        <f t="shared" ref="Z51:Z53" si="13">IF(X51&lt;0,0,X51)</f>
        <v>0</v>
      </c>
      <c r="AA51" s="2518"/>
      <c r="AB51" s="1739" t="s">
        <v>9</v>
      </c>
      <c r="AC51" s="2543">
        <f>XM.HN!E34</f>
        <v>17.600000000000001</v>
      </c>
      <c r="AD51" s="1762">
        <f>AC51*8</f>
        <v>140.80000000000001</v>
      </c>
      <c r="AE51" s="2492">
        <f>($G$51-AD51)*19951/1000</f>
        <v>-15.960800000000226</v>
      </c>
      <c r="AF51" s="1735" t="s">
        <v>8</v>
      </c>
      <c r="AG51" s="1736">
        <f t="shared" ref="AG51:AG53" si="14">IF(AE51&lt;0,0,AE51)</f>
        <v>0</v>
      </c>
      <c r="AH51" s="2518"/>
      <c r="AI51" s="1739" t="s">
        <v>9</v>
      </c>
      <c r="AJ51" s="2543">
        <f>XM.HN!F34</f>
        <v>17.7</v>
      </c>
      <c r="AK51" s="1762">
        <v>140</v>
      </c>
      <c r="AL51" s="2492">
        <f>($G$51-AK51)*19951/1000</f>
        <v>0</v>
      </c>
      <c r="AM51" s="1735" t="s">
        <v>8</v>
      </c>
      <c r="AN51" s="1736">
        <f t="shared" ref="AN51:AN53" si="15">IF(AL51&lt;0,0,AL51)</f>
        <v>0</v>
      </c>
      <c r="AO51" s="2518"/>
      <c r="AP51" s="1739" t="s">
        <v>9</v>
      </c>
      <c r="AQ51" s="2543">
        <f>XM.HN!G34</f>
        <v>17.600000000000001</v>
      </c>
      <c r="AR51" s="1762">
        <v>139.19999999999999</v>
      </c>
      <c r="AS51" s="1748">
        <f>($G$51-AR51)*19951/1000</f>
        <v>15.960800000000226</v>
      </c>
      <c r="AT51" s="1735" t="s">
        <v>8</v>
      </c>
      <c r="AU51" s="1736">
        <f t="shared" ref="AU51:AU53" si="16">IF(AS51&lt;0,0,AS51)</f>
        <v>15.960800000000226</v>
      </c>
      <c r="AV51" s="1736"/>
      <c r="AW51" s="1737" t="s">
        <v>9</v>
      </c>
      <c r="AZ51" s="1762"/>
      <c r="BA51" s="265">
        <v>-15.960800000000226</v>
      </c>
      <c r="BB51" s="265" t="s">
        <v>8</v>
      </c>
      <c r="BC51" s="265">
        <v>0</v>
      </c>
    </row>
    <row r="52" spans="1:55" ht="34.5" customHeight="1">
      <c r="A52" s="45" t="s">
        <v>267</v>
      </c>
      <c r="B52" s="996" t="s">
        <v>214</v>
      </c>
      <c r="C52" s="991" t="s">
        <v>57</v>
      </c>
      <c r="D52" s="1002" t="s">
        <v>4</v>
      </c>
      <c r="E52" s="2179" t="str">
        <f>'XM.GUI MAIL'!E52</f>
        <v>8~12</v>
      </c>
      <c r="F52" s="1903" t="str">
        <f>'XM.GUI MAIL'!F52</f>
        <v>(10±2)</v>
      </c>
      <c r="G52" s="1344">
        <f>'XM.GUI MAIL'!G52</f>
        <v>10</v>
      </c>
      <c r="H52" s="87">
        <f>XM.HN!B35</f>
        <v>7.9</v>
      </c>
      <c r="I52" s="1738">
        <f>H52*1.3</f>
        <v>10.270000000000001</v>
      </c>
      <c r="J52" s="2505">
        <f>($G$52-I52)*19951/1000</f>
        <v>-5.3867700000000269</v>
      </c>
      <c r="K52" s="1735" t="s">
        <v>8</v>
      </c>
      <c r="L52" s="1736">
        <f t="shared" si="11"/>
        <v>0</v>
      </c>
      <c r="M52" s="2518"/>
      <c r="N52" s="1737" t="s">
        <v>986</v>
      </c>
      <c r="O52" s="2539">
        <f>XM.HN!C35</f>
        <v>8.1999999999999993</v>
      </c>
      <c r="P52" s="1738">
        <f>O52*1.3</f>
        <v>10.66</v>
      </c>
      <c r="Q52" s="2505">
        <f>($G$52-P52)*19951/1000</f>
        <v>-13.167660000000003</v>
      </c>
      <c r="R52" s="1735" t="s">
        <v>8</v>
      </c>
      <c r="S52" s="1736">
        <f t="shared" si="12"/>
        <v>0</v>
      </c>
      <c r="T52" s="2518"/>
      <c r="U52" s="1737" t="s">
        <v>986</v>
      </c>
      <c r="V52" s="2571">
        <f>XM.HN!D35</f>
        <v>8.3000000000000007</v>
      </c>
      <c r="W52" s="1738">
        <f>V52*1.3</f>
        <v>10.790000000000001</v>
      </c>
      <c r="X52" s="2505">
        <f>($G$52-W52)*19951/1000</f>
        <v>-15.761290000000018</v>
      </c>
      <c r="Y52" s="1735" t="s">
        <v>8</v>
      </c>
      <c r="Z52" s="1736">
        <f t="shared" si="13"/>
        <v>0</v>
      </c>
      <c r="AA52" s="2518"/>
      <c r="AB52" s="1737" t="s">
        <v>986</v>
      </c>
      <c r="AC52" s="2539">
        <f>XM.HN!E35</f>
        <v>8.6999999999999993</v>
      </c>
      <c r="AD52" s="1738">
        <f>AC52*1.3</f>
        <v>11.309999999999999</v>
      </c>
      <c r="AE52" s="2505">
        <f>($G$52-AD52)*19951/1000</f>
        <v>-26.135809999999974</v>
      </c>
      <c r="AF52" s="1735" t="s">
        <v>8</v>
      </c>
      <c r="AG52" s="1736">
        <f t="shared" si="14"/>
        <v>0</v>
      </c>
      <c r="AH52" s="2518"/>
      <c r="AI52" s="1737" t="s">
        <v>986</v>
      </c>
      <c r="AJ52" s="2539">
        <f>XM.HN!F35</f>
        <v>8.5</v>
      </c>
      <c r="AK52" s="1738">
        <f>AJ52*1.3</f>
        <v>11.05</v>
      </c>
      <c r="AL52" s="2505">
        <f>($G$52-AK52)*19951/1000</f>
        <v>-20.948550000000015</v>
      </c>
      <c r="AM52" s="1735" t="s">
        <v>8</v>
      </c>
      <c r="AN52" s="1736">
        <f t="shared" si="15"/>
        <v>0</v>
      </c>
      <c r="AO52" s="2518"/>
      <c r="AP52" s="1737" t="s">
        <v>986</v>
      </c>
      <c r="AQ52" s="2539">
        <f>XM.HN!G35</f>
        <v>8.3000000000000007</v>
      </c>
      <c r="AR52" s="1738">
        <f>AQ52*1.3</f>
        <v>10.790000000000001</v>
      </c>
      <c r="AS52" s="1748">
        <f>($G$52-AR52)*19951/1000</f>
        <v>-15.761290000000018</v>
      </c>
      <c r="AT52" s="1735" t="s">
        <v>8</v>
      </c>
      <c r="AU52" s="1736">
        <f t="shared" si="16"/>
        <v>0</v>
      </c>
      <c r="AV52" s="1736"/>
      <c r="AW52" s="1737" t="s">
        <v>986</v>
      </c>
      <c r="AZ52" s="1738"/>
      <c r="BA52" s="265">
        <v>0</v>
      </c>
      <c r="BB52" s="265" t="s">
        <v>8</v>
      </c>
      <c r="BC52" s="265">
        <v>0</v>
      </c>
    </row>
    <row r="53" spans="1:55" ht="34.5" customHeight="1">
      <c r="A53" s="275" t="s">
        <v>268</v>
      </c>
      <c r="B53" s="996" t="s">
        <v>214</v>
      </c>
      <c r="C53" s="1000" t="s">
        <v>978</v>
      </c>
      <c r="D53" s="1002" t="s">
        <v>3</v>
      </c>
      <c r="E53" s="2179" t="str">
        <f>'XM.GUI MAIL'!E53</f>
        <v xml:space="preserve">6~10 </v>
      </c>
      <c r="F53" s="1903" t="str">
        <f>'XM.GUI MAIL'!F53</f>
        <v>(7±1)</v>
      </c>
      <c r="G53" s="1344">
        <f>'XM.GUI MAIL'!G53</f>
        <v>7</v>
      </c>
      <c r="H53" s="87">
        <f>XM.HN!B36</f>
        <v>17.25</v>
      </c>
      <c r="I53" s="1738">
        <v>6.58</v>
      </c>
      <c r="J53" s="2505">
        <f>($G$53-I53)*575/100</f>
        <v>2.4149999999999996</v>
      </c>
      <c r="K53" s="1735" t="s">
        <v>8</v>
      </c>
      <c r="L53" s="1736">
        <f t="shared" si="11"/>
        <v>2.4149999999999996</v>
      </c>
      <c r="M53" s="2518"/>
      <c r="N53" s="1739" t="s">
        <v>10</v>
      </c>
      <c r="O53" s="2539">
        <f>XM.HN!C36</f>
        <v>17.399999999999999</v>
      </c>
      <c r="P53" s="1738">
        <v>6.85</v>
      </c>
      <c r="Q53" s="2505">
        <f>($G$53-P53)*575/100</f>
        <v>0.86250000000000204</v>
      </c>
      <c r="R53" s="1735" t="s">
        <v>8</v>
      </c>
      <c r="S53" s="1736">
        <f t="shared" si="12"/>
        <v>0.86250000000000204</v>
      </c>
      <c r="T53" s="2518"/>
      <c r="U53" s="1739" t="s">
        <v>10</v>
      </c>
      <c r="V53" s="2079">
        <f>XM.HN!D36</f>
        <v>17</v>
      </c>
      <c r="W53" s="1738">
        <v>7.1</v>
      </c>
      <c r="X53" s="2505">
        <f>($G$53-W53)*575/100</f>
        <v>-0.57499999999999796</v>
      </c>
      <c r="Y53" s="1735" t="s">
        <v>8</v>
      </c>
      <c r="Z53" s="1736">
        <f t="shared" si="13"/>
        <v>0</v>
      </c>
      <c r="AA53" s="2518"/>
      <c r="AB53" s="1739" t="s">
        <v>10</v>
      </c>
      <c r="AC53" s="2079">
        <f>XM.HN!E36</f>
        <v>16.399999999999999</v>
      </c>
      <c r="AD53" s="1738">
        <v>7</v>
      </c>
      <c r="AE53" s="2505">
        <f>($G$53-AD53)*575/100</f>
        <v>0</v>
      </c>
      <c r="AF53" s="1735" t="s">
        <v>8</v>
      </c>
      <c r="AG53" s="1736">
        <f t="shared" si="14"/>
        <v>0</v>
      </c>
      <c r="AH53" s="2518"/>
      <c r="AI53" s="1739" t="s">
        <v>10</v>
      </c>
      <c r="AJ53" s="2079">
        <f>XM.HN!F36</f>
        <v>16.7</v>
      </c>
      <c r="AK53" s="1738">
        <v>7.2</v>
      </c>
      <c r="AL53" s="2505">
        <f>($G$53-AK53)*575/100</f>
        <v>-1.150000000000001</v>
      </c>
      <c r="AM53" s="1735" t="s">
        <v>8</v>
      </c>
      <c r="AN53" s="1736">
        <f t="shared" si="15"/>
        <v>0</v>
      </c>
      <c r="AO53" s="2518"/>
      <c r="AP53" s="1739" t="s">
        <v>10</v>
      </c>
      <c r="AQ53" s="2079">
        <f>XM.HN!G36</f>
        <v>17.100000000000001</v>
      </c>
      <c r="AR53" s="1738">
        <v>7</v>
      </c>
      <c r="AS53" s="1748">
        <f>($G$53-AR53)*575/100</f>
        <v>0</v>
      </c>
      <c r="AT53" s="1735" t="s">
        <v>8</v>
      </c>
      <c r="AU53" s="1736">
        <f t="shared" si="16"/>
        <v>0</v>
      </c>
      <c r="AV53" s="1736"/>
      <c r="AW53" s="1737" t="s">
        <v>10</v>
      </c>
      <c r="AZ53" s="1738"/>
      <c r="BA53" s="265">
        <v>-0.57499999999999796</v>
      </c>
      <c r="BB53" s="265" t="s">
        <v>8</v>
      </c>
      <c r="BC53" s="265">
        <v>0</v>
      </c>
    </row>
    <row r="54" spans="1:55" ht="34.5" customHeight="1">
      <c r="A54" s="275" t="s">
        <v>269</v>
      </c>
      <c r="B54" s="996" t="s">
        <v>214</v>
      </c>
      <c r="C54" s="278" t="s">
        <v>120</v>
      </c>
      <c r="D54" s="1002" t="s">
        <v>5</v>
      </c>
      <c r="E54" s="2179" t="str">
        <f>'XM.GUI MAIL'!E54</f>
        <v>2~2.5</v>
      </c>
      <c r="F54" s="1903" t="str">
        <f>'XM.GUI MAIL'!F54</f>
        <v>(2.3±0.1 )</v>
      </c>
      <c r="G54" s="1344">
        <f>'XM.GUI MAIL'!G54</f>
        <v>0</v>
      </c>
      <c r="H54" s="87"/>
      <c r="I54" s="1738">
        <v>2.2999999999999998</v>
      </c>
      <c r="J54" s="2505"/>
      <c r="K54" s="1741"/>
      <c r="L54" s="1741"/>
      <c r="M54" s="2495"/>
      <c r="N54" s="1742"/>
      <c r="O54" s="2539"/>
      <c r="P54" s="1738">
        <v>2.2799999999999998</v>
      </c>
      <c r="Q54" s="2512"/>
      <c r="R54" s="1749"/>
      <c r="S54" s="1749"/>
      <c r="T54" s="2512"/>
      <c r="U54" s="1750"/>
      <c r="W54" s="1738">
        <v>2.2599999999999998</v>
      </c>
      <c r="X54" s="2512"/>
      <c r="Y54" s="1749"/>
      <c r="Z54" s="1749"/>
      <c r="AA54" s="2512"/>
      <c r="AB54" s="1750"/>
      <c r="AD54" s="1738">
        <v>2.2999999999999998</v>
      </c>
      <c r="AE54" s="2512"/>
      <c r="AF54" s="1749"/>
      <c r="AG54" s="1749"/>
      <c r="AH54" s="2512"/>
      <c r="AI54" s="1750"/>
      <c r="AK54" s="1738">
        <v>2.35</v>
      </c>
      <c r="AL54" s="2512"/>
      <c r="AM54" s="1749"/>
      <c r="AN54" s="1749"/>
      <c r="AO54" s="2512"/>
      <c r="AP54" s="1750"/>
      <c r="AR54" s="1738">
        <v>2.4</v>
      </c>
      <c r="AS54" s="1748"/>
      <c r="AT54" s="1741"/>
      <c r="AU54" s="1741"/>
      <c r="AV54" s="1741"/>
      <c r="AW54" s="1778"/>
      <c r="AZ54" s="1738"/>
    </row>
    <row r="55" spans="1:55" ht="34.5" customHeight="1">
      <c r="A55" s="276" t="s">
        <v>270</v>
      </c>
      <c r="B55" s="996" t="s">
        <v>214</v>
      </c>
      <c r="C55" s="997" t="s">
        <v>58</v>
      </c>
      <c r="D55" s="1002" t="s">
        <v>6</v>
      </c>
      <c r="E55" s="2179" t="str">
        <f>'XM.GUI MAIL'!E55</f>
        <v xml:space="preserve">40~50 </v>
      </c>
      <c r="F55" s="1903" t="str">
        <f>'XM.GUI MAIL'!F55</f>
        <v>(45±5)</v>
      </c>
      <c r="G55" s="1340">
        <f>'XM.GUI MAIL'!G55</f>
        <v>0.45</v>
      </c>
      <c r="H55" s="87">
        <f>XM.HN!B38</f>
        <v>3.85</v>
      </c>
      <c r="I55" s="1743">
        <f>(1*H55*36.5)/(1*10)/32%/100</f>
        <v>0.43914062500000001</v>
      </c>
      <c r="J55" s="2494">
        <f>($G$55-I55)*2122</f>
        <v>23.04359375000001</v>
      </c>
      <c r="K55" s="1745" t="s">
        <v>8</v>
      </c>
      <c r="L55" s="1746">
        <f>IF(J55&lt;0,0,J55)</f>
        <v>23.04359375000001</v>
      </c>
      <c r="M55" s="2519"/>
      <c r="N55" s="1751" t="s">
        <v>10</v>
      </c>
      <c r="O55" s="2544">
        <f>XM.HN!C38</f>
        <v>4.0999999999999996</v>
      </c>
      <c r="P55" s="1743">
        <f>(1*O55*36.5)/(1*10)/32%/100</f>
        <v>0.46765624999999994</v>
      </c>
      <c r="Q55" s="2494">
        <f>($G$55-P55)*2122</f>
        <v>-37.466562499999853</v>
      </c>
      <c r="R55" s="1745" t="s">
        <v>8</v>
      </c>
      <c r="S55" s="1746">
        <f>IF(Q55&lt;0,0,Q55)</f>
        <v>0</v>
      </c>
      <c r="T55" s="2519"/>
      <c r="U55" s="1751" t="s">
        <v>10</v>
      </c>
      <c r="V55" s="2543">
        <f>XM.HN!D38</f>
        <v>4</v>
      </c>
      <c r="W55" s="1743">
        <f>(1*V55*36.5)/(1*10)/32%/100</f>
        <v>0.45624999999999999</v>
      </c>
      <c r="X55" s="2494">
        <f>($G$55-W55)*2122</f>
        <v>-13.262499999999953</v>
      </c>
      <c r="Y55" s="1745" t="s">
        <v>8</v>
      </c>
      <c r="Z55" s="1746">
        <f>IF(X55&lt;0,0,X55)</f>
        <v>0</v>
      </c>
      <c r="AA55" s="2519"/>
      <c r="AB55" s="1751" t="s">
        <v>10</v>
      </c>
      <c r="AC55" s="2543">
        <f>XM.HN!E38</f>
        <v>3.95</v>
      </c>
      <c r="AD55" s="1743">
        <f>(1*AC55*36.5)/(1*10)/32%/100</f>
        <v>0.45054687500000001</v>
      </c>
      <c r="AE55" s="2494">
        <f>($G$55-AD55)*2122</f>
        <v>-1.1604687500000046</v>
      </c>
      <c r="AF55" s="1745" t="s">
        <v>8</v>
      </c>
      <c r="AG55" s="1746">
        <f>IF(AE55&lt;0,0,AE55)</f>
        <v>0</v>
      </c>
      <c r="AH55" s="2519"/>
      <c r="AI55" s="1751" t="s">
        <v>10</v>
      </c>
      <c r="AJ55" s="2543">
        <f>XM.HN!F38</f>
        <v>4.2</v>
      </c>
      <c r="AK55" s="1743">
        <v>0.44600000000000001</v>
      </c>
      <c r="AL55" s="2494">
        <f>($G$55-AK55)*2122</f>
        <v>8.4880000000000067</v>
      </c>
      <c r="AM55" s="1745" t="s">
        <v>8</v>
      </c>
      <c r="AN55" s="1746">
        <f>IF(AL55&lt;0,0,AL55)</f>
        <v>8.4880000000000067</v>
      </c>
      <c r="AO55" s="2519"/>
      <c r="AP55" s="1751" t="s">
        <v>10</v>
      </c>
      <c r="AQ55" s="2543">
        <f>XM.HN!G38</f>
        <v>4</v>
      </c>
      <c r="AR55" s="1743">
        <f>(1*AQ55*36.5)/(1*10)/32%/100</f>
        <v>0.45624999999999999</v>
      </c>
      <c r="AS55" s="1748">
        <f>($G$55-AR55)*2122</f>
        <v>-13.262499999999953</v>
      </c>
      <c r="AT55" s="1745" t="s">
        <v>8</v>
      </c>
      <c r="AU55" s="1746">
        <f>IF(AS55&lt;0,0,AS55)</f>
        <v>0</v>
      </c>
      <c r="AV55" s="1746"/>
      <c r="AW55" s="1747" t="s">
        <v>10</v>
      </c>
      <c r="AZ55" s="1743"/>
      <c r="BA55" s="265">
        <v>0</v>
      </c>
      <c r="BB55" s="265" t="s">
        <v>8</v>
      </c>
      <c r="BC55" s="265">
        <v>0</v>
      </c>
    </row>
    <row r="56" spans="1:55" ht="34.5" hidden="1" customHeight="1">
      <c r="A56" s="276" t="s">
        <v>271</v>
      </c>
      <c r="B56" s="996" t="s">
        <v>214</v>
      </c>
      <c r="C56" s="997" t="s">
        <v>59</v>
      </c>
      <c r="D56" s="1002" t="s">
        <v>6</v>
      </c>
      <c r="E56" s="2179" t="str">
        <f>'XM.GUI MAIL'!E56</f>
        <v>(22±5) =17~27</v>
      </c>
      <c r="F56" s="1903" t="str">
        <f>'XM.GUI MAIL'!F56</f>
        <v>(22±5)</v>
      </c>
      <c r="G56" s="1340">
        <f>'XM.GUI MAIL'!G56</f>
        <v>0.22</v>
      </c>
      <c r="H56" s="87">
        <f>XM.HN!B39</f>
        <v>0</v>
      </c>
      <c r="I56" s="1743">
        <f>(1*H56*36.5)/(1*10)/32%/100</f>
        <v>0</v>
      </c>
      <c r="J56" s="2494">
        <f>($G$56-I56)*612</f>
        <v>134.64000000000001</v>
      </c>
      <c r="K56" s="1745" t="s">
        <v>8</v>
      </c>
      <c r="L56" s="1746">
        <f>IF(J56&lt;0,0,J56)</f>
        <v>134.64000000000001</v>
      </c>
      <c r="M56" s="2519"/>
      <c r="N56" s="1751" t="s">
        <v>10</v>
      </c>
      <c r="O56" s="2544">
        <f>XM.HN!C39</f>
        <v>0</v>
      </c>
      <c r="P56" s="1743">
        <f>(1*O56*36.5)/(1*10)/32%/100</f>
        <v>0</v>
      </c>
      <c r="Q56" s="2494">
        <f>($G$56-P56)*612</f>
        <v>134.64000000000001</v>
      </c>
      <c r="R56" s="1745" t="s">
        <v>8</v>
      </c>
      <c r="S56" s="1746">
        <f>IF(Q56&lt;0,0,Q56)</f>
        <v>134.64000000000001</v>
      </c>
      <c r="T56" s="2519"/>
      <c r="U56" s="1751" t="s">
        <v>10</v>
      </c>
      <c r="V56" s="2543">
        <f>XM.HN!D39</f>
        <v>0</v>
      </c>
      <c r="W56" s="1743">
        <f>(1*V56*36.5)/(1*10)/32%/100</f>
        <v>0</v>
      </c>
      <c r="X56" s="2494">
        <f>($G$56-W56)*612</f>
        <v>134.64000000000001</v>
      </c>
      <c r="Y56" s="1745" t="s">
        <v>8</v>
      </c>
      <c r="Z56" s="1746">
        <f>IF(X56&lt;0,0,X56)</f>
        <v>134.64000000000001</v>
      </c>
      <c r="AA56" s="2519"/>
      <c r="AB56" s="1751" t="s">
        <v>10</v>
      </c>
      <c r="AC56" s="2543">
        <f>XM.HN!E39</f>
        <v>0</v>
      </c>
      <c r="AD56" s="1743">
        <f>(1*AC56*36.5)/(1*10)/32%/100</f>
        <v>0</v>
      </c>
      <c r="AE56" s="2494">
        <f>($G$56-AD56)*612</f>
        <v>134.64000000000001</v>
      </c>
      <c r="AF56" s="1745" t="s">
        <v>8</v>
      </c>
      <c r="AG56" s="1746">
        <f>IF(AE56&lt;0,0,AE56)</f>
        <v>134.64000000000001</v>
      </c>
      <c r="AH56" s="2519"/>
      <c r="AI56" s="1751" t="s">
        <v>10</v>
      </c>
      <c r="AJ56" s="2543">
        <f>XM.HN!F39</f>
        <v>0</v>
      </c>
      <c r="AK56" s="1743">
        <f>(1*AJ56*36.5)/(1*10)/32%/100</f>
        <v>0</v>
      </c>
      <c r="AL56" s="2494">
        <f>($G$56-AK56)*612</f>
        <v>134.64000000000001</v>
      </c>
      <c r="AM56" s="1745" t="s">
        <v>8</v>
      </c>
      <c r="AN56" s="1746">
        <f>IF(AL56&lt;0,0,AL56)</f>
        <v>134.64000000000001</v>
      </c>
      <c r="AO56" s="2519"/>
      <c r="AP56" s="1751" t="s">
        <v>10</v>
      </c>
      <c r="AQ56" s="2543">
        <f>XM.HN!G39</f>
        <v>0</v>
      </c>
      <c r="AR56" s="1743">
        <f>(1*AQ56*36.5)/(1*10)/32%/100</f>
        <v>0</v>
      </c>
      <c r="AS56" s="1748">
        <f>($G$56-AR56)*612</f>
        <v>134.64000000000001</v>
      </c>
      <c r="AT56" s="1745" t="s">
        <v>8</v>
      </c>
      <c r="AU56" s="1746">
        <f>IF(AS56&lt;0,0,AS56)</f>
        <v>134.64000000000001</v>
      </c>
      <c r="AV56" s="1746"/>
      <c r="AW56" s="1747" t="s">
        <v>10</v>
      </c>
      <c r="AZ56" s="1743"/>
      <c r="BA56" s="265">
        <v>-4.9724999999999957</v>
      </c>
      <c r="BB56" s="265" t="s">
        <v>8</v>
      </c>
      <c r="BC56" s="265">
        <v>0</v>
      </c>
    </row>
    <row r="57" spans="1:55" ht="34.5" hidden="1" customHeight="1">
      <c r="A57" s="276" t="s">
        <v>272</v>
      </c>
      <c r="B57" s="996" t="s">
        <v>214</v>
      </c>
      <c r="C57" s="997" t="s">
        <v>60</v>
      </c>
      <c r="D57" s="45" t="s">
        <v>6</v>
      </c>
      <c r="E57" s="2179" t="str">
        <f>'XM.GUI MAIL'!E57</f>
        <v>5~15</v>
      </c>
      <c r="F57" s="1903" t="str">
        <f>'XM.GUI MAIL'!F57</f>
        <v>(10±3)</v>
      </c>
      <c r="G57" s="1340">
        <f>'XM.GUI MAIL'!G57</f>
        <v>0.1</v>
      </c>
      <c r="H57" s="87">
        <f>XM.HN!B40</f>
        <v>0</v>
      </c>
      <c r="I57" s="1743">
        <f>(1*H57*36.5)/(5*10)/32%/100</f>
        <v>0</v>
      </c>
      <c r="J57" s="2494">
        <f>($G$57-I57)*575</f>
        <v>57.5</v>
      </c>
      <c r="K57" s="1745" t="s">
        <v>8</v>
      </c>
      <c r="L57" s="1746">
        <f>IF(J57&lt;0,0,J57)</f>
        <v>57.5</v>
      </c>
      <c r="M57" s="2519"/>
      <c r="N57" s="1747" t="s">
        <v>10</v>
      </c>
      <c r="O57" s="2546">
        <f>XM.HN!C40</f>
        <v>0</v>
      </c>
      <c r="P57" s="1743">
        <f>(1*O57*36.5)/(5*10)/32%/100</f>
        <v>0</v>
      </c>
      <c r="Q57" s="2494">
        <f>($G$57-P57)*575</f>
        <v>57.5</v>
      </c>
      <c r="R57" s="1745" t="s">
        <v>8</v>
      </c>
      <c r="S57" s="1746">
        <f>IF(Q57&lt;0,0,Q57)</f>
        <v>57.5</v>
      </c>
      <c r="T57" s="2519"/>
      <c r="U57" s="1747" t="s">
        <v>10</v>
      </c>
      <c r="V57" s="2546">
        <f>XM.HN!D40</f>
        <v>0</v>
      </c>
      <c r="W57" s="1743">
        <f>(1*V57*36.5)/(5*10)/32%/100</f>
        <v>0</v>
      </c>
      <c r="X57" s="2494">
        <f>($G$57-W57)*575</f>
        <v>57.5</v>
      </c>
      <c r="Y57" s="1745" t="s">
        <v>8</v>
      </c>
      <c r="Z57" s="1746">
        <f>IF(X57&lt;0,0,X57)</f>
        <v>57.5</v>
      </c>
      <c r="AA57" s="2519"/>
      <c r="AB57" s="1747" t="s">
        <v>10</v>
      </c>
      <c r="AC57" s="2546">
        <f>XM.HN!E40</f>
        <v>0</v>
      </c>
      <c r="AD57" s="1743">
        <f>(1*AC57*36.5)/(5*10)/32%/100</f>
        <v>0</v>
      </c>
      <c r="AE57" s="2494">
        <f>($G$57-AD57)*575</f>
        <v>57.5</v>
      </c>
      <c r="AF57" s="1745" t="s">
        <v>8</v>
      </c>
      <c r="AG57" s="1746">
        <f>IF(AE57&lt;0,0,AE57)</f>
        <v>57.5</v>
      </c>
      <c r="AH57" s="2519"/>
      <c r="AI57" s="1747" t="s">
        <v>10</v>
      </c>
      <c r="AJ57" s="2543">
        <f>XM.HN!F40</f>
        <v>0</v>
      </c>
      <c r="AK57" s="1743">
        <f>(1*AJ57*36.5)/(5*10)/32%/100</f>
        <v>0</v>
      </c>
      <c r="AL57" s="2494">
        <f>($G$57-AK57)*575</f>
        <v>57.5</v>
      </c>
      <c r="AM57" s="1745" t="s">
        <v>8</v>
      </c>
      <c r="AN57" s="1746">
        <f>IF(AL57&lt;0,0,AL57)</f>
        <v>57.5</v>
      </c>
      <c r="AO57" s="2519"/>
      <c r="AP57" s="1747" t="s">
        <v>10</v>
      </c>
      <c r="AQ57" s="2543">
        <f>XM.HN!G40</f>
        <v>0</v>
      </c>
      <c r="AR57" s="1743">
        <f>(1*AQ57*36.5)/(5*10)/32%/100</f>
        <v>0</v>
      </c>
      <c r="AS57" s="1741">
        <f>($G$57-AR57)*575</f>
        <v>57.5</v>
      </c>
      <c r="AT57" s="1745" t="s">
        <v>8</v>
      </c>
      <c r="AU57" s="1746">
        <f>IF(AS57&lt;0,0,AS57)</f>
        <v>57.5</v>
      </c>
      <c r="AV57" s="1746"/>
      <c r="AW57" s="1747" t="s">
        <v>10</v>
      </c>
      <c r="AZ57" s="1743"/>
      <c r="BA57" s="265">
        <v>3.7195312500000135</v>
      </c>
      <c r="BB57" s="265" t="s">
        <v>8</v>
      </c>
      <c r="BC57" s="265">
        <v>3.7195312500000135</v>
      </c>
    </row>
    <row r="58" spans="1:55" ht="34.5" customHeight="1">
      <c r="A58" s="276" t="s">
        <v>273</v>
      </c>
      <c r="B58" s="996" t="s">
        <v>214</v>
      </c>
      <c r="C58" s="997" t="s">
        <v>146</v>
      </c>
      <c r="D58" s="1040" t="s">
        <v>993</v>
      </c>
      <c r="E58" s="2179" t="str">
        <f>'XM.GUI MAIL'!E58</f>
        <v>0.5~1.5</v>
      </c>
      <c r="F58" s="1903" t="str">
        <f>'XM.GUI MAIL'!F58</f>
        <v>(1±0.4)</v>
      </c>
      <c r="G58" s="1340">
        <f>'XM.GUI MAIL'!G58</f>
        <v>0.01</v>
      </c>
      <c r="H58" s="87">
        <f>XM.HN!B41</f>
        <v>8.3000000000000007</v>
      </c>
      <c r="I58" s="1774">
        <f>(H58*0.126)/100</f>
        <v>1.0458E-2</v>
      </c>
      <c r="J58" s="2494">
        <f>($G$23-I58)*530/65%/1.51</f>
        <v>-0.24731533367294958</v>
      </c>
      <c r="K58" s="1745" t="s">
        <v>8</v>
      </c>
      <c r="L58" s="1873">
        <f>IF(J58&lt;0,0,J58)</f>
        <v>0</v>
      </c>
      <c r="M58" s="2520"/>
      <c r="N58" s="1747" t="s">
        <v>10</v>
      </c>
      <c r="O58" s="2546">
        <f>XM.HN!C41</f>
        <v>8.5</v>
      </c>
      <c r="P58" s="1774">
        <f>(O58*0.126)/100</f>
        <v>1.0709999999999999E-2</v>
      </c>
      <c r="Q58" s="2494">
        <f>($G$23-P58)*530/65%/1.51</f>
        <v>-0.38339276617422241</v>
      </c>
      <c r="R58" s="1745" t="s">
        <v>8</v>
      </c>
      <c r="S58" s="1873">
        <f>IF(Q58&lt;0,0,Q58)</f>
        <v>0</v>
      </c>
      <c r="T58" s="2520"/>
      <c r="U58" s="1747" t="s">
        <v>10</v>
      </c>
      <c r="V58" s="2546">
        <f>XM.HN!D41</f>
        <v>8</v>
      </c>
      <c r="W58" s="1774">
        <f>(V58*0.126)/100</f>
        <v>1.008E-2</v>
      </c>
      <c r="X58" s="2494">
        <f>($G$23-W58)*530/65%/1.51</f>
        <v>-4.3199184921039337E-2</v>
      </c>
      <c r="Y58" s="1745" t="s">
        <v>8</v>
      </c>
      <c r="Z58" s="1873">
        <f>IF(X58&lt;0,0,X58)</f>
        <v>0</v>
      </c>
      <c r="AA58" s="2520"/>
      <c r="AB58" s="1747" t="s">
        <v>10</v>
      </c>
      <c r="AC58" s="2546">
        <f>XM.HN!E41</f>
        <v>11.2</v>
      </c>
      <c r="AD58" s="1774">
        <v>1.2999999999999999E-2</v>
      </c>
      <c r="AE58" s="2494">
        <f>($G$23-AD58)*530/65%/1.51</f>
        <v>-1.6199694345389706</v>
      </c>
      <c r="AF58" s="1745" t="s">
        <v>8</v>
      </c>
      <c r="AG58" s="1873">
        <f>IF(AE58&lt;0,0,AE58)</f>
        <v>0</v>
      </c>
      <c r="AH58" s="2520"/>
      <c r="AI58" s="1747" t="s">
        <v>10</v>
      </c>
      <c r="AJ58" s="2543">
        <f>XM.HN!F41</f>
        <v>8.4</v>
      </c>
      <c r="AK58" s="1774">
        <f>(AJ58*0.126)/100</f>
        <v>1.0584E-2</v>
      </c>
      <c r="AL58" s="2494">
        <f>($G$23-AK58)*530/65%/1.51</f>
        <v>-0.31535404992358601</v>
      </c>
      <c r="AM58" s="1745" t="s">
        <v>8</v>
      </c>
      <c r="AN58" s="1873">
        <f>IF(AL58&lt;0,0,AL58)</f>
        <v>0</v>
      </c>
      <c r="AO58" s="2520"/>
      <c r="AP58" s="1747" t="s">
        <v>10</v>
      </c>
      <c r="AQ58" s="2543">
        <f>XM.HN!G41</f>
        <v>8.1</v>
      </c>
      <c r="AR58" s="1774">
        <f>(AQ58*0.126)/100</f>
        <v>1.0206E-2</v>
      </c>
      <c r="AS58" s="1744">
        <f>($G$23-AR58)*530/65%/1.51</f>
        <v>-0.11123790117167578</v>
      </c>
      <c r="AT58" s="1745" t="s">
        <v>8</v>
      </c>
      <c r="AU58" s="1873">
        <f>IF(AS58&lt;0,0,AS58)</f>
        <v>0</v>
      </c>
      <c r="AV58" s="1873"/>
      <c r="AW58" s="1747" t="s">
        <v>10</v>
      </c>
      <c r="AZ58" s="1774"/>
      <c r="BA58" s="265">
        <v>-1.5051021538461533</v>
      </c>
      <c r="BB58" s="265" t="s">
        <v>8</v>
      </c>
      <c r="BC58" s="265">
        <v>0</v>
      </c>
    </row>
    <row r="59" spans="1:55" ht="48" customHeight="1">
      <c r="A59" s="275" t="s">
        <v>274</v>
      </c>
      <c r="B59" s="996" t="s">
        <v>214</v>
      </c>
      <c r="C59" s="292" t="s">
        <v>1146</v>
      </c>
      <c r="D59" s="45" t="s">
        <v>3</v>
      </c>
      <c r="E59" s="13" t="str">
        <f>'XM.GUI MAIL'!E59</f>
        <v>5~8</v>
      </c>
      <c r="F59" s="1903" t="str">
        <f>'XM.GUI MAIL'!F59</f>
        <v>(6±0.5)</v>
      </c>
      <c r="G59" s="1344">
        <f>'XM.GUI MAIL'!G59</f>
        <v>6</v>
      </c>
      <c r="H59" s="87">
        <f>XM.HN!B42</f>
        <v>6.1</v>
      </c>
      <c r="I59" s="1840">
        <f>H59*0.8+1.4</f>
        <v>6.2799999999999994</v>
      </c>
      <c r="J59" s="2496">
        <f>($G$59-I59)*575/95</f>
        <v>-1.6947368421052593</v>
      </c>
      <c r="K59" s="1745" t="s">
        <v>8</v>
      </c>
      <c r="L59" s="1873">
        <f>IF(J59&lt;0,0,J59)</f>
        <v>0</v>
      </c>
      <c r="M59" s="2525"/>
      <c r="N59" s="1751" t="s">
        <v>10</v>
      </c>
      <c r="O59" s="2546">
        <f>XM.HN!C42</f>
        <v>0</v>
      </c>
      <c r="P59" s="1840" t="s">
        <v>1668</v>
      </c>
      <c r="Q59" s="2496" t="e">
        <f>($G$59-P59)*575/95</f>
        <v>#VALUE!</v>
      </c>
      <c r="R59" s="1745" t="s">
        <v>8</v>
      </c>
      <c r="S59" s="1873"/>
      <c r="T59" s="2525"/>
      <c r="U59" s="1751" t="s">
        <v>10</v>
      </c>
      <c r="V59" s="2546">
        <f>XM.HN!D42</f>
        <v>0</v>
      </c>
      <c r="W59" s="1840" t="s">
        <v>1668</v>
      </c>
      <c r="X59" s="2496" t="e">
        <f>($G$59-W59)*575/95</f>
        <v>#VALUE!</v>
      </c>
      <c r="Y59" s="1745" t="s">
        <v>8</v>
      </c>
      <c r="Z59" s="1873"/>
      <c r="AA59" s="2525"/>
      <c r="AB59" s="1751" t="s">
        <v>10</v>
      </c>
      <c r="AC59" s="2546">
        <f>XM.HN!E42</f>
        <v>0</v>
      </c>
      <c r="AD59" s="1840" t="s">
        <v>1668</v>
      </c>
      <c r="AE59" s="2496" t="e">
        <f>($G$59-AD59)*575/95</f>
        <v>#VALUE!</v>
      </c>
      <c r="AF59" s="1745" t="s">
        <v>8</v>
      </c>
      <c r="AG59" s="1873"/>
      <c r="AH59" s="2525"/>
      <c r="AI59" s="1751" t="s">
        <v>10</v>
      </c>
      <c r="AJ59" s="2546">
        <f>XM.HN!F42</f>
        <v>0</v>
      </c>
      <c r="AK59" s="1840" t="s">
        <v>1668</v>
      </c>
      <c r="AL59" s="2496" t="e">
        <f>($G$59-AK59)*575/95</f>
        <v>#VALUE!</v>
      </c>
      <c r="AM59" s="1745" t="s">
        <v>8</v>
      </c>
      <c r="AN59" s="1873"/>
      <c r="AO59" s="2525"/>
      <c r="AP59" s="1751" t="s">
        <v>10</v>
      </c>
      <c r="AQ59" s="2546">
        <f>XM.HN!G42</f>
        <v>0</v>
      </c>
      <c r="AR59" s="1840" t="s">
        <v>1668</v>
      </c>
      <c r="AS59" s="2496" t="e">
        <f>($G$59-AR59)*575/95</f>
        <v>#VALUE!</v>
      </c>
      <c r="AT59" s="1745" t="s">
        <v>8</v>
      </c>
      <c r="AU59" s="1873"/>
      <c r="AV59" s="2525"/>
      <c r="AW59" s="1751" t="s">
        <v>10</v>
      </c>
      <c r="AZ59" s="1874"/>
      <c r="BA59" s="265">
        <v>29.657894736842106</v>
      </c>
      <c r="BB59" s="265" t="s">
        <v>8</v>
      </c>
      <c r="BC59" s="265">
        <v>29.657894736842106</v>
      </c>
    </row>
    <row r="60" spans="1:55" ht="41.25" customHeight="1">
      <c r="A60" s="45" t="s">
        <v>275</v>
      </c>
      <c r="B60" s="996" t="s">
        <v>214</v>
      </c>
      <c r="C60" s="293" t="s">
        <v>120</v>
      </c>
      <c r="D60" s="45" t="s">
        <v>5</v>
      </c>
      <c r="E60" s="13" t="str">
        <f>'XM.GUI MAIL'!E60</f>
        <v>1.8~2.4</v>
      </c>
      <c r="F60" s="1903" t="str">
        <f>'XM.GUI MAIL'!F60</f>
        <v>(2.1±0.1 )</v>
      </c>
      <c r="G60" s="1341"/>
      <c r="H60" s="87"/>
      <c r="I60" s="1768">
        <f>XM.HN!B43</f>
        <v>2.1</v>
      </c>
      <c r="J60" s="2506"/>
      <c r="K60" s="2075"/>
      <c r="L60" s="2076"/>
      <c r="M60" s="2526"/>
      <c r="N60" s="2199"/>
      <c r="O60" s="2557"/>
      <c r="P60" s="1840" t="s">
        <v>1668</v>
      </c>
      <c r="Q60" s="2496" t="e">
        <f>($G$59-P60)*575/95</f>
        <v>#VALUE!</v>
      </c>
      <c r="R60" s="1745" t="s">
        <v>8</v>
      </c>
      <c r="S60" s="1873"/>
      <c r="T60" s="2526"/>
      <c r="U60" s="2199"/>
      <c r="V60" s="2557"/>
      <c r="W60" s="1840" t="s">
        <v>1668</v>
      </c>
      <c r="X60" s="2496" t="e">
        <f>($G$59-W60)*575/95</f>
        <v>#VALUE!</v>
      </c>
      <c r="Y60" s="1745" t="s">
        <v>8</v>
      </c>
      <c r="Z60" s="1873"/>
      <c r="AA60" s="2526"/>
      <c r="AB60" s="2199"/>
      <c r="AC60" s="2557"/>
      <c r="AD60" s="1840" t="s">
        <v>1668</v>
      </c>
      <c r="AE60" s="2496" t="e">
        <f>($G$59-AD60)*575/95</f>
        <v>#VALUE!</v>
      </c>
      <c r="AF60" s="1745" t="s">
        <v>8</v>
      </c>
      <c r="AG60" s="1873"/>
      <c r="AH60" s="2526"/>
      <c r="AI60" s="2199"/>
      <c r="AJ60" s="2557"/>
      <c r="AK60" s="1840" t="s">
        <v>1668</v>
      </c>
      <c r="AL60" s="2496" t="e">
        <f>($G$59-AK60)*575/95</f>
        <v>#VALUE!</v>
      </c>
      <c r="AM60" s="1745" t="s">
        <v>8</v>
      </c>
      <c r="AN60" s="1873"/>
      <c r="AO60" s="2526"/>
      <c r="AP60" s="2199"/>
      <c r="AQ60" s="2557"/>
      <c r="AR60" s="1840" t="s">
        <v>1668</v>
      </c>
      <c r="AS60" s="2496" t="e">
        <f>($G$59-AR60)*575/95</f>
        <v>#VALUE!</v>
      </c>
      <c r="AT60" s="1745" t="s">
        <v>8</v>
      </c>
      <c r="AU60" s="1873"/>
      <c r="AV60" s="2526"/>
      <c r="AW60" s="2199"/>
      <c r="AZ60" s="1875"/>
    </row>
    <row r="61" spans="1:55" s="206" customFormat="1" ht="54" customHeight="1">
      <c r="A61" s="285" t="s">
        <v>73</v>
      </c>
      <c r="B61" s="286"/>
      <c r="C61" s="286"/>
      <c r="D61" s="286"/>
      <c r="E61" s="296"/>
      <c r="F61" s="283"/>
      <c r="G61" s="296"/>
      <c r="H61" s="286"/>
      <c r="I61" s="1405"/>
      <c r="J61" s="2497"/>
      <c r="K61" s="1405"/>
      <c r="L61" s="1405"/>
      <c r="M61" s="2497"/>
      <c r="N61" s="1405"/>
      <c r="O61" s="2497"/>
      <c r="P61" s="287"/>
      <c r="Q61" s="2497"/>
      <c r="R61" s="1405"/>
      <c r="S61" s="1405"/>
      <c r="T61" s="2534"/>
      <c r="U61" s="287"/>
      <c r="V61" s="2497"/>
      <c r="W61" s="287"/>
      <c r="X61" s="2497"/>
      <c r="Y61" s="1405"/>
      <c r="Z61" s="1405"/>
      <c r="AA61" s="2497"/>
      <c r="AB61" s="1405"/>
      <c r="AC61" s="2497"/>
      <c r="AD61" s="1405"/>
      <c r="AE61" s="2497"/>
      <c r="AF61" s="1405"/>
      <c r="AG61" s="1405"/>
      <c r="AH61" s="2497"/>
      <c r="AI61" s="1405"/>
      <c r="AJ61" s="2598"/>
      <c r="AK61" s="287"/>
      <c r="AL61" s="2598"/>
      <c r="AM61" s="287"/>
      <c r="AN61" s="287"/>
      <c r="AO61" s="2598"/>
      <c r="AP61" s="287"/>
      <c r="AQ61" s="2598"/>
      <c r="AR61" s="287"/>
      <c r="AS61" s="287"/>
      <c r="AT61" s="287"/>
      <c r="AU61" s="287"/>
      <c r="AV61" s="287"/>
      <c r="AW61" s="1006"/>
      <c r="AX61" s="2089"/>
      <c r="AY61" s="2089"/>
      <c r="AZ61" s="265"/>
      <c r="BA61" s="89"/>
      <c r="BB61" s="89"/>
    </row>
    <row r="62" spans="1:55" ht="44.25" customHeight="1">
      <c r="A62" s="1002" t="s">
        <v>238</v>
      </c>
      <c r="B62" s="995" t="s">
        <v>317</v>
      </c>
      <c r="C62" s="993" t="s">
        <v>61</v>
      </c>
      <c r="D62" s="993" t="s">
        <v>63</v>
      </c>
      <c r="E62" s="1388" t="s">
        <v>1303</v>
      </c>
      <c r="F62" s="1895" t="s">
        <v>1302</v>
      </c>
      <c r="G62" s="1124"/>
      <c r="H62" s="90"/>
      <c r="I62" s="1727" t="s">
        <v>45</v>
      </c>
      <c r="J62" s="2498"/>
      <c r="K62" s="1728"/>
      <c r="L62" s="1728" t="s">
        <v>62</v>
      </c>
      <c r="M62" s="2498"/>
      <c r="N62" s="1780"/>
      <c r="O62" s="2558"/>
      <c r="P62" s="1727" t="s">
        <v>45</v>
      </c>
      <c r="Q62" s="2498"/>
      <c r="R62" s="1728"/>
      <c r="S62" s="1728" t="s">
        <v>62</v>
      </c>
      <c r="T62" s="2498"/>
      <c r="U62" s="1780"/>
      <c r="V62" s="2579"/>
      <c r="W62" s="1727" t="s">
        <v>45</v>
      </c>
      <c r="X62" s="2498"/>
      <c r="Y62" s="1728"/>
      <c r="Z62" s="1728" t="s">
        <v>62</v>
      </c>
      <c r="AA62" s="2498"/>
      <c r="AB62" s="1780"/>
      <c r="AC62" s="2579"/>
      <c r="AD62" s="1727" t="s">
        <v>45</v>
      </c>
      <c r="AE62" s="2498"/>
      <c r="AF62" s="1728"/>
      <c r="AG62" s="1728" t="s">
        <v>62</v>
      </c>
      <c r="AH62" s="2498"/>
      <c r="AI62" s="1780"/>
      <c r="AJ62" s="2579"/>
      <c r="AK62" s="1727" t="s">
        <v>45</v>
      </c>
      <c r="AL62" s="2498"/>
      <c r="AM62" s="1728"/>
      <c r="AN62" s="1728" t="s">
        <v>62</v>
      </c>
      <c r="AO62" s="2498"/>
      <c r="AP62" s="1780"/>
      <c r="AQ62" s="2579"/>
      <c r="AR62" s="1727" t="s">
        <v>45</v>
      </c>
      <c r="AS62" s="1728"/>
      <c r="AT62" s="1728"/>
      <c r="AU62" s="1728" t="s">
        <v>62</v>
      </c>
      <c r="AV62" s="1728"/>
      <c r="AW62" s="1729"/>
      <c r="BC62" s="265" t="s">
        <v>62</v>
      </c>
    </row>
    <row r="63" spans="1:55" ht="38.25" customHeight="1">
      <c r="A63" s="996" t="s">
        <v>276</v>
      </c>
      <c r="B63" s="996" t="s">
        <v>214</v>
      </c>
      <c r="C63" s="992" t="s">
        <v>65</v>
      </c>
      <c r="D63" s="95" t="s">
        <v>105</v>
      </c>
      <c r="E63" s="1336" t="str">
        <f>'XM.GUI MAIL'!E63</f>
        <v>50~70</v>
      </c>
      <c r="F63" s="1896" t="str">
        <f>'XM.GUI MAIL'!F63</f>
        <v>(60±5)</v>
      </c>
      <c r="G63" s="1339"/>
      <c r="H63" s="96"/>
      <c r="I63" s="3033">
        <v>60</v>
      </c>
      <c r="J63" s="3026"/>
      <c r="K63" s="3026"/>
      <c r="L63" s="3026">
        <v>60</v>
      </c>
      <c r="M63" s="3026"/>
      <c r="N63" s="3034"/>
      <c r="O63" s="2550"/>
      <c r="P63" s="3033">
        <v>60</v>
      </c>
      <c r="Q63" s="3026"/>
      <c r="R63" s="3026"/>
      <c r="S63" s="3026">
        <v>60</v>
      </c>
      <c r="T63" s="3026"/>
      <c r="U63" s="3034"/>
      <c r="V63" s="2551"/>
      <c r="W63" s="3033">
        <v>60</v>
      </c>
      <c r="X63" s="3026"/>
      <c r="Y63" s="3026"/>
      <c r="Z63" s="3026">
        <v>60</v>
      </c>
      <c r="AA63" s="3026"/>
      <c r="AB63" s="3034"/>
      <c r="AC63" s="2551"/>
      <c r="AD63" s="3033">
        <v>57</v>
      </c>
      <c r="AE63" s="3026"/>
      <c r="AF63" s="3026"/>
      <c r="AG63" s="3026">
        <v>56</v>
      </c>
      <c r="AH63" s="3026"/>
      <c r="AI63" s="3027"/>
      <c r="AJ63" s="2601"/>
      <c r="AK63" s="3033">
        <v>55</v>
      </c>
      <c r="AL63" s="3026"/>
      <c r="AM63" s="3026"/>
      <c r="AN63" s="3026">
        <v>54</v>
      </c>
      <c r="AO63" s="3026"/>
      <c r="AP63" s="3027"/>
      <c r="AQ63" s="2601"/>
      <c r="AR63" s="3033">
        <v>59</v>
      </c>
      <c r="AS63" s="3026"/>
      <c r="AT63" s="3026"/>
      <c r="AU63" s="3026">
        <v>58</v>
      </c>
      <c r="AV63" s="3026"/>
      <c r="AW63" s="3027"/>
      <c r="BC63" s="265">
        <v>62</v>
      </c>
    </row>
    <row r="64" spans="1:55" ht="38.25" customHeight="1">
      <c r="A64" s="996" t="s">
        <v>277</v>
      </c>
      <c r="B64" s="996" t="s">
        <v>214</v>
      </c>
      <c r="C64" s="992" t="s">
        <v>66</v>
      </c>
      <c r="D64" s="95" t="s">
        <v>105</v>
      </c>
      <c r="E64" s="1336" t="str">
        <f>'XM.GUI MAIL'!E64</f>
        <v>50~70</v>
      </c>
      <c r="F64" s="1896" t="str">
        <f>'XM.GUI MAIL'!F64</f>
        <v>(60±5)</v>
      </c>
      <c r="G64" s="1339"/>
      <c r="H64" s="96"/>
      <c r="I64" s="3033">
        <v>60</v>
      </c>
      <c r="J64" s="3026"/>
      <c r="K64" s="3026"/>
      <c r="L64" s="3026">
        <v>60</v>
      </c>
      <c r="M64" s="3026"/>
      <c r="N64" s="3034"/>
      <c r="O64" s="2550"/>
      <c r="P64" s="3033">
        <v>62</v>
      </c>
      <c r="Q64" s="3026"/>
      <c r="R64" s="3026"/>
      <c r="S64" s="3026">
        <v>61</v>
      </c>
      <c r="T64" s="3026"/>
      <c r="U64" s="3034"/>
      <c r="V64" s="2551"/>
      <c r="W64" s="3033">
        <v>60</v>
      </c>
      <c r="X64" s="3026"/>
      <c r="Y64" s="3026"/>
      <c r="Z64" s="3026">
        <v>60</v>
      </c>
      <c r="AA64" s="3026"/>
      <c r="AB64" s="3034"/>
      <c r="AC64" s="2551"/>
      <c r="AD64" s="3033">
        <v>62</v>
      </c>
      <c r="AE64" s="3026"/>
      <c r="AF64" s="3026"/>
      <c r="AG64" s="3026">
        <v>61</v>
      </c>
      <c r="AH64" s="3026"/>
      <c r="AI64" s="3027"/>
      <c r="AJ64" s="2601"/>
      <c r="AK64" s="3033">
        <v>62</v>
      </c>
      <c r="AL64" s="3026"/>
      <c r="AM64" s="3026"/>
      <c r="AN64" s="3026">
        <v>61</v>
      </c>
      <c r="AO64" s="3026"/>
      <c r="AP64" s="3027"/>
      <c r="AQ64" s="2601"/>
      <c r="AR64" s="3033">
        <v>61</v>
      </c>
      <c r="AS64" s="3026"/>
      <c r="AT64" s="3026"/>
      <c r="AU64" s="3026">
        <v>60</v>
      </c>
      <c r="AV64" s="3026"/>
      <c r="AW64" s="3027"/>
      <c r="BC64" s="265">
        <v>61</v>
      </c>
    </row>
    <row r="65" spans="1:55" ht="38.25" customHeight="1">
      <c r="A65" s="996" t="s">
        <v>278</v>
      </c>
      <c r="B65" s="996" t="s">
        <v>214</v>
      </c>
      <c r="C65" s="992" t="s">
        <v>68</v>
      </c>
      <c r="D65" s="95" t="s">
        <v>105</v>
      </c>
      <c r="E65" s="1336" t="str">
        <f>'XM.GUI MAIL'!E65</f>
        <v>40~60</v>
      </c>
      <c r="F65" s="1896" t="str">
        <f>'XM.GUI MAIL'!F65</f>
        <v>(50±5)</v>
      </c>
      <c r="G65" s="1339"/>
      <c r="H65" s="96"/>
      <c r="I65" s="3033">
        <v>52</v>
      </c>
      <c r="J65" s="3026"/>
      <c r="K65" s="3034"/>
      <c r="L65" s="3026">
        <v>51</v>
      </c>
      <c r="M65" s="3026"/>
      <c r="N65" s="3027"/>
      <c r="O65" s="2549"/>
      <c r="P65" s="3033">
        <v>52</v>
      </c>
      <c r="Q65" s="3026"/>
      <c r="R65" s="3034"/>
      <c r="S65" s="3026">
        <v>51</v>
      </c>
      <c r="T65" s="3026"/>
      <c r="U65" s="3027"/>
      <c r="V65" s="2573"/>
      <c r="W65" s="3033">
        <v>53</v>
      </c>
      <c r="X65" s="3026"/>
      <c r="Y65" s="3034"/>
      <c r="Z65" s="3026">
        <v>52</v>
      </c>
      <c r="AA65" s="3026"/>
      <c r="AB65" s="3027"/>
      <c r="AC65" s="2585"/>
      <c r="AD65" s="3033">
        <v>53</v>
      </c>
      <c r="AE65" s="3026"/>
      <c r="AF65" s="3034"/>
      <c r="AG65" s="3026">
        <v>52</v>
      </c>
      <c r="AH65" s="3026"/>
      <c r="AI65" s="3027"/>
      <c r="AJ65" s="2585"/>
      <c r="AK65" s="3033">
        <v>53</v>
      </c>
      <c r="AL65" s="3026"/>
      <c r="AM65" s="3034"/>
      <c r="AN65" s="3026">
        <v>52</v>
      </c>
      <c r="AO65" s="3026"/>
      <c r="AP65" s="3027"/>
      <c r="AQ65" s="2585"/>
      <c r="AR65" s="3033">
        <v>52</v>
      </c>
      <c r="AS65" s="3026"/>
      <c r="AT65" s="3034"/>
      <c r="AU65" s="3026">
        <v>51</v>
      </c>
      <c r="AV65" s="3026"/>
      <c r="AW65" s="3027"/>
      <c r="BC65" s="265">
        <v>56</v>
      </c>
    </row>
    <row r="66" spans="1:55" ht="38.25" customHeight="1">
      <c r="A66" s="996" t="s">
        <v>279</v>
      </c>
      <c r="B66" s="996" t="s">
        <v>214</v>
      </c>
      <c r="C66" s="992" t="s">
        <v>67</v>
      </c>
      <c r="D66" s="95" t="s">
        <v>105</v>
      </c>
      <c r="E66" s="1336" t="str">
        <f>'XM.GUI MAIL'!E66</f>
        <v>40~60</v>
      </c>
      <c r="F66" s="1896" t="str">
        <f>'XM.GUI MAIL'!F66</f>
        <v>(50±5)</v>
      </c>
      <c r="G66" s="1339"/>
      <c r="H66" s="96"/>
      <c r="I66" s="3033">
        <v>52</v>
      </c>
      <c r="J66" s="3026"/>
      <c r="K66" s="3034"/>
      <c r="L66" s="3026">
        <v>51</v>
      </c>
      <c r="M66" s="3026"/>
      <c r="N66" s="3027"/>
      <c r="O66" s="2549"/>
      <c r="P66" s="3033">
        <v>52</v>
      </c>
      <c r="Q66" s="3026"/>
      <c r="R66" s="3034"/>
      <c r="S66" s="3026">
        <v>50</v>
      </c>
      <c r="T66" s="3026"/>
      <c r="U66" s="3027"/>
      <c r="V66" s="2573"/>
      <c r="W66" s="3033">
        <v>50</v>
      </c>
      <c r="X66" s="3026"/>
      <c r="Y66" s="3034"/>
      <c r="Z66" s="3026">
        <v>50</v>
      </c>
      <c r="AA66" s="3026"/>
      <c r="AB66" s="3027"/>
      <c r="AC66" s="2585"/>
      <c r="AD66" s="3033">
        <v>52</v>
      </c>
      <c r="AE66" s="3026"/>
      <c r="AF66" s="3034"/>
      <c r="AG66" s="3026">
        <v>51</v>
      </c>
      <c r="AH66" s="3026"/>
      <c r="AI66" s="3027"/>
      <c r="AJ66" s="2585"/>
      <c r="AK66" s="3033">
        <v>51</v>
      </c>
      <c r="AL66" s="3026"/>
      <c r="AM66" s="3034"/>
      <c r="AN66" s="3026">
        <v>50</v>
      </c>
      <c r="AO66" s="3026"/>
      <c r="AP66" s="3027"/>
      <c r="AQ66" s="2585"/>
      <c r="AR66" s="3033">
        <v>52</v>
      </c>
      <c r="AS66" s="3026"/>
      <c r="AT66" s="3034"/>
      <c r="AU66" s="3026">
        <v>51</v>
      </c>
      <c r="AV66" s="3026"/>
      <c r="AW66" s="3027"/>
      <c r="BC66" s="265">
        <v>50</v>
      </c>
    </row>
    <row r="67" spans="1:55" ht="38.25" customHeight="1">
      <c r="A67" s="996" t="s">
        <v>315</v>
      </c>
      <c r="B67" s="996" t="s">
        <v>214</v>
      </c>
      <c r="C67" s="992" t="s">
        <v>69</v>
      </c>
      <c r="D67" s="95" t="s">
        <v>105</v>
      </c>
      <c r="E67" s="1336" t="str">
        <f>'XM.GUI MAIL'!E67</f>
        <v>22~35</v>
      </c>
      <c r="F67" s="1904" t="str">
        <f>'XM.GUI MAIL'!F67</f>
        <v>(30±4)</v>
      </c>
      <c r="G67" s="1339"/>
      <c r="H67" s="96"/>
      <c r="I67" s="3033">
        <v>35</v>
      </c>
      <c r="J67" s="3026"/>
      <c r="K67" s="3026"/>
      <c r="L67" s="3026">
        <v>36</v>
      </c>
      <c r="M67" s="3026"/>
      <c r="N67" s="3026"/>
      <c r="O67" s="3027"/>
      <c r="P67" s="3033">
        <v>36</v>
      </c>
      <c r="Q67" s="3026"/>
      <c r="R67" s="3026"/>
      <c r="S67" s="3026">
        <v>36</v>
      </c>
      <c r="T67" s="3026"/>
      <c r="U67" s="3026"/>
      <c r="V67" s="3027"/>
      <c r="W67" s="3033">
        <v>36</v>
      </c>
      <c r="X67" s="3026"/>
      <c r="Y67" s="3026"/>
      <c r="Z67" s="3026">
        <v>36</v>
      </c>
      <c r="AA67" s="3026"/>
      <c r="AB67" s="3026"/>
      <c r="AC67" s="3027"/>
      <c r="AD67" s="3033">
        <v>34</v>
      </c>
      <c r="AE67" s="3026"/>
      <c r="AF67" s="3026"/>
      <c r="AG67" s="3026">
        <v>34</v>
      </c>
      <c r="AH67" s="3026"/>
      <c r="AI67" s="3026"/>
      <c r="AJ67" s="3027"/>
      <c r="AK67" s="3033">
        <v>34</v>
      </c>
      <c r="AL67" s="3026"/>
      <c r="AM67" s="3026"/>
      <c r="AN67" s="3026">
        <v>33</v>
      </c>
      <c r="AO67" s="3026"/>
      <c r="AP67" s="3026"/>
      <c r="AQ67" s="3027"/>
      <c r="AR67" s="3033">
        <v>33</v>
      </c>
      <c r="AS67" s="3026"/>
      <c r="AT67" s="3026"/>
      <c r="AU67" s="3026">
        <v>32</v>
      </c>
      <c r="AV67" s="3026"/>
      <c r="AW67" s="3027"/>
      <c r="BC67" s="265">
        <v>27</v>
      </c>
    </row>
    <row r="68" spans="1:55" ht="38.25" customHeight="1">
      <c r="A68" s="275" t="s">
        <v>280</v>
      </c>
      <c r="B68" s="996" t="s">
        <v>214</v>
      </c>
      <c r="C68" s="992" t="s">
        <v>147</v>
      </c>
      <c r="D68" s="95" t="s">
        <v>105</v>
      </c>
      <c r="E68" s="1336" t="str">
        <f>'XM.GUI MAIL'!E68</f>
        <v>30-38</v>
      </c>
      <c r="F68" s="1904" t="str">
        <f>'XM.GUI MAIL'!F68</f>
        <v>(34±2)</v>
      </c>
      <c r="G68" s="1339"/>
      <c r="H68" s="96"/>
      <c r="I68" s="3033">
        <v>33</v>
      </c>
      <c r="J68" s="3026"/>
      <c r="K68" s="3026"/>
      <c r="L68" s="3026">
        <v>32</v>
      </c>
      <c r="M68" s="3026"/>
      <c r="N68" s="3026"/>
      <c r="O68" s="3027"/>
      <c r="P68" s="3033">
        <v>33</v>
      </c>
      <c r="Q68" s="3026"/>
      <c r="R68" s="3026"/>
      <c r="S68" s="3026">
        <v>32</v>
      </c>
      <c r="T68" s="3026"/>
      <c r="U68" s="3026"/>
      <c r="V68" s="3027"/>
      <c r="W68" s="3033">
        <v>34</v>
      </c>
      <c r="X68" s="3026"/>
      <c r="Y68" s="3026"/>
      <c r="Z68" s="3026">
        <v>33</v>
      </c>
      <c r="AA68" s="3026"/>
      <c r="AB68" s="3026"/>
      <c r="AC68" s="3027"/>
      <c r="AD68" s="3033">
        <v>33</v>
      </c>
      <c r="AE68" s="3026"/>
      <c r="AF68" s="3026"/>
      <c r="AG68" s="3026">
        <v>32</v>
      </c>
      <c r="AH68" s="3026"/>
      <c r="AI68" s="3026"/>
      <c r="AJ68" s="3027"/>
      <c r="AK68" s="3033">
        <v>34</v>
      </c>
      <c r="AL68" s="3026"/>
      <c r="AM68" s="3026"/>
      <c r="AN68" s="3026">
        <v>33</v>
      </c>
      <c r="AO68" s="3026"/>
      <c r="AP68" s="3026"/>
      <c r="AQ68" s="3027"/>
      <c r="AR68" s="3033">
        <v>34</v>
      </c>
      <c r="AS68" s="3026"/>
      <c r="AT68" s="3026"/>
      <c r="AU68" s="3026">
        <v>33</v>
      </c>
      <c r="AV68" s="3026"/>
      <c r="AW68" s="3027"/>
      <c r="BC68" s="265">
        <v>32</v>
      </c>
    </row>
    <row r="69" spans="1:55" ht="38.25" customHeight="1">
      <c r="A69" s="275" t="s">
        <v>281</v>
      </c>
      <c r="B69" s="996" t="s">
        <v>214</v>
      </c>
      <c r="C69" s="992" t="s">
        <v>70</v>
      </c>
      <c r="D69" s="95" t="s">
        <v>105</v>
      </c>
      <c r="E69" s="1336" t="str">
        <f>'XM.GUI MAIL'!E69</f>
        <v>50~70</v>
      </c>
      <c r="F69" s="1904" t="str">
        <f>'XM.GUI MAIL'!F69</f>
        <v>(60±10)</v>
      </c>
      <c r="G69" s="1339"/>
      <c r="H69" s="96"/>
      <c r="I69" s="3033">
        <v>56</v>
      </c>
      <c r="J69" s="3026"/>
      <c r="K69" s="3034"/>
      <c r="L69" s="3026">
        <v>55</v>
      </c>
      <c r="M69" s="3026"/>
      <c r="N69" s="3027"/>
      <c r="O69" s="2550"/>
      <c r="P69" s="3033">
        <v>55</v>
      </c>
      <c r="Q69" s="3026"/>
      <c r="R69" s="3034"/>
      <c r="S69" s="3026">
        <v>56</v>
      </c>
      <c r="T69" s="3026"/>
      <c r="U69" s="3027"/>
      <c r="V69" s="2551"/>
      <c r="W69" s="3033">
        <v>56</v>
      </c>
      <c r="X69" s="3026"/>
      <c r="Y69" s="3034"/>
      <c r="Z69" s="3026">
        <v>55</v>
      </c>
      <c r="AA69" s="3026"/>
      <c r="AB69" s="3027"/>
      <c r="AC69" s="2551"/>
      <c r="AD69" s="3033">
        <v>58</v>
      </c>
      <c r="AE69" s="3026"/>
      <c r="AF69" s="3034"/>
      <c r="AG69" s="3026">
        <v>57</v>
      </c>
      <c r="AH69" s="3026"/>
      <c r="AI69" s="3027"/>
      <c r="AJ69" s="2601"/>
      <c r="AK69" s="3033">
        <v>55</v>
      </c>
      <c r="AL69" s="3026"/>
      <c r="AM69" s="3034"/>
      <c r="AN69" s="3026">
        <v>54</v>
      </c>
      <c r="AO69" s="3026"/>
      <c r="AP69" s="3027"/>
      <c r="AQ69" s="2601"/>
      <c r="AR69" s="3033">
        <v>56</v>
      </c>
      <c r="AS69" s="3026"/>
      <c r="AT69" s="3034"/>
      <c r="AU69" s="3026">
        <v>55</v>
      </c>
      <c r="AV69" s="3026"/>
      <c r="AW69" s="3027"/>
      <c r="BC69" s="265">
        <v>58</v>
      </c>
    </row>
    <row r="70" spans="1:55" ht="38.25" customHeight="1">
      <c r="A70" s="45" t="s">
        <v>282</v>
      </c>
      <c r="B70" s="996" t="s">
        <v>214</v>
      </c>
      <c r="C70" s="992" t="s">
        <v>71</v>
      </c>
      <c r="D70" s="95" t="s">
        <v>105</v>
      </c>
      <c r="E70" s="1336" t="str">
        <f>'XM.GUI MAIL'!E70</f>
        <v>80~100</v>
      </c>
      <c r="F70" s="1904" t="str">
        <f>'XM.GUI MAIL'!F70</f>
        <v>(90±5)</v>
      </c>
      <c r="G70" s="1339"/>
      <c r="H70" s="96"/>
      <c r="I70" s="3051" t="s">
        <v>47</v>
      </c>
      <c r="J70" s="3052"/>
      <c r="K70" s="3052"/>
      <c r="L70" s="3026">
        <v>91</v>
      </c>
      <c r="M70" s="3026"/>
      <c r="N70" s="3027"/>
      <c r="O70" s="2559"/>
      <c r="P70" s="3029" t="s">
        <v>47</v>
      </c>
      <c r="Q70" s="3030"/>
      <c r="R70" s="3031"/>
      <c r="S70" s="3026">
        <v>90</v>
      </c>
      <c r="T70" s="3026"/>
      <c r="U70" s="3027"/>
      <c r="V70" s="2559"/>
      <c r="W70" s="3029" t="s">
        <v>47</v>
      </c>
      <c r="X70" s="3030"/>
      <c r="Y70" s="3031"/>
      <c r="Z70" s="3026">
        <v>90</v>
      </c>
      <c r="AA70" s="3026"/>
      <c r="AB70" s="3027"/>
      <c r="AC70" s="2559"/>
      <c r="AD70" s="3029" t="s">
        <v>47</v>
      </c>
      <c r="AE70" s="3030"/>
      <c r="AF70" s="3031"/>
      <c r="AG70" s="3026">
        <v>91</v>
      </c>
      <c r="AH70" s="3026"/>
      <c r="AI70" s="3027"/>
      <c r="AJ70" s="2559"/>
      <c r="AK70" s="3029" t="s">
        <v>47</v>
      </c>
      <c r="AL70" s="3030"/>
      <c r="AM70" s="3031"/>
      <c r="AN70" s="3026">
        <v>92</v>
      </c>
      <c r="AO70" s="3026"/>
      <c r="AP70" s="3027"/>
      <c r="AQ70" s="2559"/>
      <c r="AR70" s="3029" t="s">
        <v>47</v>
      </c>
      <c r="AS70" s="3030"/>
      <c r="AT70" s="3031"/>
      <c r="AU70" s="3026">
        <v>90</v>
      </c>
      <c r="AV70" s="3026"/>
      <c r="AW70" s="3027"/>
      <c r="BC70" s="265">
        <v>72</v>
      </c>
    </row>
    <row r="71" spans="1:55" s="206" customFormat="1" ht="54" customHeight="1">
      <c r="A71" s="285" t="s">
        <v>75</v>
      </c>
      <c r="B71" s="286"/>
      <c r="C71" s="286"/>
      <c r="D71" s="286"/>
      <c r="E71" s="296"/>
      <c r="F71" s="283"/>
      <c r="G71" s="296"/>
      <c r="H71" s="286"/>
      <c r="I71" s="286"/>
      <c r="J71" s="2499"/>
      <c r="K71" s="286"/>
      <c r="L71" s="286"/>
      <c r="M71" s="2499"/>
      <c r="N71" s="286"/>
      <c r="O71" s="2499"/>
      <c r="P71" s="287"/>
      <c r="Q71" s="2499"/>
      <c r="R71" s="286"/>
      <c r="S71" s="286"/>
      <c r="T71" s="2534"/>
      <c r="U71" s="287"/>
      <c r="V71" s="2499"/>
      <c r="W71" s="287"/>
      <c r="X71" s="2499"/>
      <c r="Y71" s="286"/>
      <c r="Z71" s="286"/>
      <c r="AA71" s="2499"/>
      <c r="AB71" s="286"/>
      <c r="AC71" s="2499"/>
      <c r="AD71" s="286"/>
      <c r="AE71" s="2499"/>
      <c r="AF71" s="286"/>
      <c r="AG71" s="286"/>
      <c r="AH71" s="2499"/>
      <c r="AI71" s="286"/>
      <c r="AJ71" s="2598"/>
      <c r="AK71" s="287"/>
      <c r="AL71" s="2598"/>
      <c r="AM71" s="287"/>
      <c r="AN71" s="287"/>
      <c r="AO71" s="2598"/>
      <c r="AP71" s="287"/>
      <c r="AQ71" s="2598"/>
      <c r="AR71" s="287"/>
      <c r="AS71" s="287"/>
      <c r="AT71" s="287"/>
      <c r="AU71" s="287"/>
      <c r="AV71" s="287"/>
      <c r="AW71" s="1004"/>
      <c r="AX71" s="2089"/>
      <c r="AY71" s="2089"/>
      <c r="AZ71" s="89"/>
      <c r="BA71" s="89"/>
      <c r="BB71" s="89"/>
    </row>
    <row r="72" spans="1:55" ht="39.75" customHeight="1">
      <c r="A72" s="275" t="s">
        <v>283</v>
      </c>
      <c r="B72" s="996" t="s">
        <v>214</v>
      </c>
      <c r="C72" s="998" t="s">
        <v>235</v>
      </c>
      <c r="D72" s="1005" t="s">
        <v>237</v>
      </c>
      <c r="E72" s="965" t="str">
        <f>'XM.GUI MAIL'!E72</f>
        <v>100-200</v>
      </c>
      <c r="F72" s="1904" t="str">
        <f>'XM.GUI MAIL'!F72</f>
        <v>100-200</v>
      </c>
      <c r="G72" s="14"/>
      <c r="H72" s="42"/>
      <c r="I72" s="3046">
        <v>140</v>
      </c>
      <c r="J72" s="3047"/>
      <c r="K72" s="3047"/>
      <c r="L72" s="3047"/>
      <c r="M72" s="3047"/>
      <c r="N72" s="3048"/>
      <c r="O72" s="2549"/>
      <c r="P72" s="3046">
        <v>142</v>
      </c>
      <c r="Q72" s="3047"/>
      <c r="R72" s="3047"/>
      <c r="S72" s="3047"/>
      <c r="T72" s="3047"/>
      <c r="U72" s="3048"/>
      <c r="V72" s="2580"/>
      <c r="W72" s="3046">
        <v>142</v>
      </c>
      <c r="X72" s="3047"/>
      <c r="Y72" s="3047"/>
      <c r="Z72" s="3047"/>
      <c r="AA72" s="3047"/>
      <c r="AB72" s="3048"/>
      <c r="AC72" s="2588"/>
      <c r="AD72" s="3046">
        <v>130</v>
      </c>
      <c r="AE72" s="3047"/>
      <c r="AF72" s="3047"/>
      <c r="AG72" s="3047"/>
      <c r="AH72" s="3047"/>
      <c r="AI72" s="3048"/>
      <c r="AJ72" s="2599"/>
      <c r="AK72" s="3046">
        <v>125</v>
      </c>
      <c r="AL72" s="3047"/>
      <c r="AM72" s="3047"/>
      <c r="AN72" s="3047"/>
      <c r="AO72" s="3047"/>
      <c r="AP72" s="3048"/>
      <c r="AQ72" s="2599"/>
      <c r="AR72" s="3046">
        <v>130</v>
      </c>
      <c r="AS72" s="3047"/>
      <c r="AT72" s="3047"/>
      <c r="AU72" s="3047"/>
      <c r="AV72" s="3047"/>
      <c r="AW72" s="3047"/>
    </row>
    <row r="73" spans="1:55" ht="41.25" customHeight="1">
      <c r="A73" s="45" t="s">
        <v>284</v>
      </c>
      <c r="B73" s="996" t="s">
        <v>214</v>
      </c>
      <c r="C73" s="102" t="s">
        <v>236</v>
      </c>
      <c r="D73" s="1005" t="s">
        <v>237</v>
      </c>
      <c r="E73" s="965" t="str">
        <f>'XM.GUI MAIL'!E73</f>
        <v>20-50</v>
      </c>
      <c r="F73" s="1904" t="str">
        <f>'XM.GUI MAIL'!F73</f>
        <v>20-50</v>
      </c>
      <c r="G73" s="14"/>
      <c r="H73" s="42"/>
      <c r="I73" s="3046">
        <v>38</v>
      </c>
      <c r="J73" s="3047"/>
      <c r="K73" s="3047"/>
      <c r="L73" s="3047"/>
      <c r="M73" s="3047"/>
      <c r="N73" s="3048"/>
      <c r="O73" s="2552"/>
      <c r="P73" s="3046">
        <v>40</v>
      </c>
      <c r="Q73" s="3047"/>
      <c r="R73" s="3047"/>
      <c r="S73" s="3047"/>
      <c r="T73" s="3047"/>
      <c r="U73" s="3048"/>
      <c r="V73" s="2580"/>
      <c r="W73" s="3046">
        <v>42</v>
      </c>
      <c r="X73" s="3047"/>
      <c r="Y73" s="3047"/>
      <c r="Z73" s="3047"/>
      <c r="AA73" s="3047"/>
      <c r="AB73" s="3047"/>
      <c r="AC73" s="2552"/>
      <c r="AD73" s="3046">
        <v>40</v>
      </c>
      <c r="AE73" s="3047"/>
      <c r="AF73" s="3047"/>
      <c r="AG73" s="3047"/>
      <c r="AH73" s="3047"/>
      <c r="AI73" s="3047"/>
      <c r="AJ73" s="2600"/>
      <c r="AK73" s="3046">
        <v>42</v>
      </c>
      <c r="AL73" s="3047"/>
      <c r="AM73" s="3047"/>
      <c r="AN73" s="3047"/>
      <c r="AO73" s="3047"/>
      <c r="AP73" s="3047"/>
      <c r="AQ73" s="2600"/>
      <c r="AR73" s="3046">
        <v>40</v>
      </c>
      <c r="AS73" s="3047"/>
      <c r="AT73" s="3047"/>
      <c r="AU73" s="3047"/>
      <c r="AV73" s="3047"/>
      <c r="AW73" s="3047"/>
    </row>
    <row r="74" spans="1:55" ht="26.25" customHeight="1">
      <c r="A74" s="266"/>
      <c r="B74" s="266"/>
      <c r="C74" s="266"/>
      <c r="D74" s="266"/>
      <c r="E74" s="1338"/>
      <c r="F74" s="1608"/>
      <c r="G74" s="1338"/>
      <c r="H74" s="266"/>
      <c r="I74" s="266"/>
      <c r="J74" s="2507"/>
      <c r="K74" s="266"/>
      <c r="L74" s="266"/>
      <c r="M74" s="2527"/>
      <c r="N74" s="266"/>
      <c r="O74" s="2507"/>
      <c r="P74" s="266"/>
      <c r="Q74" s="2507"/>
      <c r="R74" s="266"/>
      <c r="S74" s="266"/>
      <c r="T74" s="2527"/>
      <c r="U74" s="266"/>
      <c r="V74" s="2507"/>
      <c r="W74" s="266"/>
      <c r="X74" s="2507"/>
      <c r="Y74" s="266"/>
      <c r="Z74" s="266"/>
      <c r="AA74" s="2527"/>
      <c r="AB74" s="266"/>
      <c r="AC74" s="2507"/>
      <c r="AD74" s="266"/>
      <c r="AE74" s="2507"/>
      <c r="AF74" s="266"/>
      <c r="AG74" s="266"/>
      <c r="AH74" s="2527"/>
      <c r="AI74" s="266"/>
      <c r="AJ74" s="2507"/>
      <c r="AK74" s="266"/>
      <c r="AL74" s="2507"/>
      <c r="AM74" s="266"/>
      <c r="AN74" s="266"/>
      <c r="AO74" s="2527"/>
      <c r="AP74" s="266"/>
      <c r="AQ74" s="2507"/>
      <c r="AR74" s="266"/>
      <c r="AS74" s="266"/>
      <c r="AT74" s="266"/>
      <c r="AU74" s="266"/>
      <c r="AV74" s="1608"/>
      <c r="AW74" s="266"/>
    </row>
    <row r="75" spans="1:55" ht="41.25" customHeight="1">
      <c r="A75" s="2715" t="s">
        <v>53</v>
      </c>
      <c r="B75" s="2716"/>
      <c r="C75" s="2717"/>
      <c r="D75" s="2717"/>
      <c r="E75" s="2718"/>
      <c r="F75" s="2719" t="str">
        <f>MENU!$AC$9</f>
        <v>Thứ 4,</v>
      </c>
      <c r="G75" s="2720"/>
      <c r="H75" s="2721"/>
      <c r="I75" s="2722" t="str">
        <f>MENU!$AD$9</f>
        <v>2024/05/22</v>
      </c>
      <c r="J75" s="2721"/>
      <c r="K75" s="2721"/>
      <c r="L75" s="2723"/>
      <c r="M75" s="2723"/>
      <c r="N75" s="2723"/>
      <c r="O75" s="2723"/>
      <c r="P75" s="2723"/>
      <c r="Q75" s="2723"/>
      <c r="R75" s="2723"/>
      <c r="S75" s="2723"/>
      <c r="T75" s="2723"/>
      <c r="U75" s="2721"/>
      <c r="V75" s="2721"/>
      <c r="W75" s="2721"/>
      <c r="X75" s="2721"/>
      <c r="Y75" s="2721"/>
      <c r="Z75" s="2721"/>
      <c r="AA75" s="2721"/>
      <c r="AB75" s="2721"/>
      <c r="AC75" s="2721"/>
      <c r="AD75" s="2721"/>
      <c r="AE75" s="2721"/>
      <c r="AF75" s="2721"/>
      <c r="AG75" s="2721"/>
      <c r="AH75" s="2721"/>
      <c r="AI75" s="2721"/>
      <c r="AJ75" s="2724"/>
      <c r="AK75" s="2716" t="s">
        <v>53</v>
      </c>
      <c r="AL75" s="2725"/>
      <c r="AM75" s="2725"/>
      <c r="AN75" s="2725"/>
      <c r="AO75" s="2725"/>
      <c r="AP75" s="2725"/>
      <c r="AQ75" s="2725"/>
      <c r="AR75" s="2725"/>
      <c r="AS75" s="2725"/>
      <c r="AT75" s="2725"/>
      <c r="AU75" s="2725"/>
      <c r="AV75" s="2725"/>
      <c r="AW75" s="2726"/>
    </row>
    <row r="76" spans="1:55" ht="36.75" customHeight="1">
      <c r="A76" s="994"/>
      <c r="B76" s="994"/>
      <c r="C76" s="994"/>
      <c r="D76" s="994"/>
      <c r="E76" s="1382"/>
      <c r="F76" s="1899"/>
      <c r="G76" s="3054" t="s">
        <v>125</v>
      </c>
      <c r="H76" s="83"/>
      <c r="I76" s="269" t="s">
        <v>1469</v>
      </c>
      <c r="J76" s="2487"/>
      <c r="K76" s="269"/>
      <c r="L76" s="269"/>
      <c r="M76" s="2487"/>
      <c r="N76" s="269"/>
      <c r="O76" s="2538"/>
      <c r="P76" s="282" t="s">
        <v>1459</v>
      </c>
      <c r="Q76" s="2487"/>
      <c r="R76" s="269"/>
      <c r="S76" s="269"/>
      <c r="T76" s="2487"/>
      <c r="U76" s="270"/>
      <c r="V76" s="2487"/>
      <c r="W76" s="269" t="s">
        <v>1460</v>
      </c>
      <c r="X76" s="2487"/>
      <c r="Y76" s="269"/>
      <c r="Z76" s="269"/>
      <c r="AA76" s="2487"/>
      <c r="AB76" s="269"/>
      <c r="AC76" s="2538"/>
      <c r="AD76" s="282" t="s">
        <v>1461</v>
      </c>
      <c r="AE76" s="2487"/>
      <c r="AF76" s="269"/>
      <c r="AG76" s="269"/>
      <c r="AH76" s="2487"/>
      <c r="AI76" s="270"/>
      <c r="AJ76" s="2487"/>
      <c r="AK76" s="269" t="s">
        <v>1462</v>
      </c>
      <c r="AL76" s="2487"/>
      <c r="AM76" s="269"/>
      <c r="AN76" s="269"/>
      <c r="AO76" s="2487"/>
      <c r="AP76" s="269"/>
      <c r="AQ76" s="2487"/>
      <c r="AR76" s="282" t="s">
        <v>1463</v>
      </c>
      <c r="AS76" s="269"/>
      <c r="AT76" s="269"/>
      <c r="AU76" s="270"/>
      <c r="AV76" s="270"/>
      <c r="AW76" s="1003"/>
    </row>
    <row r="77" spans="1:55" ht="63.75" customHeight="1">
      <c r="A77" s="995" t="s">
        <v>238</v>
      </c>
      <c r="B77" s="995" t="s">
        <v>317</v>
      </c>
      <c r="C77" s="1001" t="s">
        <v>316</v>
      </c>
      <c r="D77" s="995" t="s">
        <v>124</v>
      </c>
      <c r="E77" s="1388" t="s">
        <v>1303</v>
      </c>
      <c r="F77" s="1900" t="s">
        <v>1302</v>
      </c>
      <c r="G77" s="3055"/>
      <c r="H77" s="20"/>
      <c r="I77" s="1878" t="s">
        <v>129</v>
      </c>
      <c r="J77" s="2488" t="s">
        <v>1</v>
      </c>
      <c r="K77" s="283" t="s">
        <v>1</v>
      </c>
      <c r="L77" s="283"/>
      <c r="M77" s="2499"/>
      <c r="N77" s="284"/>
      <c r="O77" s="2539"/>
      <c r="P77" s="1878" t="s">
        <v>129</v>
      </c>
      <c r="Q77" s="2488" t="s">
        <v>1</v>
      </c>
      <c r="R77" s="283" t="s">
        <v>1</v>
      </c>
      <c r="S77" s="283"/>
      <c r="T77" s="2499"/>
      <c r="U77" s="284"/>
      <c r="V77" s="2571"/>
      <c r="W77" s="1931" t="s">
        <v>129</v>
      </c>
      <c r="X77" s="2535" t="s">
        <v>1</v>
      </c>
      <c r="Y77" s="1932" t="s">
        <v>1</v>
      </c>
      <c r="Z77" s="1932"/>
      <c r="AA77" s="2536"/>
      <c r="AB77" s="1933"/>
      <c r="AC77" s="2539"/>
      <c r="AD77" s="1878" t="s">
        <v>129</v>
      </c>
      <c r="AE77" s="2488" t="s">
        <v>1</v>
      </c>
      <c r="AF77" s="283" t="s">
        <v>1</v>
      </c>
      <c r="AG77" s="283"/>
      <c r="AH77" s="2499"/>
      <c r="AI77" s="284"/>
      <c r="AJ77" s="2539"/>
      <c r="AK77" s="1878" t="s">
        <v>129</v>
      </c>
      <c r="AL77" s="2488" t="s">
        <v>1</v>
      </c>
      <c r="AM77" s="283" t="s">
        <v>1</v>
      </c>
      <c r="AN77" s="283"/>
      <c r="AO77" s="2499"/>
      <c r="AP77" s="284"/>
      <c r="AQ77" s="2539"/>
      <c r="AR77" s="1878" t="s">
        <v>129</v>
      </c>
      <c r="AS77" s="1877" t="s">
        <v>1</v>
      </c>
      <c r="AT77" s="283" t="s">
        <v>1</v>
      </c>
      <c r="AU77" s="283"/>
      <c r="AV77" s="283"/>
      <c r="AW77" s="284"/>
      <c r="BA77" s="265" t="s">
        <v>1</v>
      </c>
      <c r="BB77" s="265" t="s">
        <v>1</v>
      </c>
    </row>
    <row r="78" spans="1:55" ht="33.75" customHeight="1">
      <c r="A78" s="1834" t="s">
        <v>285</v>
      </c>
      <c r="B78" s="1835" t="s">
        <v>127</v>
      </c>
      <c r="C78" s="1872" t="s">
        <v>1490</v>
      </c>
      <c r="D78" s="1836" t="s">
        <v>4</v>
      </c>
      <c r="E78" s="1837" t="str">
        <f>'XM.GUI MAIL'!E78</f>
        <v>40~60</v>
      </c>
      <c r="F78" s="1901" t="str">
        <f>'XM.GUI MAIL'!F78</f>
        <v>(50±5)</v>
      </c>
      <c r="G78" s="1838">
        <f>'XM.GUI MAIL'!G78</f>
        <v>50</v>
      </c>
      <c r="H78" s="1839">
        <f>XM.HN!B47</f>
        <v>7.35</v>
      </c>
      <c r="I78" s="1930">
        <f>H78*6.49</f>
        <v>47.701499999999996</v>
      </c>
      <c r="J78" s="2489">
        <f>($G$78-I78)*15517/1000</f>
        <v>35.66582450000007</v>
      </c>
      <c r="K78" s="1842" t="s">
        <v>8</v>
      </c>
      <c r="L78" s="1843">
        <f t="shared" ref="L78:L88" si="17">IF(J78&lt;0,0,J78)</f>
        <v>35.66582450000007</v>
      </c>
      <c r="M78" s="2515"/>
      <c r="N78" s="1845" t="s">
        <v>9</v>
      </c>
      <c r="O78" s="2540">
        <f>XM.HN!C47</f>
        <v>7.5</v>
      </c>
      <c r="P78" s="1930">
        <f>O78*6.49</f>
        <v>48.675000000000004</v>
      </c>
      <c r="Q78" s="2489">
        <f>($G$78-P78)*15517/1000</f>
        <v>20.560024999999932</v>
      </c>
      <c r="R78" s="1842" t="s">
        <v>8</v>
      </c>
      <c r="S78" s="1843">
        <f t="shared" ref="S78:S84" si="18">IF(Q78&lt;0,0,Q78)</f>
        <v>20.560024999999932</v>
      </c>
      <c r="T78" s="2515"/>
      <c r="U78" s="1845" t="s">
        <v>9</v>
      </c>
      <c r="V78" s="2540">
        <f>XM.HN!D47</f>
        <v>8.0500000000000007</v>
      </c>
      <c r="W78" s="1930">
        <f>V78*6.49</f>
        <v>52.244500000000009</v>
      </c>
      <c r="X78" s="2490">
        <f>($G$78-W78)*15517/1000</f>
        <v>-34.82790650000014</v>
      </c>
      <c r="Y78" s="1854" t="s">
        <v>8</v>
      </c>
      <c r="Z78" s="1934">
        <f t="shared" ref="Z78:Z84" si="19">IF(X78&lt;0,0,X78)</f>
        <v>0</v>
      </c>
      <c r="AA78" s="2516"/>
      <c r="AB78" s="1935" t="s">
        <v>9</v>
      </c>
      <c r="AC78" s="2540">
        <f>XM.HN!E47</f>
        <v>7.7</v>
      </c>
      <c r="AD78" s="1930">
        <v>51.3</v>
      </c>
      <c r="AE78" s="2489">
        <f>($G$78-AD78)*15517/1000</f>
        <v>-20.172099999999954</v>
      </c>
      <c r="AF78" s="1842" t="s">
        <v>8</v>
      </c>
      <c r="AG78" s="1843">
        <f t="shared" ref="AG78:AG84" si="20">IF(AE78&lt;0,0,AE78)</f>
        <v>0</v>
      </c>
      <c r="AH78" s="2515"/>
      <c r="AI78" s="1845" t="s">
        <v>9</v>
      </c>
      <c r="AJ78" s="2540">
        <f>XM.HN!F47</f>
        <v>7.7</v>
      </c>
      <c r="AK78" s="1930">
        <v>50.5</v>
      </c>
      <c r="AL78" s="2489">
        <f>($G$78-AK78)*15517/1000</f>
        <v>-7.7584999999999997</v>
      </c>
      <c r="AM78" s="1842" t="s">
        <v>8</v>
      </c>
      <c r="AN78" s="1843">
        <f t="shared" ref="AN78:AN84" si="21">IF(AL78&lt;0,0,AL78)</f>
        <v>0</v>
      </c>
      <c r="AO78" s="2515"/>
      <c r="AP78" s="1845" t="s">
        <v>9</v>
      </c>
      <c r="AQ78" s="2540">
        <f>XM.HN!G47</f>
        <v>7.8</v>
      </c>
      <c r="AR78" s="1930">
        <v>50.2</v>
      </c>
      <c r="AS78" s="1841">
        <f>($G$78-AR78)*15517/1000</f>
        <v>-3.1034000000000441</v>
      </c>
      <c r="AT78" s="1842" t="s">
        <v>8</v>
      </c>
      <c r="AU78" s="1843">
        <f t="shared" ref="AU78:AU84" si="22">IF(AS78&lt;0,0,AS78)</f>
        <v>0</v>
      </c>
      <c r="AV78" s="1844"/>
      <c r="AW78" s="1845" t="s">
        <v>9</v>
      </c>
      <c r="AZ78" s="1930"/>
      <c r="BA78" s="265">
        <v>-39.863173000000039</v>
      </c>
      <c r="BB78" s="265" t="s">
        <v>8</v>
      </c>
      <c r="BC78" s="265">
        <v>0</v>
      </c>
    </row>
    <row r="79" spans="1:55" ht="33.75" customHeight="1">
      <c r="A79" s="1857"/>
      <c r="B79" s="1858"/>
      <c r="C79" s="1871" t="s">
        <v>231</v>
      </c>
      <c r="D79" s="1860"/>
      <c r="E79" s="1861" t="s">
        <v>1494</v>
      </c>
      <c r="F79" s="1902"/>
      <c r="G79" s="1862"/>
      <c r="H79" s="1863"/>
      <c r="I79" s="1882"/>
      <c r="J79" s="2491"/>
      <c r="K79" s="1865" t="s">
        <v>8</v>
      </c>
      <c r="L79" s="1869">
        <f>L78/25*8.5</f>
        <v>12.126380330000025</v>
      </c>
      <c r="M79" s="2517"/>
      <c r="N79" s="1867" t="s">
        <v>10</v>
      </c>
      <c r="O79" s="2542"/>
      <c r="P79" s="1882"/>
      <c r="Q79" s="2491"/>
      <c r="R79" s="1865" t="s">
        <v>8</v>
      </c>
      <c r="S79" s="1869">
        <f>S78/25*8.5</f>
        <v>6.9904084999999769</v>
      </c>
      <c r="T79" s="2517"/>
      <c r="U79" s="1867" t="s">
        <v>10</v>
      </c>
      <c r="V79" s="2542"/>
      <c r="W79" s="1882"/>
      <c r="X79" s="2491"/>
      <c r="Y79" s="1865" t="s">
        <v>8</v>
      </c>
      <c r="Z79" s="1869">
        <f>Z78/25*8.5</f>
        <v>0</v>
      </c>
      <c r="AA79" s="2517"/>
      <c r="AB79" s="1867" t="s">
        <v>10</v>
      </c>
      <c r="AC79" s="2542"/>
      <c r="AD79" s="1882"/>
      <c r="AE79" s="2491"/>
      <c r="AF79" s="1865" t="s">
        <v>8</v>
      </c>
      <c r="AG79" s="1869">
        <f>AG78/25*8.5</f>
        <v>0</v>
      </c>
      <c r="AH79" s="2517"/>
      <c r="AI79" s="1867" t="s">
        <v>10</v>
      </c>
      <c r="AJ79" s="2542"/>
      <c r="AK79" s="1882"/>
      <c r="AL79" s="2491"/>
      <c r="AM79" s="1865" t="s">
        <v>8</v>
      </c>
      <c r="AN79" s="1869">
        <f>AN78/25*8.5</f>
        <v>0</v>
      </c>
      <c r="AO79" s="2517"/>
      <c r="AP79" s="1867" t="s">
        <v>10</v>
      </c>
      <c r="AQ79" s="2542"/>
      <c r="AR79" s="1882"/>
      <c r="AS79" s="1864"/>
      <c r="AT79" s="1865" t="s">
        <v>8</v>
      </c>
      <c r="AU79" s="1869">
        <f>AU78/25*8.5</f>
        <v>0</v>
      </c>
      <c r="AV79" s="1866"/>
      <c r="AW79" s="1867" t="s">
        <v>10</v>
      </c>
      <c r="AZ79" s="1882"/>
      <c r="BB79" s="265" t="s">
        <v>8</v>
      </c>
      <c r="BC79" s="265">
        <v>0</v>
      </c>
    </row>
    <row r="80" spans="1:55" ht="33.75" customHeight="1">
      <c r="A80" s="1834" t="s">
        <v>286</v>
      </c>
      <c r="B80" s="1835" t="s">
        <v>127</v>
      </c>
      <c r="C80" s="1872" t="s">
        <v>1491</v>
      </c>
      <c r="D80" s="1836" t="s">
        <v>4</v>
      </c>
      <c r="E80" s="1837" t="str">
        <f>'XM.GUI MAIL'!E80</f>
        <v>40~60</v>
      </c>
      <c r="F80" s="1901" t="str">
        <f>'XM.GUI MAIL'!F80</f>
        <v>(50±5)</v>
      </c>
      <c r="G80" s="1838">
        <f>'XM.GUI MAIL'!G80</f>
        <v>50</v>
      </c>
      <c r="H80" s="1839">
        <f>XM.HN!B49</f>
        <v>7.15</v>
      </c>
      <c r="I80" s="1930">
        <f>H80*6.49</f>
        <v>46.403500000000001</v>
      </c>
      <c r="J80" s="2489">
        <f>($G$80-I80)*11475/1000</f>
        <v>41.269837499999987</v>
      </c>
      <c r="K80" s="1842" t="s">
        <v>8</v>
      </c>
      <c r="L80" s="1843">
        <f t="shared" si="17"/>
        <v>41.269837499999987</v>
      </c>
      <c r="M80" s="2515"/>
      <c r="N80" s="1845" t="s">
        <v>9</v>
      </c>
      <c r="O80" s="2540">
        <f>XM.HN!C49</f>
        <v>7.35</v>
      </c>
      <c r="P80" s="1930">
        <f>O80*6.49</f>
        <v>47.701499999999996</v>
      </c>
      <c r="Q80" s="2489">
        <f>($G$80-P80)*11475/1000</f>
        <v>26.375287500000049</v>
      </c>
      <c r="R80" s="1842" t="s">
        <v>8</v>
      </c>
      <c r="S80" s="1843">
        <f t="shared" si="18"/>
        <v>26.375287500000049</v>
      </c>
      <c r="T80" s="2515"/>
      <c r="U80" s="1845" t="s">
        <v>9</v>
      </c>
      <c r="V80" s="2540">
        <f>XM.HN!D49</f>
        <v>7.7</v>
      </c>
      <c r="W80" s="1930">
        <f>V80*6.49</f>
        <v>49.973000000000006</v>
      </c>
      <c r="X80" s="2489">
        <f>($G$80-W80)*11475/1000</f>
        <v>0.30982499999993018</v>
      </c>
      <c r="Y80" s="1842" t="s">
        <v>8</v>
      </c>
      <c r="Z80" s="1843">
        <f t="shared" si="19"/>
        <v>0.30982499999993018</v>
      </c>
      <c r="AA80" s="2515"/>
      <c r="AB80" s="1845" t="s">
        <v>9</v>
      </c>
      <c r="AC80" s="2540">
        <f>XM.HN!E49</f>
        <v>7.5</v>
      </c>
      <c r="AD80" s="1930">
        <v>49.2</v>
      </c>
      <c r="AE80" s="2489">
        <f>($G$80-AD80)*11475/1000</f>
        <v>9.1799999999999677</v>
      </c>
      <c r="AF80" s="1842" t="s">
        <v>8</v>
      </c>
      <c r="AG80" s="1843">
        <f t="shared" si="20"/>
        <v>9.1799999999999677</v>
      </c>
      <c r="AH80" s="2515"/>
      <c r="AI80" s="1845" t="s">
        <v>9</v>
      </c>
      <c r="AJ80" s="2540">
        <f>XM.HN!F49</f>
        <v>7.6</v>
      </c>
      <c r="AK80" s="1930">
        <v>51.3</v>
      </c>
      <c r="AL80" s="2489">
        <f>($G$80-AK80)*11475/1000</f>
        <v>-14.917499999999967</v>
      </c>
      <c r="AM80" s="1842" t="s">
        <v>8</v>
      </c>
      <c r="AN80" s="1843">
        <f t="shared" si="21"/>
        <v>0</v>
      </c>
      <c r="AO80" s="2515"/>
      <c r="AP80" s="1845" t="s">
        <v>9</v>
      </c>
      <c r="AQ80" s="2540">
        <f>XM.HN!G49</f>
        <v>7.9</v>
      </c>
      <c r="AR80" s="1930">
        <v>51</v>
      </c>
      <c r="AS80" s="1841">
        <f>($G$80-AR80)*11475/1000</f>
        <v>-11.475</v>
      </c>
      <c r="AT80" s="1842" t="s">
        <v>8</v>
      </c>
      <c r="AU80" s="1843">
        <f t="shared" si="22"/>
        <v>0</v>
      </c>
      <c r="AV80" s="1844"/>
      <c r="AW80" s="1845" t="s">
        <v>9</v>
      </c>
      <c r="AZ80" s="1930"/>
      <c r="BA80" s="265">
        <v>-6.8850000000000167</v>
      </c>
      <c r="BB80" s="265" t="s">
        <v>8</v>
      </c>
      <c r="BC80" s="265">
        <v>0</v>
      </c>
    </row>
    <row r="81" spans="1:55" ht="33.75" customHeight="1">
      <c r="A81" s="1857"/>
      <c r="B81" s="1858"/>
      <c r="C81" s="1871" t="s">
        <v>231</v>
      </c>
      <c r="D81" s="1860"/>
      <c r="E81" s="1861" t="s">
        <v>1494</v>
      </c>
      <c r="F81" s="1902"/>
      <c r="G81" s="1862"/>
      <c r="H81" s="1863"/>
      <c r="I81" s="1882"/>
      <c r="J81" s="2491"/>
      <c r="K81" s="1865" t="s">
        <v>8</v>
      </c>
      <c r="L81" s="1869">
        <f>L80/25*8.5</f>
        <v>14.031744749999996</v>
      </c>
      <c r="M81" s="2517"/>
      <c r="N81" s="1867" t="s">
        <v>10</v>
      </c>
      <c r="O81" s="2542"/>
      <c r="P81" s="1882"/>
      <c r="Q81" s="2491"/>
      <c r="R81" s="1865" t="s">
        <v>8</v>
      </c>
      <c r="S81" s="1869">
        <f>S80/25*8.5</f>
        <v>8.9675977500000172</v>
      </c>
      <c r="T81" s="2517"/>
      <c r="U81" s="1867" t="s">
        <v>10</v>
      </c>
      <c r="V81" s="2542"/>
      <c r="W81" s="1882"/>
      <c r="X81" s="2491"/>
      <c r="Y81" s="1865" t="s">
        <v>8</v>
      </c>
      <c r="Z81" s="1869">
        <f>Z80/25*8.5</f>
        <v>0.10534049999997626</v>
      </c>
      <c r="AA81" s="2517"/>
      <c r="AB81" s="1867" t="s">
        <v>10</v>
      </c>
      <c r="AC81" s="2542"/>
      <c r="AD81" s="1882"/>
      <c r="AE81" s="2491"/>
      <c r="AF81" s="1865" t="s">
        <v>8</v>
      </c>
      <c r="AG81" s="1869">
        <f>AG80/25*8.5</f>
        <v>3.1211999999999889</v>
      </c>
      <c r="AH81" s="2517"/>
      <c r="AI81" s="1867" t="s">
        <v>10</v>
      </c>
      <c r="AJ81" s="2542"/>
      <c r="AK81" s="1882"/>
      <c r="AL81" s="2491"/>
      <c r="AM81" s="1865" t="s">
        <v>8</v>
      </c>
      <c r="AN81" s="1869">
        <f>AN80/25*8.5</f>
        <v>0</v>
      </c>
      <c r="AO81" s="2517"/>
      <c r="AP81" s="1867" t="s">
        <v>10</v>
      </c>
      <c r="AQ81" s="2542"/>
      <c r="AR81" s="1882"/>
      <c r="AS81" s="1864"/>
      <c r="AT81" s="1865" t="s">
        <v>8</v>
      </c>
      <c r="AU81" s="1869">
        <f>AU80/25*8.5</f>
        <v>0</v>
      </c>
      <c r="AV81" s="1866"/>
      <c r="AW81" s="1867" t="s">
        <v>10</v>
      </c>
      <c r="AZ81" s="1882"/>
      <c r="BB81" s="265" t="s">
        <v>8</v>
      </c>
      <c r="BC81" s="265">
        <v>0</v>
      </c>
    </row>
    <row r="82" spans="1:55" ht="33.75" customHeight="1">
      <c r="A82" s="1834" t="s">
        <v>287</v>
      </c>
      <c r="B82" s="1835" t="s">
        <v>127</v>
      </c>
      <c r="C82" s="1872" t="s">
        <v>1492</v>
      </c>
      <c r="D82" s="1836" t="s">
        <v>4</v>
      </c>
      <c r="E82" s="1837" t="str">
        <f>'XM.GUI MAIL'!E82</f>
        <v>50~70</v>
      </c>
      <c r="F82" s="1901" t="str">
        <f>'XM.GUI MAIL'!F82</f>
        <v>(60±5)</v>
      </c>
      <c r="G82" s="1838">
        <f>'XM.GUI MAIL'!G82</f>
        <v>60</v>
      </c>
      <c r="H82" s="1839">
        <f>XM.HN!B51</f>
        <v>12.65</v>
      </c>
      <c r="I82" s="1930">
        <f>H82*4.62</f>
        <v>58.443000000000005</v>
      </c>
      <c r="J82" s="2489">
        <f>($G$82-I82)*8200/1000</f>
        <v>12.767399999999959</v>
      </c>
      <c r="K82" s="1842" t="s">
        <v>8</v>
      </c>
      <c r="L82" s="1843">
        <f t="shared" si="17"/>
        <v>12.767399999999959</v>
      </c>
      <c r="M82" s="2515"/>
      <c r="N82" s="1845" t="s">
        <v>9</v>
      </c>
      <c r="O82" s="2540">
        <f>XM.HN!C51</f>
        <v>12.6</v>
      </c>
      <c r="P82" s="1930">
        <f>O82*4.62</f>
        <v>58.211999999999996</v>
      </c>
      <c r="Q82" s="2489">
        <f>($G$82-P82)*8200/1000</f>
        <v>14.661600000000032</v>
      </c>
      <c r="R82" s="1842" t="s">
        <v>8</v>
      </c>
      <c r="S82" s="1843">
        <f t="shared" si="18"/>
        <v>14.661600000000032</v>
      </c>
      <c r="T82" s="2515"/>
      <c r="U82" s="1845" t="s">
        <v>9</v>
      </c>
      <c r="V82" s="2540">
        <f>XM.HN!D51</f>
        <v>14</v>
      </c>
      <c r="W82" s="1930">
        <f>V82*4.62</f>
        <v>64.680000000000007</v>
      </c>
      <c r="X82" s="2489">
        <f>($G$82-W82)*8200/1000</f>
        <v>-38.376000000000062</v>
      </c>
      <c r="Y82" s="1842" t="s">
        <v>8</v>
      </c>
      <c r="Z82" s="1843">
        <f t="shared" si="19"/>
        <v>0</v>
      </c>
      <c r="AA82" s="2515"/>
      <c r="AB82" s="1845" t="s">
        <v>9</v>
      </c>
      <c r="AC82" s="2540">
        <f>XM.HN!E51</f>
        <v>13.4</v>
      </c>
      <c r="AD82" s="1930">
        <v>63.2</v>
      </c>
      <c r="AE82" s="2489">
        <f>($G$82-AD82)*8200/1000</f>
        <v>-26.240000000000023</v>
      </c>
      <c r="AF82" s="1842" t="s">
        <v>8</v>
      </c>
      <c r="AG82" s="1843">
        <f t="shared" si="20"/>
        <v>0</v>
      </c>
      <c r="AH82" s="2515"/>
      <c r="AI82" s="1845" t="s">
        <v>9</v>
      </c>
      <c r="AJ82" s="2540">
        <f>XM.HN!F51</f>
        <v>13.3</v>
      </c>
      <c r="AK82" s="1930">
        <v>62.2</v>
      </c>
      <c r="AL82" s="2489">
        <f>($G$82-AK82)*8200/1000</f>
        <v>-18.04000000000002</v>
      </c>
      <c r="AM82" s="1842" t="s">
        <v>8</v>
      </c>
      <c r="AN82" s="1843">
        <f t="shared" si="21"/>
        <v>0</v>
      </c>
      <c r="AO82" s="2515"/>
      <c r="AP82" s="1845" t="s">
        <v>9</v>
      </c>
      <c r="AQ82" s="2540">
        <f>XM.HN!G51</f>
        <v>13.4</v>
      </c>
      <c r="AR82" s="1930">
        <v>61.5</v>
      </c>
      <c r="AS82" s="1841">
        <f>($G$82-AR82)*8200/1000</f>
        <v>-12.3</v>
      </c>
      <c r="AT82" s="1842" t="s">
        <v>8</v>
      </c>
      <c r="AU82" s="1843">
        <f t="shared" si="22"/>
        <v>0</v>
      </c>
      <c r="AV82" s="1844"/>
      <c r="AW82" s="1845" t="s">
        <v>9</v>
      </c>
      <c r="AZ82" s="1930"/>
      <c r="BA82" s="265">
        <v>0</v>
      </c>
      <c r="BB82" s="265" t="s">
        <v>8</v>
      </c>
      <c r="BC82" s="265">
        <v>0</v>
      </c>
    </row>
    <row r="83" spans="1:55" ht="33.75" customHeight="1">
      <c r="A83" s="1857"/>
      <c r="B83" s="1858"/>
      <c r="C83" s="1871" t="s">
        <v>233</v>
      </c>
      <c r="D83" s="1860"/>
      <c r="E83" s="1861" t="s">
        <v>1272</v>
      </c>
      <c r="F83" s="1902"/>
      <c r="G83" s="1862"/>
      <c r="H83" s="1863"/>
      <c r="I83" s="1882"/>
      <c r="J83" s="2491"/>
      <c r="K83" s="1865" t="s">
        <v>8</v>
      </c>
      <c r="L83" s="1869"/>
      <c r="M83" s="2517"/>
      <c r="N83" s="1867" t="s">
        <v>10</v>
      </c>
      <c r="O83" s="2542"/>
      <c r="P83" s="1882"/>
      <c r="Q83" s="2491"/>
      <c r="R83" s="1865" t="s">
        <v>8</v>
      </c>
      <c r="S83" s="1869"/>
      <c r="T83" s="2517"/>
      <c r="U83" s="1867" t="s">
        <v>10</v>
      </c>
      <c r="V83" s="2542"/>
      <c r="W83" s="1882"/>
      <c r="X83" s="2491"/>
      <c r="Y83" s="1865" t="s">
        <v>8</v>
      </c>
      <c r="Z83" s="1869"/>
      <c r="AA83" s="2517"/>
      <c r="AB83" s="1867" t="s">
        <v>10</v>
      </c>
      <c r="AC83" s="2542"/>
      <c r="AD83" s="1882"/>
      <c r="AE83" s="2491"/>
      <c r="AF83" s="1865" t="s">
        <v>8</v>
      </c>
      <c r="AG83" s="1869"/>
      <c r="AH83" s="2517"/>
      <c r="AI83" s="1867" t="s">
        <v>10</v>
      </c>
      <c r="AJ83" s="2542"/>
      <c r="AK83" s="1882"/>
      <c r="AL83" s="2491"/>
      <c r="AM83" s="1865" t="s">
        <v>8</v>
      </c>
      <c r="AN83" s="1869"/>
      <c r="AO83" s="2517"/>
      <c r="AP83" s="1867" t="s">
        <v>10</v>
      </c>
      <c r="AQ83" s="2542"/>
      <c r="AR83" s="1882"/>
      <c r="AS83" s="1864"/>
      <c r="AT83" s="1865" t="s">
        <v>8</v>
      </c>
      <c r="AU83" s="1869"/>
      <c r="AV83" s="1866"/>
      <c r="AW83" s="1867" t="s">
        <v>10</v>
      </c>
      <c r="AZ83" s="1882"/>
      <c r="BB83" s="265" t="s">
        <v>8</v>
      </c>
    </row>
    <row r="84" spans="1:55" ht="33.75" customHeight="1">
      <c r="A84" s="1834" t="s">
        <v>288</v>
      </c>
      <c r="B84" s="1835" t="s">
        <v>127</v>
      </c>
      <c r="C84" s="1872" t="s">
        <v>1493</v>
      </c>
      <c r="D84" s="1836" t="s">
        <v>4</v>
      </c>
      <c r="E84" s="1837" t="str">
        <f>'XM.GUI MAIL'!E84</f>
        <v>50~70</v>
      </c>
      <c r="F84" s="1901" t="str">
        <f>'XM.GUI MAIL'!F84</f>
        <v>(60±5)</v>
      </c>
      <c r="G84" s="1838">
        <f>'XM.GUI MAIL'!G84</f>
        <v>60</v>
      </c>
      <c r="H84" s="1839">
        <f>XM.HN!B53</f>
        <v>13</v>
      </c>
      <c r="I84" s="1930">
        <f>H84*4.62</f>
        <v>60.06</v>
      </c>
      <c r="J84" s="2489">
        <f>($G$84-I84)*8668/1000</f>
        <v>-0.52008000000001975</v>
      </c>
      <c r="K84" s="1842" t="s">
        <v>8</v>
      </c>
      <c r="L84" s="1843">
        <f t="shared" si="17"/>
        <v>0</v>
      </c>
      <c r="M84" s="2515"/>
      <c r="N84" s="1845" t="s">
        <v>9</v>
      </c>
      <c r="O84" s="2540">
        <f>XM.HN!C53</f>
        <v>12.9</v>
      </c>
      <c r="P84" s="1930">
        <f>O84*4.62</f>
        <v>59.598000000000006</v>
      </c>
      <c r="Q84" s="2489">
        <f>($G$84-P84)*8668/1000</f>
        <v>3.4845359999999475</v>
      </c>
      <c r="R84" s="1842" t="s">
        <v>8</v>
      </c>
      <c r="S84" s="1843">
        <f t="shared" si="18"/>
        <v>3.4845359999999475</v>
      </c>
      <c r="T84" s="2515"/>
      <c r="U84" s="1845" t="s">
        <v>9</v>
      </c>
      <c r="V84" s="2540">
        <f>XM.HN!D53</f>
        <v>13.2</v>
      </c>
      <c r="W84" s="1930">
        <f>V84*4.62</f>
        <v>60.983999999999995</v>
      </c>
      <c r="X84" s="2489">
        <f>($G$84-W84)*8668/1000</f>
        <v>-8.5293119999999547</v>
      </c>
      <c r="Y84" s="1842" t="s">
        <v>8</v>
      </c>
      <c r="Z84" s="1843">
        <f t="shared" si="19"/>
        <v>0</v>
      </c>
      <c r="AA84" s="2515"/>
      <c r="AB84" s="1845" t="s">
        <v>9</v>
      </c>
      <c r="AC84" s="2540">
        <f>XM.HN!E53</f>
        <v>13</v>
      </c>
      <c r="AD84" s="1930">
        <f>AC84*4.62</f>
        <v>60.06</v>
      </c>
      <c r="AE84" s="2489">
        <f>($G$84-AD84)*8668/1000</f>
        <v>-0.52008000000001975</v>
      </c>
      <c r="AF84" s="1842" t="s">
        <v>8</v>
      </c>
      <c r="AG84" s="1843">
        <f t="shared" si="20"/>
        <v>0</v>
      </c>
      <c r="AH84" s="2515"/>
      <c r="AI84" s="1845" t="s">
        <v>9</v>
      </c>
      <c r="AJ84" s="2540">
        <f>XM.HN!F53</f>
        <v>13</v>
      </c>
      <c r="AK84" s="1930">
        <v>59.4</v>
      </c>
      <c r="AL84" s="2489">
        <f>($G$84-AK84)*8668/1000</f>
        <v>5.2008000000000116</v>
      </c>
      <c r="AM84" s="1842" t="s">
        <v>8</v>
      </c>
      <c r="AN84" s="1843">
        <f t="shared" si="21"/>
        <v>5.2008000000000116</v>
      </c>
      <c r="AO84" s="2515"/>
      <c r="AP84" s="1845" t="s">
        <v>9</v>
      </c>
      <c r="AQ84" s="2540">
        <f>XM.HN!G53</f>
        <v>13</v>
      </c>
      <c r="AR84" s="1930">
        <v>61.6</v>
      </c>
      <c r="AS84" s="1841">
        <f>($G$84-AR84)*8668/1000</f>
        <v>-13.868800000000013</v>
      </c>
      <c r="AT84" s="1842" t="s">
        <v>8</v>
      </c>
      <c r="AU84" s="1843">
        <f t="shared" si="22"/>
        <v>0</v>
      </c>
      <c r="AV84" s="1844"/>
      <c r="AW84" s="1845" t="s">
        <v>9</v>
      </c>
      <c r="AZ84" s="1930"/>
      <c r="BA84" s="265">
        <v>0</v>
      </c>
      <c r="BB84" s="265" t="s">
        <v>8</v>
      </c>
      <c r="BC84" s="265">
        <v>0</v>
      </c>
    </row>
    <row r="85" spans="1:55" ht="33.75" customHeight="1">
      <c r="A85" s="1857"/>
      <c r="B85" s="1858"/>
      <c r="C85" s="1871" t="s">
        <v>233</v>
      </c>
      <c r="D85" s="1860"/>
      <c r="E85" s="1861" t="s">
        <v>1272</v>
      </c>
      <c r="F85" s="1902"/>
      <c r="G85" s="1862"/>
      <c r="H85" s="1863"/>
      <c r="I85" s="1882"/>
      <c r="J85" s="2491"/>
      <c r="K85" s="1865" t="s">
        <v>8</v>
      </c>
      <c r="L85" s="1869"/>
      <c r="M85" s="2517"/>
      <c r="N85" s="1867" t="s">
        <v>10</v>
      </c>
      <c r="O85" s="2542"/>
      <c r="P85" s="1882"/>
      <c r="Q85" s="2491"/>
      <c r="R85" s="1865" t="s">
        <v>8</v>
      </c>
      <c r="S85" s="1869"/>
      <c r="T85" s="2517"/>
      <c r="U85" s="1867" t="s">
        <v>10</v>
      </c>
      <c r="V85" s="2542"/>
      <c r="W85" s="1882"/>
      <c r="X85" s="2491"/>
      <c r="Y85" s="1865" t="s">
        <v>8</v>
      </c>
      <c r="Z85" s="1869"/>
      <c r="AA85" s="2517"/>
      <c r="AB85" s="1867" t="s">
        <v>10</v>
      </c>
      <c r="AC85" s="2542"/>
      <c r="AD85" s="1882"/>
      <c r="AE85" s="2491"/>
      <c r="AF85" s="1865" t="s">
        <v>8</v>
      </c>
      <c r="AG85" s="1869"/>
      <c r="AH85" s="2517"/>
      <c r="AI85" s="1867" t="s">
        <v>10</v>
      </c>
      <c r="AJ85" s="2542"/>
      <c r="AK85" s="1882"/>
      <c r="AL85" s="2491"/>
      <c r="AM85" s="1865" t="s">
        <v>8</v>
      </c>
      <c r="AN85" s="1869"/>
      <c r="AO85" s="2517"/>
      <c r="AP85" s="1867" t="s">
        <v>10</v>
      </c>
      <c r="AQ85" s="2542"/>
      <c r="AR85" s="1882"/>
      <c r="AS85" s="1864"/>
      <c r="AT85" s="1865" t="s">
        <v>8</v>
      </c>
      <c r="AU85" s="1869"/>
      <c r="AV85" s="1866"/>
      <c r="AW85" s="1867" t="s">
        <v>10</v>
      </c>
      <c r="AZ85" s="1882"/>
      <c r="BB85" s="265" t="s">
        <v>8</v>
      </c>
    </row>
    <row r="86" spans="1:55" ht="33.75" customHeight="1">
      <c r="A86" s="996" t="s">
        <v>289</v>
      </c>
      <c r="B86" s="996" t="s">
        <v>127</v>
      </c>
      <c r="C86" s="102" t="s">
        <v>80</v>
      </c>
      <c r="D86" s="45" t="s">
        <v>4</v>
      </c>
      <c r="E86" s="13" t="str">
        <f>'XM.GUI MAIL'!E86</f>
        <v>135~ 145</v>
      </c>
      <c r="F86" s="1903" t="str">
        <f>'XM.GUI MAIL'!F86</f>
        <v>(140±5)</v>
      </c>
      <c r="G86" s="1069">
        <f>'XM.GUI MAIL'!G86</f>
        <v>140</v>
      </c>
      <c r="H86" s="88">
        <f>XM.HN!B55</f>
        <v>17.25</v>
      </c>
      <c r="I86" s="1752">
        <f>H86*8</f>
        <v>138</v>
      </c>
      <c r="J86" s="2494">
        <f>($G$86-I86)*53066/1000</f>
        <v>106.13200000000001</v>
      </c>
      <c r="K86" s="1745" t="s">
        <v>8</v>
      </c>
      <c r="L86" s="1746">
        <f t="shared" si="17"/>
        <v>106.13200000000001</v>
      </c>
      <c r="M86" s="2519"/>
      <c r="N86" s="1879" t="s">
        <v>9</v>
      </c>
      <c r="O86" s="2560">
        <f>XM.HN!C55</f>
        <v>17.5</v>
      </c>
      <c r="P86" s="1752">
        <f>O86*8</f>
        <v>140</v>
      </c>
      <c r="Q86" s="2494">
        <f>($G$86-P86)*53066/1000</f>
        <v>0</v>
      </c>
      <c r="R86" s="1745" t="s">
        <v>8</v>
      </c>
      <c r="S86" s="1746">
        <f t="shared" ref="S86:S88" si="23">IF(Q86&lt;0,0,Q86)</f>
        <v>0</v>
      </c>
      <c r="T86" s="2519"/>
      <c r="U86" s="1747" t="s">
        <v>9</v>
      </c>
      <c r="V86" s="2581">
        <f>XM.HN!D55</f>
        <v>17.2</v>
      </c>
      <c r="W86" s="1752">
        <v>140</v>
      </c>
      <c r="X86" s="2494">
        <f>($G$86-W86)*53066/1000</f>
        <v>0</v>
      </c>
      <c r="Y86" s="1745" t="s">
        <v>8</v>
      </c>
      <c r="Z86" s="1746">
        <f t="shared" ref="Z86:Z88" si="24">IF(X86&lt;0,0,X86)</f>
        <v>0</v>
      </c>
      <c r="AA86" s="2519"/>
      <c r="AB86" s="1747" t="s">
        <v>9</v>
      </c>
      <c r="AC86" s="2539">
        <f>XM.HN!E55</f>
        <v>17.5</v>
      </c>
      <c r="AD86" s="1752">
        <v>139.19999999999999</v>
      </c>
      <c r="AE86" s="2494">
        <f>($G$86-AD86)*53066/1000</f>
        <v>42.452800000000607</v>
      </c>
      <c r="AF86" s="1745" t="s">
        <v>8</v>
      </c>
      <c r="AG86" s="1746">
        <f t="shared" ref="AG86:AG88" si="25">IF(AE86&lt;0,0,AE86)</f>
        <v>42.452800000000607</v>
      </c>
      <c r="AH86" s="2519"/>
      <c r="AI86" s="1747" t="s">
        <v>9</v>
      </c>
      <c r="AJ86" s="2539">
        <f>XM.HN!F55</f>
        <v>17.5</v>
      </c>
      <c r="AK86" s="1752">
        <f>AJ86*8</f>
        <v>140</v>
      </c>
      <c r="AL86" s="2494">
        <f>($G$86-AK86)*53066/1000</f>
        <v>0</v>
      </c>
      <c r="AM86" s="1745" t="s">
        <v>8</v>
      </c>
      <c r="AN86" s="1746">
        <f t="shared" ref="AN86:AN88" si="26">IF(AL86&lt;0,0,AL86)</f>
        <v>0</v>
      </c>
      <c r="AO86" s="2519"/>
      <c r="AP86" s="1747" t="s">
        <v>9</v>
      </c>
      <c r="AQ86" s="2539">
        <f>XM.HN!G55</f>
        <v>17.399999999999999</v>
      </c>
      <c r="AR86" s="1752">
        <f>AQ86*8</f>
        <v>139.19999999999999</v>
      </c>
      <c r="AS86" s="1734">
        <f>($G$86-AR86)*53066/1000</f>
        <v>42.452800000000607</v>
      </c>
      <c r="AT86" s="1735" t="s">
        <v>8</v>
      </c>
      <c r="AU86" s="1736">
        <f t="shared" ref="AU86:AU88" si="27">IF(AS86&lt;0,0,AS86)</f>
        <v>42.452800000000607</v>
      </c>
      <c r="AV86" s="1736"/>
      <c r="AW86" s="1737" t="s">
        <v>9</v>
      </c>
      <c r="AZ86" s="1752"/>
      <c r="BA86" s="265">
        <v>42.452800000000607</v>
      </c>
      <c r="BB86" s="265" t="s">
        <v>8</v>
      </c>
      <c r="BC86" s="265">
        <v>42.452800000000607</v>
      </c>
    </row>
    <row r="87" spans="1:55" ht="33.75" customHeight="1">
      <c r="A87" s="45" t="s">
        <v>290</v>
      </c>
      <c r="B87" s="996" t="s">
        <v>127</v>
      </c>
      <c r="C87" s="1154" t="s">
        <v>81</v>
      </c>
      <c r="D87" s="45" t="s">
        <v>4</v>
      </c>
      <c r="E87" s="13" t="str">
        <f>'XM.GUI MAIL'!E87</f>
        <v>7~10</v>
      </c>
      <c r="F87" s="1903" t="str">
        <f>'XM.GUI MAIL'!F87</f>
        <v>(8.5±1)</v>
      </c>
      <c r="G87" s="1069">
        <f>'XM.GUI MAIL'!G87</f>
        <v>8.5</v>
      </c>
      <c r="H87" s="88">
        <f>XM.HN!B56</f>
        <v>6.5</v>
      </c>
      <c r="I87" s="1930">
        <f>H87*1.3</f>
        <v>8.4500000000000011</v>
      </c>
      <c r="J87" s="2494">
        <f>($G$87-I87)*53066/1000</f>
        <v>2.6532999999999434</v>
      </c>
      <c r="K87" s="1745" t="s">
        <v>8</v>
      </c>
      <c r="L87" s="1764">
        <f t="shared" si="17"/>
        <v>2.6532999999999434</v>
      </c>
      <c r="M87" s="2525"/>
      <c r="N87" s="1747" t="s">
        <v>986</v>
      </c>
      <c r="O87" s="2546">
        <f>XM.HN!C56</f>
        <v>6.5</v>
      </c>
      <c r="P87" s="1930">
        <f>O87*1.3</f>
        <v>8.4500000000000011</v>
      </c>
      <c r="Q87" s="2494">
        <f>($G$87-P87)*53066/1000</f>
        <v>2.6532999999999434</v>
      </c>
      <c r="R87" s="1745" t="s">
        <v>8</v>
      </c>
      <c r="S87" s="1764">
        <f t="shared" si="23"/>
        <v>2.6532999999999434</v>
      </c>
      <c r="T87" s="2525"/>
      <c r="U87" s="1747" t="s">
        <v>986</v>
      </c>
      <c r="V87" s="2571">
        <f>XM.HN!D56</f>
        <v>6.45</v>
      </c>
      <c r="W87" s="1930">
        <f>V87*1.3</f>
        <v>8.3849999999999998</v>
      </c>
      <c r="X87" s="2494">
        <f>($G$87-W87)*53066/1000</f>
        <v>6.1025900000000108</v>
      </c>
      <c r="Y87" s="1745" t="s">
        <v>8</v>
      </c>
      <c r="Z87" s="1764">
        <f t="shared" si="24"/>
        <v>6.1025900000000108</v>
      </c>
      <c r="AA87" s="2525"/>
      <c r="AB87" s="1747" t="s">
        <v>986</v>
      </c>
      <c r="AC87" s="2539">
        <f>XM.HN!E56</f>
        <v>6.55</v>
      </c>
      <c r="AD87" s="1930">
        <f>AC87*1.3</f>
        <v>8.5150000000000006</v>
      </c>
      <c r="AE87" s="2494">
        <f>($G$87-AD87)*53066/1000</f>
        <v>-0.79599000000003017</v>
      </c>
      <c r="AF87" s="1745" t="s">
        <v>8</v>
      </c>
      <c r="AG87" s="1764">
        <f t="shared" si="25"/>
        <v>0</v>
      </c>
      <c r="AH87" s="2525"/>
      <c r="AI87" s="1747" t="s">
        <v>986</v>
      </c>
      <c r="AJ87" s="2539">
        <f>XM.HN!F56</f>
        <v>6.5</v>
      </c>
      <c r="AK87" s="1930">
        <f>AJ87*1.3</f>
        <v>8.4500000000000011</v>
      </c>
      <c r="AL87" s="2494">
        <f>($G$87-AK87)*53066/1000</f>
        <v>2.6532999999999434</v>
      </c>
      <c r="AM87" s="1745" t="s">
        <v>8</v>
      </c>
      <c r="AN87" s="1764">
        <f t="shared" si="26"/>
        <v>2.6532999999999434</v>
      </c>
      <c r="AO87" s="2525"/>
      <c r="AP87" s="1747" t="s">
        <v>986</v>
      </c>
      <c r="AQ87" s="2539">
        <f>XM.HN!G56</f>
        <v>6.4</v>
      </c>
      <c r="AR87" s="1930">
        <v>8.6</v>
      </c>
      <c r="AS87" s="1748">
        <f>($G$87-AR87)*53066/1000</f>
        <v>-5.3065999999999809</v>
      </c>
      <c r="AT87" s="1748" t="s">
        <v>8</v>
      </c>
      <c r="AU87" s="1736">
        <f t="shared" si="27"/>
        <v>0</v>
      </c>
      <c r="AV87" s="1736"/>
      <c r="AW87" s="1737" t="s">
        <v>986</v>
      </c>
      <c r="AZ87" s="1738"/>
      <c r="BA87" s="265">
        <v>0</v>
      </c>
      <c r="BB87" s="265" t="s">
        <v>8</v>
      </c>
      <c r="BC87" s="265">
        <v>0</v>
      </c>
    </row>
    <row r="88" spans="1:55" ht="37.5" customHeight="1">
      <c r="A88" s="275" t="s">
        <v>291</v>
      </c>
      <c r="B88" s="996" t="s">
        <v>127</v>
      </c>
      <c r="C88" s="1368" t="s">
        <v>1139</v>
      </c>
      <c r="D88" s="1366" t="s">
        <v>3</v>
      </c>
      <c r="E88" s="13" t="str">
        <f>'XM.GUI MAIL'!E88</f>
        <v>5~8</v>
      </c>
      <c r="F88" s="1903" t="str">
        <f>'XM.GUI MAIL'!F88</f>
        <v>(6±1)</v>
      </c>
      <c r="G88" s="1069">
        <f>'XM.GUI MAIL'!G88</f>
        <v>6</v>
      </c>
      <c r="H88" s="88">
        <f>XM.HN!B57</f>
        <v>17.8</v>
      </c>
      <c r="I88" s="1738">
        <f>(H88*0.4237)-1.0461</f>
        <v>6.4957600000000006</v>
      </c>
      <c r="J88" s="2494">
        <f>($G$88-I88)*3360/100</f>
        <v>-16.657536000000022</v>
      </c>
      <c r="K88" s="1745" t="s">
        <v>8</v>
      </c>
      <c r="L88" s="1746">
        <f t="shared" si="17"/>
        <v>0</v>
      </c>
      <c r="M88" s="2519"/>
      <c r="N88" s="1879" t="s">
        <v>10</v>
      </c>
      <c r="O88" s="2561">
        <f>XM.HN!C57</f>
        <v>17.75</v>
      </c>
      <c r="P88" s="1738">
        <f>(O88*0.4237)-1.0461</f>
        <v>6.4745750000000006</v>
      </c>
      <c r="Q88" s="2494">
        <f>($G$88-P88)*3360/100</f>
        <v>-15.945720000000021</v>
      </c>
      <c r="R88" s="1745" t="s">
        <v>8</v>
      </c>
      <c r="S88" s="1746">
        <f t="shared" si="23"/>
        <v>0</v>
      </c>
      <c r="T88" s="2519"/>
      <c r="U88" s="1747" t="s">
        <v>10</v>
      </c>
      <c r="V88" s="2581">
        <f>XM.HN!D57</f>
        <v>17</v>
      </c>
      <c r="W88" s="1738">
        <f>(V88*0.4237)-1.0461</f>
        <v>6.1568000000000005</v>
      </c>
      <c r="X88" s="2494">
        <f>($G$88-W88)*3360/100</f>
        <v>-5.2684800000000163</v>
      </c>
      <c r="Y88" s="1745" t="s">
        <v>8</v>
      </c>
      <c r="Z88" s="1746">
        <f t="shared" si="24"/>
        <v>0</v>
      </c>
      <c r="AA88" s="2519"/>
      <c r="AB88" s="1747" t="s">
        <v>10</v>
      </c>
      <c r="AC88" s="2539">
        <f>XM.HN!E57</f>
        <v>17.3</v>
      </c>
      <c r="AD88" s="1738">
        <v>6.1</v>
      </c>
      <c r="AE88" s="2494">
        <f>($G$88-AD88)*3360/100</f>
        <v>-3.3599999999999879</v>
      </c>
      <c r="AF88" s="1745" t="s">
        <v>8</v>
      </c>
      <c r="AG88" s="1746">
        <f t="shared" si="25"/>
        <v>0</v>
      </c>
      <c r="AH88" s="2519"/>
      <c r="AI88" s="1747" t="s">
        <v>10</v>
      </c>
      <c r="AJ88" s="2539">
        <f>XM.HN!F57</f>
        <v>17.2</v>
      </c>
      <c r="AK88" s="1738">
        <v>6</v>
      </c>
      <c r="AL88" s="2494">
        <f>($G$88-AK88)*3360/100</f>
        <v>0</v>
      </c>
      <c r="AM88" s="1745" t="s">
        <v>8</v>
      </c>
      <c r="AN88" s="1746">
        <f t="shared" si="26"/>
        <v>0</v>
      </c>
      <c r="AO88" s="2519"/>
      <c r="AP88" s="1747" t="s">
        <v>10</v>
      </c>
      <c r="AQ88" s="2539">
        <f>XM.HN!G57</f>
        <v>17.399999999999999</v>
      </c>
      <c r="AR88" s="1738">
        <v>6</v>
      </c>
      <c r="AS88" s="1744">
        <f>($G$88-AR88)*3360/100</f>
        <v>0</v>
      </c>
      <c r="AT88" s="1745" t="s">
        <v>8</v>
      </c>
      <c r="AU88" s="1746">
        <f t="shared" si="27"/>
        <v>0</v>
      </c>
      <c r="AV88" s="1746"/>
      <c r="AW88" s="1747" t="s">
        <v>10</v>
      </c>
      <c r="AZ88" s="1738"/>
      <c r="BA88" s="265">
        <v>3.3599999999999879</v>
      </c>
      <c r="BB88" s="265" t="s">
        <v>8</v>
      </c>
      <c r="BC88" s="265">
        <v>3.3599999999999879</v>
      </c>
    </row>
    <row r="89" spans="1:55" ht="33.75" customHeight="1">
      <c r="A89" s="45" t="s">
        <v>292</v>
      </c>
      <c r="B89" s="996" t="s">
        <v>127</v>
      </c>
      <c r="C89" s="1349" t="str">
        <f>MENU!AE44</f>
        <v>Pha mới: 2024/05/19</v>
      </c>
      <c r="D89" s="1366" t="s">
        <v>5</v>
      </c>
      <c r="E89" s="13" t="str">
        <f>'XM.GUI MAIL'!E89</f>
        <v>2.0~2.4</v>
      </c>
      <c r="F89" s="1903" t="str">
        <f>'XM.GUI MAIL'!F89</f>
        <v>(2.2±0.1)</v>
      </c>
      <c r="G89" s="1069">
        <f>'XM.GUI MAIL'!G89</f>
        <v>0</v>
      </c>
      <c r="H89" s="88"/>
      <c r="I89" s="2248">
        <f>XM.HN!B66</f>
        <v>2.2000000000000002</v>
      </c>
      <c r="J89" s="2493"/>
      <c r="K89" s="1741"/>
      <c r="L89" s="1764"/>
      <c r="M89" s="2525"/>
      <c r="N89" s="1742"/>
      <c r="O89" s="2546"/>
      <c r="P89" s="2248">
        <f>XM.HN!C66</f>
        <v>2.1800000000000002</v>
      </c>
      <c r="Q89" s="2505"/>
      <c r="R89" s="1748"/>
      <c r="S89" s="1764"/>
      <c r="T89" s="2525"/>
      <c r="U89" s="1753"/>
      <c r="V89" s="2571"/>
      <c r="W89" s="2248">
        <f>XM.HN!D66</f>
        <v>2.2000000000000002</v>
      </c>
      <c r="X89" s="2505"/>
      <c r="Y89" s="1748"/>
      <c r="Z89" s="1764"/>
      <c r="AA89" s="2525"/>
      <c r="AB89" s="1753"/>
      <c r="AC89" s="2539"/>
      <c r="AD89" s="2248">
        <f>XM.HN!E66</f>
        <v>2.1800000000000002</v>
      </c>
      <c r="AE89" s="2505"/>
      <c r="AF89" s="1748"/>
      <c r="AG89" s="1764"/>
      <c r="AH89" s="2525"/>
      <c r="AI89" s="1753"/>
      <c r="AJ89" s="2539"/>
      <c r="AK89" s="2248">
        <f>XM.HN!F66</f>
        <v>2.15</v>
      </c>
      <c r="AL89" s="2505"/>
      <c r="AM89" s="1748"/>
      <c r="AN89" s="1764"/>
      <c r="AO89" s="2525"/>
      <c r="AP89" s="1753"/>
      <c r="AQ89" s="2539"/>
      <c r="AR89" s="2248">
        <f>XM.HN!G66</f>
        <v>2.1800000000000002</v>
      </c>
      <c r="AS89" s="1740"/>
      <c r="AT89" s="1741"/>
      <c r="AU89" s="1741"/>
      <c r="AV89" s="1741"/>
      <c r="AW89" s="1778"/>
      <c r="AZ89" s="1738"/>
    </row>
    <row r="90" spans="1:55" ht="33.75" customHeight="1">
      <c r="A90" s="276" t="s">
        <v>295</v>
      </c>
      <c r="B90" s="2481" t="s">
        <v>127</v>
      </c>
      <c r="C90" s="102" t="s">
        <v>82</v>
      </c>
      <c r="D90" s="2482" t="s">
        <v>6</v>
      </c>
      <c r="E90" s="13" t="str">
        <f>'XM.GUI MAIL'!E90</f>
        <v>40~50</v>
      </c>
      <c r="F90" s="1903" t="str">
        <f>'XM.GUI MAIL'!F90</f>
        <v>(45±5)</v>
      </c>
      <c r="G90" s="1345">
        <f>'XM.GUI MAIL'!G90</f>
        <v>0.45</v>
      </c>
      <c r="H90" s="88">
        <f>XM.HN!B59</f>
        <v>1.8</v>
      </c>
      <c r="I90" s="1754">
        <v>0.435</v>
      </c>
      <c r="J90" s="2494">
        <f>($G$90-I90)*3234</f>
        <v>48.510000000000041</v>
      </c>
      <c r="K90" s="1745" t="s">
        <v>8</v>
      </c>
      <c r="L90" s="1764">
        <f t="shared" ref="L90" si="28">IF(J90&lt;0,0,J90)</f>
        <v>48.510000000000041</v>
      </c>
      <c r="M90" s="2051"/>
      <c r="N90" s="1751" t="s">
        <v>10</v>
      </c>
      <c r="O90" s="2544">
        <f>XM.HN!C59</f>
        <v>1.78</v>
      </c>
      <c r="P90" s="1754">
        <v>0.44800000000000001</v>
      </c>
      <c r="Q90" s="2494">
        <f>($G$90-P90)*3234</f>
        <v>6.4680000000000053</v>
      </c>
      <c r="R90" s="1745" t="s">
        <v>8</v>
      </c>
      <c r="S90" s="1764">
        <f t="shared" ref="S90" si="29">IF(Q90&lt;0,0,Q90)</f>
        <v>6.4680000000000053</v>
      </c>
      <c r="T90" s="2051"/>
      <c r="U90" s="1751" t="s">
        <v>10</v>
      </c>
      <c r="V90" s="2665">
        <f>XM.HN!D59</f>
        <v>1.8</v>
      </c>
      <c r="W90" s="1754">
        <v>0.46500000000000002</v>
      </c>
      <c r="X90" s="2494">
        <f>($G$90-W90)*3234</f>
        <v>-48.510000000000041</v>
      </c>
      <c r="Y90" s="1745" t="s">
        <v>8</v>
      </c>
      <c r="Z90" s="1764">
        <f t="shared" ref="Z90" si="30">IF(X90&lt;0,0,X90)</f>
        <v>0</v>
      </c>
      <c r="AA90" s="2051"/>
      <c r="AB90" s="1751" t="s">
        <v>10</v>
      </c>
      <c r="AC90" s="2665">
        <f>XM.HN!E59</f>
        <v>1.8</v>
      </c>
      <c r="AD90" s="1754">
        <v>0.46</v>
      </c>
      <c r="AE90" s="2494">
        <f>($G$90-AD90)*3234</f>
        <v>-32.340000000000032</v>
      </c>
      <c r="AF90" s="1745" t="s">
        <v>8</v>
      </c>
      <c r="AG90" s="1764">
        <f t="shared" ref="AG90" si="31">IF(AE90&lt;0,0,AE90)</f>
        <v>0</v>
      </c>
      <c r="AH90" s="2051"/>
      <c r="AI90" s="1751" t="s">
        <v>10</v>
      </c>
      <c r="AJ90" s="2663">
        <f>XM.HN!F59</f>
        <v>1.88</v>
      </c>
      <c r="AK90" s="1754">
        <v>0.45600000000000002</v>
      </c>
      <c r="AL90" s="2494">
        <f>($G$90-AK90)*3234</f>
        <v>-19.404000000000018</v>
      </c>
      <c r="AM90" s="1745" t="s">
        <v>8</v>
      </c>
      <c r="AN90" s="1764">
        <f t="shared" ref="AN90" si="32">IF(AL90&lt;0,0,AL90)</f>
        <v>0</v>
      </c>
      <c r="AO90" s="2051"/>
      <c r="AP90" s="1751" t="s">
        <v>10</v>
      </c>
      <c r="AQ90" s="2663">
        <f>XM.HN!G59</f>
        <v>1.86</v>
      </c>
      <c r="AR90" s="1754">
        <v>0.45200000000000001</v>
      </c>
      <c r="AS90" s="2494">
        <f>($G$90-AR90)*3234</f>
        <v>-6.4680000000000053</v>
      </c>
      <c r="AT90" s="1745" t="s">
        <v>8</v>
      </c>
      <c r="AU90" s="1764">
        <f t="shared" ref="AU90" si="33">IF(AS90&lt;0,0,AS90)</f>
        <v>0</v>
      </c>
      <c r="AV90" s="2051"/>
      <c r="AW90" s="1747" t="s">
        <v>10</v>
      </c>
      <c r="AZ90" s="1743"/>
    </row>
    <row r="91" spans="1:55" ht="33.75" customHeight="1">
      <c r="A91" s="276" t="s">
        <v>293</v>
      </c>
      <c r="B91" s="996" t="s">
        <v>127</v>
      </c>
      <c r="C91" s="102" t="s">
        <v>1577</v>
      </c>
      <c r="D91" s="45" t="s">
        <v>6</v>
      </c>
      <c r="E91" s="13" t="str">
        <f>'XM.GUI MAIL'!E91</f>
        <v>15~25</v>
      </c>
      <c r="F91" s="1903" t="str">
        <f>'XM.GUI MAIL'!F91</f>
        <v>(18±2)</v>
      </c>
      <c r="G91" s="1345">
        <f>'XM.GUI MAIL'!G91</f>
        <v>0.18</v>
      </c>
      <c r="H91" s="88">
        <f>XM.HN!B60</f>
        <v>0</v>
      </c>
      <c r="I91" s="1743">
        <f>(0.1*H91*36.5)/(0.5*10)/32%/100</f>
        <v>0</v>
      </c>
      <c r="J91" s="2494">
        <f>($G$91-I91)*3361</f>
        <v>604.98</v>
      </c>
      <c r="K91" s="1745" t="s">
        <v>8</v>
      </c>
      <c r="L91" s="1764">
        <f t="shared" ref="L91:L95" si="34">IF(J91&lt;0,0,J91)</f>
        <v>604.98</v>
      </c>
      <c r="M91" s="2051"/>
      <c r="N91" s="1751" t="s">
        <v>10</v>
      </c>
      <c r="O91" s="2544">
        <f>XM.HN!C60</f>
        <v>0</v>
      </c>
      <c r="P91" s="1743">
        <f>(0.1*O91*36.5)/(0.5*10)/32%/100</f>
        <v>0</v>
      </c>
      <c r="Q91" s="2494">
        <f>($G$91-P91)*3361</f>
        <v>604.98</v>
      </c>
      <c r="R91" s="1773" t="s">
        <v>8</v>
      </c>
      <c r="S91" s="1764">
        <f t="shared" ref="S91:S93" si="35">IF(Q91&lt;0,0,Q91)</f>
        <v>604.98</v>
      </c>
      <c r="T91" s="2051"/>
      <c r="U91" s="1765" t="s">
        <v>10</v>
      </c>
      <c r="V91" s="2665">
        <f>XM.HN!D60</f>
        <v>0</v>
      </c>
      <c r="W91" s="1743">
        <f>(0.1*V91*36.5)/(0.5*10)/32%/100</f>
        <v>0</v>
      </c>
      <c r="X91" s="2494">
        <f>($G$91-W91)*3361</f>
        <v>604.98</v>
      </c>
      <c r="Y91" s="1773" t="s">
        <v>8</v>
      </c>
      <c r="Z91" s="1764">
        <f t="shared" ref="Z91:Z93" si="36">IF(X91&lt;0,0,X91)</f>
        <v>604.98</v>
      </c>
      <c r="AA91" s="2051"/>
      <c r="AB91" s="1765" t="s">
        <v>10</v>
      </c>
      <c r="AC91" s="2665">
        <f>XM.HN!E60</f>
        <v>0</v>
      </c>
      <c r="AD91" s="1743">
        <f>(0.1*AC91*36.5)/(0.5*10)/32%/100</f>
        <v>0</v>
      </c>
      <c r="AE91" s="2494">
        <f>($G$91-AD91)*3361</f>
        <v>604.98</v>
      </c>
      <c r="AF91" s="1773" t="s">
        <v>8</v>
      </c>
      <c r="AG91" s="1764">
        <f t="shared" ref="AG91:AG93" si="37">IF(AE91&lt;0,0,AE91)</f>
        <v>604.98</v>
      </c>
      <c r="AH91" s="2051"/>
      <c r="AI91" s="1765" t="s">
        <v>10</v>
      </c>
      <c r="AJ91" s="2663">
        <f>XM.HN!F60</f>
        <v>0</v>
      </c>
      <c r="AK91" s="1743">
        <f>(0.1*AJ91*36.5)/(0.5*10)/32%/100</f>
        <v>0</v>
      </c>
      <c r="AL91" s="2494">
        <f>($G$91-AK91)*3361</f>
        <v>604.98</v>
      </c>
      <c r="AM91" s="1773" t="s">
        <v>8</v>
      </c>
      <c r="AN91" s="1764">
        <f t="shared" ref="AN91:AN93" si="38">IF(AL91&lt;0,0,AL91)</f>
        <v>604.98</v>
      </c>
      <c r="AO91" s="2051"/>
      <c r="AP91" s="1765" t="s">
        <v>10</v>
      </c>
      <c r="AQ91" s="2663">
        <f>XM.HN!G60</f>
        <v>0</v>
      </c>
      <c r="AR91" s="1743">
        <f>(0.1*AQ91*36.5)/(0.5*10)/32%/100</f>
        <v>0</v>
      </c>
      <c r="AS91" s="2494">
        <f>($G$91-AR91)*3361</f>
        <v>604.98</v>
      </c>
      <c r="AT91" s="1745" t="s">
        <v>8</v>
      </c>
      <c r="AU91" s="1764">
        <f t="shared" ref="AU91:AU93" si="39">IF(AS91&lt;0,0,AS91)</f>
        <v>604.98</v>
      </c>
      <c r="AV91" s="2051"/>
      <c r="AW91" s="1747" t="s">
        <v>10</v>
      </c>
      <c r="AZ91" s="1754"/>
      <c r="BA91" s="265">
        <v>10.343076923076932</v>
      </c>
      <c r="BB91" s="265" t="s">
        <v>8</v>
      </c>
      <c r="BC91" s="265">
        <v>10.343076923076932</v>
      </c>
    </row>
    <row r="92" spans="1:55" ht="33.75" customHeight="1">
      <c r="A92" s="2278"/>
      <c r="B92" s="2280"/>
      <c r="C92" s="102" t="s">
        <v>1578</v>
      </c>
      <c r="D92" s="2279" t="s">
        <v>6</v>
      </c>
      <c r="E92" s="13" t="str">
        <f>'XM.GUI MAIL'!E92</f>
        <v>40~50</v>
      </c>
      <c r="F92" s="1903" t="str">
        <f>'XM.GUI MAIL'!F92</f>
        <v>(45±5)</v>
      </c>
      <c r="G92" s="1345">
        <f>'XM.GUI MAIL'!G92</f>
        <v>0.45</v>
      </c>
      <c r="H92" s="88">
        <f>XM.HN!B61</f>
        <v>2.02</v>
      </c>
      <c r="I92" s="1754">
        <f>(1*H92*36.5)/(0.5*10)/32%/100</f>
        <v>0.46081249999999996</v>
      </c>
      <c r="J92" s="2494">
        <f>($G$92-I92)*3361</f>
        <v>-36.340812499999821</v>
      </c>
      <c r="K92" s="1745" t="s">
        <v>8</v>
      </c>
      <c r="L92" s="1764">
        <f t="shared" si="34"/>
        <v>0</v>
      </c>
      <c r="M92" s="2051"/>
      <c r="N92" s="1751" t="s">
        <v>10</v>
      </c>
      <c r="O92" s="2544">
        <f>XM.HN!C61</f>
        <v>2</v>
      </c>
      <c r="P92" s="1754">
        <f>(1*O92*36.5)/(0.5*10)/32%/100</f>
        <v>0.45624999999999999</v>
      </c>
      <c r="Q92" s="2494">
        <f>($G$92-P92)*3361</f>
        <v>-21.006249999999927</v>
      </c>
      <c r="R92" s="1745" t="s">
        <v>8</v>
      </c>
      <c r="S92" s="1764">
        <f t="shared" si="35"/>
        <v>0</v>
      </c>
      <c r="T92" s="2051"/>
      <c r="U92" s="1751" t="s">
        <v>10</v>
      </c>
      <c r="V92" s="2665">
        <f>XM.HN!D61</f>
        <v>2.06</v>
      </c>
      <c r="W92" s="1754">
        <f>(1*V92*36.5)/(0.5*10)/32%/100</f>
        <v>0.46993750000000001</v>
      </c>
      <c r="X92" s="2494">
        <f>($G$92-W92)*3361</f>
        <v>-67.009937499999992</v>
      </c>
      <c r="Y92" s="1745" t="s">
        <v>8</v>
      </c>
      <c r="Z92" s="1764">
        <f t="shared" si="36"/>
        <v>0</v>
      </c>
      <c r="AA92" s="2051"/>
      <c r="AB92" s="1751" t="s">
        <v>10</v>
      </c>
      <c r="AC92" s="2665">
        <f>XM.HN!E61</f>
        <v>2.06</v>
      </c>
      <c r="AD92" s="1754">
        <v>0.46600000000000003</v>
      </c>
      <c r="AE92" s="2494">
        <f>($G$92-AD92)*3361</f>
        <v>-53.776000000000046</v>
      </c>
      <c r="AF92" s="1745" t="s">
        <v>8</v>
      </c>
      <c r="AG92" s="1764">
        <f t="shared" si="37"/>
        <v>0</v>
      </c>
      <c r="AH92" s="2051"/>
      <c r="AI92" s="1751" t="s">
        <v>10</v>
      </c>
      <c r="AJ92" s="2663">
        <f>XM.HN!F61</f>
        <v>2.04</v>
      </c>
      <c r="AK92" s="1754">
        <f>(1*AJ92*36.5)/(0.5*10)/32%/100</f>
        <v>0.46537500000000004</v>
      </c>
      <c r="AL92" s="2494">
        <f>($G$92-AK92)*3361</f>
        <v>-51.675375000000095</v>
      </c>
      <c r="AM92" s="1745" t="s">
        <v>8</v>
      </c>
      <c r="AN92" s="1764">
        <f t="shared" si="38"/>
        <v>0</v>
      </c>
      <c r="AO92" s="2051"/>
      <c r="AP92" s="1751" t="s">
        <v>10</v>
      </c>
      <c r="AQ92" s="2663">
        <f>XM.HN!G61</f>
        <v>2.02</v>
      </c>
      <c r="AR92" s="1754">
        <f>(1*AQ92*36.5)/(0.5*10)/32%/100</f>
        <v>0.46081249999999996</v>
      </c>
      <c r="AS92" s="2494">
        <f>($G$92-AR92)*3361</f>
        <v>-36.340812499999821</v>
      </c>
      <c r="AT92" s="1745" t="s">
        <v>8</v>
      </c>
      <c r="AU92" s="1764">
        <f t="shared" si="39"/>
        <v>0</v>
      </c>
      <c r="AV92" s="2051"/>
      <c r="AW92" s="1747" t="s">
        <v>10</v>
      </c>
      <c r="AZ92" s="1754"/>
    </row>
    <row r="93" spans="1:55" ht="33.75" customHeight="1">
      <c r="A93" s="276" t="s">
        <v>294</v>
      </c>
      <c r="B93" s="996" t="s">
        <v>127</v>
      </c>
      <c r="C93" s="102" t="s">
        <v>83</v>
      </c>
      <c r="D93" s="45" t="s">
        <v>6</v>
      </c>
      <c r="E93" s="13" t="str">
        <f>'XM.GUI MAIL'!E93</f>
        <v>40~50</v>
      </c>
      <c r="F93" s="1903" t="str">
        <f>'XM.GUI MAIL'!F93</f>
        <v>(45±5)</v>
      </c>
      <c r="G93" s="1345">
        <f>'XM.GUI MAIL'!G93</f>
        <v>0.45</v>
      </c>
      <c r="H93" s="88">
        <f>XM.HN!B62</f>
        <v>2.06</v>
      </c>
      <c r="I93" s="1754">
        <f>(1*H93*36.5)/(0.5*10)/32%/100</f>
        <v>0.46993750000000001</v>
      </c>
      <c r="J93" s="2494">
        <f>($G$93-I93)*10509</f>
        <v>-209.52318749999998</v>
      </c>
      <c r="K93" s="1745" t="s">
        <v>8</v>
      </c>
      <c r="L93" s="1764">
        <f t="shared" si="34"/>
        <v>0</v>
      </c>
      <c r="M93" s="2051"/>
      <c r="N93" s="1751" t="s">
        <v>10</v>
      </c>
      <c r="O93" s="2544">
        <f>XM.HN!C62</f>
        <v>2.06</v>
      </c>
      <c r="P93" s="1754">
        <f>(1*O93*36.5)/(0.5*10)/32%/100</f>
        <v>0.46993750000000001</v>
      </c>
      <c r="Q93" s="2494">
        <f>($G$93-P93)*10509</f>
        <v>-209.52318749999998</v>
      </c>
      <c r="R93" s="1745" t="s">
        <v>8</v>
      </c>
      <c r="S93" s="1764">
        <f t="shared" si="35"/>
        <v>0</v>
      </c>
      <c r="T93" s="2051"/>
      <c r="U93" s="1751" t="s">
        <v>10</v>
      </c>
      <c r="V93" s="2665">
        <f>XM.HN!D62</f>
        <v>2.1</v>
      </c>
      <c r="W93" s="1754">
        <f>(1*V93*36.5)/(0.5*10)/32%/100</f>
        <v>0.47906250000000006</v>
      </c>
      <c r="X93" s="2494">
        <f>($G$93-W93)*10509</f>
        <v>-305.41781250000048</v>
      </c>
      <c r="Y93" s="1745" t="s">
        <v>8</v>
      </c>
      <c r="Z93" s="1764">
        <f t="shared" si="36"/>
        <v>0</v>
      </c>
      <c r="AA93" s="2051"/>
      <c r="AB93" s="1751" t="s">
        <v>10</v>
      </c>
      <c r="AC93" s="2665">
        <f>XM.HN!E62</f>
        <v>2.1</v>
      </c>
      <c r="AD93" s="1754">
        <v>0.47299999999999998</v>
      </c>
      <c r="AE93" s="2494">
        <f>($G$93-AD93)*10509</f>
        <v>-241.70699999999962</v>
      </c>
      <c r="AF93" s="1745" t="s">
        <v>8</v>
      </c>
      <c r="AG93" s="1764">
        <f t="shared" si="37"/>
        <v>0</v>
      </c>
      <c r="AH93" s="2051"/>
      <c r="AI93" s="1751" t="s">
        <v>10</v>
      </c>
      <c r="AJ93" s="2663">
        <f>XM.HN!F62</f>
        <v>2.1</v>
      </c>
      <c r="AK93" s="1754">
        <v>0.47</v>
      </c>
      <c r="AL93" s="2494">
        <f>($G$93-AK93)*10509</f>
        <v>-210.17999999999961</v>
      </c>
      <c r="AM93" s="1745" t="s">
        <v>8</v>
      </c>
      <c r="AN93" s="1764">
        <f t="shared" si="38"/>
        <v>0</v>
      </c>
      <c r="AO93" s="2051"/>
      <c r="AP93" s="1751" t="s">
        <v>10</v>
      </c>
      <c r="AQ93" s="2663">
        <f>XM.HN!G62</f>
        <v>2.06</v>
      </c>
      <c r="AR93" s="1754">
        <v>0.46800000000000003</v>
      </c>
      <c r="AS93" s="2494">
        <f>($G$93-AR93)*10509</f>
        <v>-189.16200000000018</v>
      </c>
      <c r="AT93" s="1745" t="s">
        <v>8</v>
      </c>
      <c r="AU93" s="1764">
        <f t="shared" si="39"/>
        <v>0</v>
      </c>
      <c r="AV93" s="2051"/>
      <c r="AW93" s="1747" t="s">
        <v>10</v>
      </c>
      <c r="AZ93" s="1754"/>
      <c r="BA93" s="265">
        <v>0</v>
      </c>
      <c r="BB93" s="265" t="s">
        <v>8</v>
      </c>
      <c r="BC93" s="265">
        <v>0</v>
      </c>
    </row>
    <row r="94" spans="1:55" ht="33.75" customHeight="1">
      <c r="A94" s="276" t="s">
        <v>296</v>
      </c>
      <c r="B94" s="996" t="s">
        <v>127</v>
      </c>
      <c r="C94" s="102" t="s">
        <v>148</v>
      </c>
      <c r="D94" s="45" t="s">
        <v>6</v>
      </c>
      <c r="E94" s="13" t="str">
        <f>'XM.GUI MAIL'!E94</f>
        <v>(1±0.4)=0.6~1.4</v>
      </c>
      <c r="F94" s="1903" t="str">
        <f>'XM.GUI MAIL'!F94</f>
        <v>(1±0.4)</v>
      </c>
      <c r="G94" s="1345">
        <f>'XM.GUI MAIL'!G94</f>
        <v>0.01</v>
      </c>
      <c r="H94" s="88">
        <f>XM.HN!B63</f>
        <v>5.3</v>
      </c>
      <c r="I94" s="1774">
        <v>9.7999999999999997E-3</v>
      </c>
      <c r="J94" s="2494">
        <f>($G$94-I94)*2808/65%/1.51</f>
        <v>0.57218543046357762</v>
      </c>
      <c r="K94" s="1745" t="s">
        <v>8</v>
      </c>
      <c r="L94" s="1873">
        <f t="shared" si="34"/>
        <v>0.57218543046357762</v>
      </c>
      <c r="M94" s="2520"/>
      <c r="N94" s="1747" t="s">
        <v>10</v>
      </c>
      <c r="O94" s="2546">
        <f>XM.HN!C63</f>
        <v>5.2</v>
      </c>
      <c r="P94" s="1774">
        <v>0.01</v>
      </c>
      <c r="Q94" s="2494">
        <f>($G$94-P94)*2808/65%/1.51</f>
        <v>0</v>
      </c>
      <c r="R94" s="1745" t="s">
        <v>8</v>
      </c>
      <c r="S94" s="1873">
        <f t="shared" ref="S94:S95" si="40">IF(Q94&lt;0,0,Q94)</f>
        <v>0</v>
      </c>
      <c r="T94" s="2520"/>
      <c r="U94" s="1747" t="s">
        <v>10</v>
      </c>
      <c r="V94" s="2546">
        <f>XM.HN!D63</f>
        <v>6.1</v>
      </c>
      <c r="W94" s="1774">
        <v>1.0200000000000001E-2</v>
      </c>
      <c r="X94" s="2494">
        <f>($G$94-W94)*2808/65%/1.51</f>
        <v>-0.57218543046357762</v>
      </c>
      <c r="Y94" s="1745" t="s">
        <v>8</v>
      </c>
      <c r="Z94" s="1873">
        <f t="shared" ref="Z94:Z95" si="41">IF(X94&lt;0,0,X94)</f>
        <v>0</v>
      </c>
      <c r="AA94" s="2520"/>
      <c r="AB94" s="1747" t="s">
        <v>10</v>
      </c>
      <c r="AC94" s="2546">
        <f>XM.HN!E63</f>
        <v>6.2</v>
      </c>
      <c r="AD94" s="1774">
        <f>(AC94*0.126)/100</f>
        <v>7.8120000000000004E-3</v>
      </c>
      <c r="AE94" s="2494">
        <f>($G$94-AD94)*2808/65%/1.51</f>
        <v>6.2597086092715228</v>
      </c>
      <c r="AF94" s="1745" t="s">
        <v>8</v>
      </c>
      <c r="AG94" s="1873">
        <f t="shared" ref="AG94:AG95" si="42">IF(AE94&lt;0,0,AE94)</f>
        <v>6.2597086092715228</v>
      </c>
      <c r="AH94" s="2520"/>
      <c r="AI94" s="1747" t="s">
        <v>10</v>
      </c>
      <c r="AJ94" s="2543">
        <f>XM.HN!F63</f>
        <v>6.4</v>
      </c>
      <c r="AK94" s="1774">
        <v>0.01</v>
      </c>
      <c r="AL94" s="2494">
        <f>($G$94-AK94)*2808/65%/1.51</f>
        <v>0</v>
      </c>
      <c r="AM94" s="1745" t="s">
        <v>8</v>
      </c>
      <c r="AN94" s="1873">
        <f t="shared" ref="AN94:AN95" si="43">IF(AL94&lt;0,0,AL94)</f>
        <v>0</v>
      </c>
      <c r="AO94" s="2520"/>
      <c r="AP94" s="1747" t="s">
        <v>10</v>
      </c>
      <c r="AQ94" s="2543">
        <f>XM.HN!G63</f>
        <v>6.4</v>
      </c>
      <c r="AR94" s="1774">
        <f>(AQ94*0.126)/100</f>
        <v>8.064E-3</v>
      </c>
      <c r="AS94" s="1744">
        <f>($G$94-AR94)*2808/65%/1.51</f>
        <v>5.5387549668874172</v>
      </c>
      <c r="AT94" s="1745" t="s">
        <v>8</v>
      </c>
      <c r="AU94" s="1873">
        <f t="shared" ref="AU94:AU95" si="44">IF(AS94&lt;0,0,AS94)</f>
        <v>5.5387549668874172</v>
      </c>
      <c r="AV94" s="1873"/>
      <c r="AW94" s="1747" t="s">
        <v>10</v>
      </c>
      <c r="AZ94" s="1774"/>
      <c r="BA94" s="265">
        <v>-0.12729599999999902</v>
      </c>
      <c r="BB94" s="265" t="s">
        <v>8</v>
      </c>
      <c r="BC94" s="265">
        <v>0</v>
      </c>
    </row>
    <row r="95" spans="1:55" ht="33.75" customHeight="1">
      <c r="A95" s="275" t="s">
        <v>297</v>
      </c>
      <c r="B95" s="996" t="s">
        <v>127</v>
      </c>
      <c r="C95" s="292" t="s">
        <v>1568</v>
      </c>
      <c r="D95" s="45" t="s">
        <v>3</v>
      </c>
      <c r="E95" s="13" t="str">
        <f>'XM.GUI MAIL'!E95</f>
        <v>5~8</v>
      </c>
      <c r="F95" s="1903" t="str">
        <f>'XM.GUI MAIL'!F95</f>
        <v>(6±0.5)</v>
      </c>
      <c r="G95" s="1069">
        <f>'XM.GUI MAIL'!G95</f>
        <v>6</v>
      </c>
      <c r="H95" s="88">
        <f>XM.HN!B64</f>
        <v>5.45</v>
      </c>
      <c r="I95" s="2194">
        <f>H95*0.8+1.4</f>
        <v>5.76</v>
      </c>
      <c r="J95" s="2496">
        <f>($G$95-I95)*4042/95*0.88</f>
        <v>8.9860042105263229</v>
      </c>
      <c r="K95" s="1745" t="s">
        <v>8</v>
      </c>
      <c r="L95" s="1873">
        <f t="shared" si="34"/>
        <v>8.9860042105263229</v>
      </c>
      <c r="M95" s="2525"/>
      <c r="N95" s="1751" t="s">
        <v>10</v>
      </c>
      <c r="O95" s="2546">
        <f>XM.HN!C64</f>
        <v>5.4</v>
      </c>
      <c r="P95" s="2194">
        <v>5.9</v>
      </c>
      <c r="Q95" s="2496">
        <f>($G$95-P95)*4042/95*0.88</f>
        <v>3.7441684210526183</v>
      </c>
      <c r="R95" s="1745" t="s">
        <v>8</v>
      </c>
      <c r="S95" s="1873">
        <f t="shared" si="40"/>
        <v>3.7441684210526183</v>
      </c>
      <c r="T95" s="2525"/>
      <c r="U95" s="1747" t="s">
        <v>10</v>
      </c>
      <c r="V95" s="2546">
        <f>XM.HN!D64</f>
        <v>5.4</v>
      </c>
      <c r="W95" s="2194">
        <v>6.1</v>
      </c>
      <c r="X95" s="2496">
        <f>($G$95-W95)*4042/95*0.88</f>
        <v>-3.7441684210526183</v>
      </c>
      <c r="Y95" s="1745" t="s">
        <v>8</v>
      </c>
      <c r="Z95" s="1873">
        <f t="shared" si="41"/>
        <v>0</v>
      </c>
      <c r="AA95" s="2525"/>
      <c r="AB95" s="1751" t="s">
        <v>10</v>
      </c>
      <c r="AC95" s="2546">
        <f>XM.HN!E64</f>
        <v>5.45</v>
      </c>
      <c r="AD95" s="2194">
        <v>6</v>
      </c>
      <c r="AE95" s="2496">
        <f>($G$95-AD95)*4042/95*0.88</f>
        <v>0</v>
      </c>
      <c r="AF95" s="1745" t="s">
        <v>8</v>
      </c>
      <c r="AG95" s="1873">
        <f t="shared" si="42"/>
        <v>0</v>
      </c>
      <c r="AH95" s="2525"/>
      <c r="AI95" s="1751" t="s">
        <v>10</v>
      </c>
      <c r="AJ95" s="2546">
        <f>XM.HN!F64</f>
        <v>5.45</v>
      </c>
      <c r="AK95" s="2194">
        <f>AJ95*0.8+1.4</f>
        <v>5.76</v>
      </c>
      <c r="AL95" s="2606">
        <f>($G$95-AK95)*4042/95*0.88</f>
        <v>8.9860042105263229</v>
      </c>
      <c r="AM95" s="1735" t="s">
        <v>8</v>
      </c>
      <c r="AN95" s="1745">
        <f t="shared" si="43"/>
        <v>8.9860042105263229</v>
      </c>
      <c r="AO95" s="2520"/>
      <c r="AP95" s="2051" t="s">
        <v>10</v>
      </c>
      <c r="AQ95" s="2608">
        <f>XM.HN!G64</f>
        <v>5.4</v>
      </c>
      <c r="AR95" s="2194">
        <v>6.1</v>
      </c>
      <c r="AS95" s="1735">
        <f>($G$95-AR95)*4042/95*0.88</f>
        <v>-3.7441684210526183</v>
      </c>
      <c r="AT95" s="1745" t="s">
        <v>8</v>
      </c>
      <c r="AU95" s="1873">
        <f t="shared" si="44"/>
        <v>0</v>
      </c>
      <c r="AV95" s="1746"/>
      <c r="AW95" s="1747" t="s">
        <v>10</v>
      </c>
      <c r="AZ95" s="1755"/>
      <c r="BA95" s="265">
        <v>262.09178947368423</v>
      </c>
      <c r="BB95" s="265" t="s">
        <v>8</v>
      </c>
      <c r="BC95" s="265">
        <v>262.09178947368423</v>
      </c>
    </row>
    <row r="96" spans="1:55" ht="36.75" customHeight="1" thickBot="1">
      <c r="A96" s="275" t="s">
        <v>298</v>
      </c>
      <c r="B96" s="996" t="s">
        <v>127</v>
      </c>
      <c r="C96" s="2188" t="s">
        <v>120</v>
      </c>
      <c r="D96" s="45" t="s">
        <v>5</v>
      </c>
      <c r="E96" s="13" t="str">
        <f>'XM.GUI MAIL'!E96</f>
        <v>1.8~2.4</v>
      </c>
      <c r="F96" s="1903" t="str">
        <f>'XM.GUI MAIL'!F96</f>
        <v>(2.1±0.1)</v>
      </c>
      <c r="G96" s="1069">
        <f>'XM.GUI MAIL'!G96</f>
        <v>0</v>
      </c>
      <c r="H96" s="87"/>
      <c r="I96" s="1768">
        <f>XM.HN!B65</f>
        <v>2.2000000000000002</v>
      </c>
      <c r="J96" s="2496"/>
      <c r="K96" s="1745"/>
      <c r="L96" s="1746"/>
      <c r="M96" s="2525"/>
      <c r="N96" s="1751"/>
      <c r="O96" s="2546"/>
      <c r="P96" s="1768">
        <f>XM.HN!C65</f>
        <v>2.1800000000000002</v>
      </c>
      <c r="Q96" s="2496"/>
      <c r="R96" s="1745"/>
      <c r="S96" s="1746"/>
      <c r="T96" s="2525"/>
      <c r="U96" s="1747"/>
      <c r="V96" s="2546"/>
      <c r="W96" s="1768">
        <f>XM.HN!D65</f>
        <v>2.12</v>
      </c>
      <c r="X96" s="2496"/>
      <c r="Y96" s="1745"/>
      <c r="Z96" s="1746"/>
      <c r="AA96" s="2525"/>
      <c r="AB96" s="1751"/>
      <c r="AC96" s="2546"/>
      <c r="AD96" s="1768">
        <f>XM.HN!E65</f>
        <v>2</v>
      </c>
      <c r="AE96" s="2496"/>
      <c r="AF96" s="1745"/>
      <c r="AG96" s="1746"/>
      <c r="AH96" s="2525"/>
      <c r="AI96" s="1751"/>
      <c r="AJ96" s="2546"/>
      <c r="AK96" s="1768">
        <f>XM.HN!F65</f>
        <v>2.0299999999999998</v>
      </c>
      <c r="AL96" s="2607"/>
      <c r="AM96" s="1735"/>
      <c r="AN96" s="1745"/>
      <c r="AO96" s="2519"/>
      <c r="AP96" s="2051"/>
      <c r="AQ96" s="2608"/>
      <c r="AR96" s="1768">
        <f>XM.HN!G65</f>
        <v>2.02</v>
      </c>
      <c r="AS96" s="1740"/>
      <c r="AT96" s="1735"/>
      <c r="AU96" s="1736"/>
      <c r="AV96" s="1736"/>
      <c r="AW96" s="1778"/>
      <c r="AZ96" s="1756"/>
    </row>
    <row r="97" spans="1:55" ht="38.25" hidden="1" customHeight="1">
      <c r="A97" s="1350"/>
      <c r="B97" s="1351"/>
      <c r="C97" s="1348" t="s">
        <v>1284</v>
      </c>
      <c r="D97" s="273" t="s">
        <v>3</v>
      </c>
      <c r="E97" s="1378" t="str">
        <f>'XM.GUI MAIL'!E97</f>
        <v>8~16 %</v>
      </c>
      <c r="F97" s="1903" t="str">
        <f>'XM.GUI MAIL'!F97</f>
        <v>(12±2%)</v>
      </c>
      <c r="G97" s="1069">
        <f>'XM.GUI MAIL'!G97</f>
        <v>12</v>
      </c>
      <c r="H97" s="88">
        <f>XM.HN!B67</f>
        <v>0</v>
      </c>
      <c r="I97" s="1733">
        <f>H97*100/6.95/10</f>
        <v>0</v>
      </c>
      <c r="J97" s="2494">
        <f>($G$97-I97)*3360/100</f>
        <v>403.2</v>
      </c>
      <c r="K97" s="1745" t="s">
        <v>8</v>
      </c>
      <c r="L97" s="1746">
        <f t="shared" ref="L97" si="45">IF(J97&lt;0,0,J97)</f>
        <v>403.2</v>
      </c>
      <c r="M97" s="2519"/>
      <c r="N97" s="1879" t="s">
        <v>10</v>
      </c>
      <c r="O97" s="2561">
        <f>XM.HN!C67</f>
        <v>0</v>
      </c>
      <c r="P97" s="1733">
        <f>O97*100/6.95/10</f>
        <v>0</v>
      </c>
      <c r="Q97" s="2494">
        <f>($G$97-P97)*3360/100</f>
        <v>403.2</v>
      </c>
      <c r="R97" s="1745" t="s">
        <v>8</v>
      </c>
      <c r="S97" s="1746">
        <f t="shared" ref="S97" si="46">IF(Q97&lt;0,0,Q97)</f>
        <v>403.2</v>
      </c>
      <c r="T97" s="2519"/>
      <c r="U97" s="1747" t="s">
        <v>10</v>
      </c>
      <c r="V97" s="2581">
        <f>XM.HN!D67</f>
        <v>0</v>
      </c>
      <c r="W97" s="1733">
        <f>V97*100/6.95/10</f>
        <v>0</v>
      </c>
      <c r="X97" s="2494">
        <f>($G$97-W97)*3360/100</f>
        <v>403.2</v>
      </c>
      <c r="Y97" s="1745" t="s">
        <v>8</v>
      </c>
      <c r="Z97" s="1746">
        <f t="shared" ref="Z97" si="47">IF(X97&lt;0,0,X97)</f>
        <v>403.2</v>
      </c>
      <c r="AA97" s="2519"/>
      <c r="AB97" s="1747" t="s">
        <v>10</v>
      </c>
      <c r="AC97" s="2539">
        <f>XM.HN!E67</f>
        <v>0</v>
      </c>
      <c r="AD97" s="1733">
        <f>AC97*100/6.95/10</f>
        <v>0</v>
      </c>
      <c r="AE97" s="2494">
        <f>($G$97-AD97)*3360/100</f>
        <v>403.2</v>
      </c>
      <c r="AF97" s="1745" t="s">
        <v>8</v>
      </c>
      <c r="AG97" s="1746">
        <f t="shared" ref="AG97" si="48">IF(AE97&lt;0,0,AE97)</f>
        <v>403.2</v>
      </c>
      <c r="AH97" s="2519"/>
      <c r="AI97" s="1747" t="s">
        <v>10</v>
      </c>
      <c r="AJ97" s="2539">
        <f>XM.HN!F67</f>
        <v>0</v>
      </c>
      <c r="AK97" s="1733">
        <f>AJ97*100/6.95/10</f>
        <v>0</v>
      </c>
      <c r="AL97" s="2494">
        <f>($G$97-AK97)*3360/100</f>
        <v>403.2</v>
      </c>
      <c r="AM97" s="1745" t="s">
        <v>8</v>
      </c>
      <c r="AN97" s="1746">
        <f t="shared" ref="AN97" si="49">IF(AL97&lt;0,0,AL97)</f>
        <v>403.2</v>
      </c>
      <c r="AO97" s="2519"/>
      <c r="AP97" s="1747" t="s">
        <v>10</v>
      </c>
      <c r="AQ97" s="2539">
        <f>XM.HN!G67</f>
        <v>0</v>
      </c>
      <c r="AR97" s="1733">
        <f>AQ97*100/6.95/10</f>
        <v>0</v>
      </c>
      <c r="AS97" s="1744">
        <f>($G$97-AR97)*3360/100</f>
        <v>403.2</v>
      </c>
      <c r="AT97" s="1745" t="s">
        <v>8</v>
      </c>
      <c r="AU97" s="1746">
        <f t="shared" ref="AU97" si="50">IF(AS97&lt;0,0,AS97)</f>
        <v>403.2</v>
      </c>
      <c r="AV97" s="1746"/>
      <c r="AW97" s="1747" t="s">
        <v>10</v>
      </c>
      <c r="AZ97" s="1733"/>
      <c r="BA97" s="265">
        <v>-20.159999999999989</v>
      </c>
      <c r="BB97" s="265" t="s">
        <v>8</v>
      </c>
      <c r="BC97" s="265">
        <v>0</v>
      </c>
    </row>
    <row r="98" spans="1:55" ht="38.25" hidden="1" customHeight="1" thickBot="1">
      <c r="A98" s="1350"/>
      <c r="B98" s="1351"/>
      <c r="C98" s="2125" t="s">
        <v>120</v>
      </c>
      <c r="D98" s="1350" t="s">
        <v>5</v>
      </c>
      <c r="E98" s="2126" t="str">
        <f>'XM.GUI MAIL'!E98</f>
        <v>1.8~2.4</v>
      </c>
      <c r="F98" s="2127" t="str">
        <f>'XM.GUI MAIL'!F98</f>
        <v>(2.0 ±0.2 )</v>
      </c>
      <c r="G98" s="421">
        <f>'XM.GUI MAIL'!G98</f>
        <v>0</v>
      </c>
      <c r="H98" s="2128"/>
      <c r="I98" s="2129">
        <f>XM.HN!B68</f>
        <v>0</v>
      </c>
      <c r="J98" s="2508"/>
      <c r="K98" s="2131"/>
      <c r="L98" s="2131"/>
      <c r="M98" s="2528"/>
      <c r="N98" s="2130"/>
      <c r="O98" s="2562"/>
      <c r="P98" s="2129">
        <f>XM.HN!C68</f>
        <v>0</v>
      </c>
      <c r="Q98" s="2533"/>
      <c r="R98" s="2132"/>
      <c r="S98" s="2132"/>
      <c r="T98" s="2533"/>
      <c r="U98" s="2133"/>
      <c r="V98" s="2582"/>
      <c r="W98" s="2129">
        <f>XM.HN!D68</f>
        <v>0</v>
      </c>
      <c r="X98" s="2533"/>
      <c r="Y98" s="2132"/>
      <c r="Z98" s="2132"/>
      <c r="AA98" s="2533"/>
      <c r="AB98" s="2133"/>
      <c r="AC98" s="2589"/>
      <c r="AD98" s="2129">
        <f>XM.HN!E68</f>
        <v>0</v>
      </c>
      <c r="AE98" s="2533"/>
      <c r="AF98" s="2132"/>
      <c r="AG98" s="2132"/>
      <c r="AH98" s="2533"/>
      <c r="AI98" s="2133"/>
      <c r="AJ98" s="2589"/>
      <c r="AK98" s="2129">
        <f>XM.HN!F68</f>
        <v>0</v>
      </c>
      <c r="AL98" s="2533"/>
      <c r="AM98" s="2132"/>
      <c r="AN98" s="2132"/>
      <c r="AO98" s="2533"/>
      <c r="AP98" s="2133"/>
      <c r="AQ98" s="2589"/>
      <c r="AR98" s="2129">
        <f>XM.HN!G68</f>
        <v>0</v>
      </c>
      <c r="AS98" s="2130"/>
      <c r="AT98" s="2131"/>
      <c r="AU98" s="2131"/>
      <c r="AV98" s="2131"/>
      <c r="AW98" s="2134"/>
      <c r="AZ98" s="1738"/>
    </row>
    <row r="99" spans="1:55" ht="33" customHeight="1">
      <c r="A99" s="1316" t="s">
        <v>308</v>
      </c>
      <c r="B99" s="1317" t="s">
        <v>127</v>
      </c>
      <c r="C99" s="2138" t="s">
        <v>193</v>
      </c>
      <c r="D99" s="2139" t="s">
        <v>4</v>
      </c>
      <c r="E99" s="2140" t="str">
        <f>'XM.GUI MAIL'!E99</f>
        <v>5~6</v>
      </c>
      <c r="F99" s="2141" t="str">
        <f>'XM.GUI MAIL'!F99</f>
        <v>(5.5± 0.5)</v>
      </c>
      <c r="G99" s="2142">
        <f>'XM.GUI MAIL'!G99</f>
        <v>5.5</v>
      </c>
      <c r="H99" s="2143">
        <f>XM.HN!B71</f>
        <v>4.55</v>
      </c>
      <c r="I99" s="2124">
        <f>H99*1.3</f>
        <v>5.915</v>
      </c>
      <c r="J99" s="2509">
        <f>($G$99-I99)*8000/1000</f>
        <v>-3.3200000000000003</v>
      </c>
      <c r="K99" s="2145" t="s">
        <v>8</v>
      </c>
      <c r="L99" s="2146">
        <f t="shared" ref="L99:L100" si="51">IF(J99&lt;0,0,J99)</f>
        <v>0</v>
      </c>
      <c r="M99" s="2529"/>
      <c r="N99" s="2148" t="s">
        <v>9</v>
      </c>
      <c r="O99" s="2563">
        <f>XM.HN!C71</f>
        <v>4.55</v>
      </c>
      <c r="P99" s="2124">
        <f>O99*1.3</f>
        <v>5.915</v>
      </c>
      <c r="Q99" s="2509">
        <f>($G$99-P99)*8000/1000</f>
        <v>-3.3200000000000003</v>
      </c>
      <c r="R99" s="2145" t="s">
        <v>8</v>
      </c>
      <c r="S99" s="2146">
        <f t="shared" ref="S99:S100" si="52">IF(Q99&lt;0,0,Q99)</f>
        <v>0</v>
      </c>
      <c r="T99" s="2529"/>
      <c r="U99" s="2148" t="s">
        <v>9</v>
      </c>
      <c r="V99" s="2563">
        <f>XM.HN!D71</f>
        <v>4.5999999999999996</v>
      </c>
      <c r="W99" s="2124">
        <f>V99*1.3</f>
        <v>5.9799999999999995</v>
      </c>
      <c r="X99" s="2509">
        <f>($G$99-W99)*8000/1000</f>
        <v>-3.8399999999999963</v>
      </c>
      <c r="Y99" s="2145" t="s">
        <v>8</v>
      </c>
      <c r="Z99" s="2146">
        <f t="shared" ref="Z99:Z100" si="53">IF(X99&lt;0,0,X99)</f>
        <v>0</v>
      </c>
      <c r="AA99" s="2529"/>
      <c r="AB99" s="2148" t="s">
        <v>9</v>
      </c>
      <c r="AC99" s="2590">
        <f>XM.HN!E71</f>
        <v>4.4000000000000004</v>
      </c>
      <c r="AD99" s="2124">
        <f>AC99*1.3</f>
        <v>5.7200000000000006</v>
      </c>
      <c r="AE99" s="2509">
        <f>($G$99-AD99)*8000/1000</f>
        <v>-1.7600000000000049</v>
      </c>
      <c r="AF99" s="2145" t="s">
        <v>8</v>
      </c>
      <c r="AG99" s="2146">
        <f t="shared" ref="AG99:AG100" si="54">IF(AE99&lt;0,0,AE99)</f>
        <v>0</v>
      </c>
      <c r="AH99" s="2529"/>
      <c r="AI99" s="2148"/>
      <c r="AJ99" s="2602">
        <f>XM.HN!F71</f>
        <v>4.4000000000000004</v>
      </c>
      <c r="AK99" s="2124">
        <f>AJ99*1.3</f>
        <v>5.7200000000000006</v>
      </c>
      <c r="AL99" s="2509">
        <f>($G$99-AK99)*8000/1000</f>
        <v>-1.7600000000000049</v>
      </c>
      <c r="AM99" s="2145" t="s">
        <v>8</v>
      </c>
      <c r="AN99" s="2146">
        <f t="shared" ref="AN99:AN100" si="55">IF(AL99&lt;0,0,AL99)</f>
        <v>0</v>
      </c>
      <c r="AO99" s="2529"/>
      <c r="AP99" s="2148" t="s">
        <v>9</v>
      </c>
      <c r="AQ99" s="2609">
        <f>XM.HN!G71</f>
        <v>4.3</v>
      </c>
      <c r="AR99" s="2124">
        <f>AQ99*1.3</f>
        <v>5.59</v>
      </c>
      <c r="AS99" s="2144">
        <f>($G$99-AR99)*8000/1000</f>
        <v>-0.71999999999999886</v>
      </c>
      <c r="AT99" s="2145" t="s">
        <v>8</v>
      </c>
      <c r="AU99" s="2146">
        <f t="shared" ref="AU99:AU100" si="56">IF(AS99&lt;0,0,AS99)</f>
        <v>0</v>
      </c>
      <c r="AV99" s="2147"/>
      <c r="AW99" s="2149" t="s">
        <v>9</v>
      </c>
      <c r="AZ99" s="1733"/>
      <c r="BA99" s="265">
        <v>-4.8800000000000026</v>
      </c>
      <c r="BB99" s="265" t="s">
        <v>8</v>
      </c>
      <c r="BC99" s="265">
        <v>0</v>
      </c>
    </row>
    <row r="100" spans="1:55" ht="33" customHeight="1">
      <c r="A100" s="1316" t="s">
        <v>309</v>
      </c>
      <c r="B100" s="1317" t="s">
        <v>127</v>
      </c>
      <c r="C100" s="2150" t="s">
        <v>192</v>
      </c>
      <c r="D100" s="208" t="s">
        <v>4</v>
      </c>
      <c r="E100" s="13" t="str">
        <f>'XM.GUI MAIL'!E100</f>
        <v>130~140</v>
      </c>
      <c r="F100" s="1903" t="str">
        <f>'XM.GUI MAIL'!F100</f>
        <v>(135 ± 5)</v>
      </c>
      <c r="G100" s="1069">
        <f>'XM.GUI MAIL'!G100</f>
        <v>135</v>
      </c>
      <c r="H100" s="87">
        <f>XM.HN!B72</f>
        <v>17</v>
      </c>
      <c r="I100" s="1782">
        <f>H100*8</f>
        <v>136</v>
      </c>
      <c r="J100" s="2494">
        <f>($G$100-I100)*8000/1000</f>
        <v>-8</v>
      </c>
      <c r="K100" s="1745" t="s">
        <v>8</v>
      </c>
      <c r="L100" s="1746">
        <f t="shared" si="51"/>
        <v>0</v>
      </c>
      <c r="M100" s="2530"/>
      <c r="N100" s="1747" t="s">
        <v>9</v>
      </c>
      <c r="O100" s="2564">
        <f>XM.HN!C72</f>
        <v>16.7</v>
      </c>
      <c r="P100" s="1782">
        <f>O100*8</f>
        <v>133.6</v>
      </c>
      <c r="Q100" s="2494">
        <f>($G$100-P100)*8000/1000</f>
        <v>11.200000000000045</v>
      </c>
      <c r="R100" s="1745" t="s">
        <v>8</v>
      </c>
      <c r="S100" s="1746">
        <f t="shared" si="52"/>
        <v>11.200000000000045</v>
      </c>
      <c r="T100" s="2530"/>
      <c r="U100" s="1747" t="s">
        <v>9</v>
      </c>
      <c r="V100" s="2564">
        <f>XM.HN!D72</f>
        <v>16.600000000000001</v>
      </c>
      <c r="W100" s="1782">
        <v>135.80000000000001</v>
      </c>
      <c r="X100" s="2494">
        <f>($G$100-W100)*8000/1000</f>
        <v>-6.4000000000000909</v>
      </c>
      <c r="Y100" s="1745" t="s">
        <v>8</v>
      </c>
      <c r="Z100" s="1746">
        <f t="shared" si="53"/>
        <v>0</v>
      </c>
      <c r="AA100" s="2530"/>
      <c r="AB100" s="1747" t="s">
        <v>9</v>
      </c>
      <c r="AC100" s="2591">
        <f>XM.HN!E72</f>
        <v>16.899999999999999</v>
      </c>
      <c r="AD100" s="1782">
        <f>AC100*8</f>
        <v>135.19999999999999</v>
      </c>
      <c r="AE100" s="2494">
        <f>($G$100-AD100)*8000/1000</f>
        <v>-1.5999999999999091</v>
      </c>
      <c r="AF100" s="1745" t="s">
        <v>8</v>
      </c>
      <c r="AG100" s="1746">
        <f t="shared" si="54"/>
        <v>0</v>
      </c>
      <c r="AH100" s="2530"/>
      <c r="AI100" s="1747"/>
      <c r="AJ100" s="2546">
        <f>XM.HN!F72</f>
        <v>16.8</v>
      </c>
      <c r="AK100" s="1782">
        <f>AJ100*8</f>
        <v>134.4</v>
      </c>
      <c r="AL100" s="2494">
        <f>($G$100-AK100)*8000/1000</f>
        <v>4.7999999999999545</v>
      </c>
      <c r="AM100" s="1745" t="s">
        <v>8</v>
      </c>
      <c r="AN100" s="1746">
        <f t="shared" si="55"/>
        <v>4.7999999999999545</v>
      </c>
      <c r="AO100" s="2530"/>
      <c r="AP100" s="1747" t="s">
        <v>9</v>
      </c>
      <c r="AQ100" s="2547">
        <f>XM.HN!G72</f>
        <v>16.600000000000001</v>
      </c>
      <c r="AR100" s="1782">
        <v>135.19999999999999</v>
      </c>
      <c r="AS100" s="1758">
        <f>($G$100-AR100)*8000/1000</f>
        <v>-1.5999999999999091</v>
      </c>
      <c r="AT100" s="1745" t="s">
        <v>8</v>
      </c>
      <c r="AU100" s="1746">
        <f t="shared" si="56"/>
        <v>0</v>
      </c>
      <c r="AV100" s="1776"/>
      <c r="AW100" s="2151" t="s">
        <v>9</v>
      </c>
      <c r="AZ100" s="1880"/>
      <c r="BA100" s="265">
        <v>-17.600000000000023</v>
      </c>
      <c r="BB100" s="265" t="s">
        <v>8</v>
      </c>
      <c r="BC100" s="265">
        <v>0</v>
      </c>
    </row>
    <row r="101" spans="1:55" ht="36" customHeight="1">
      <c r="A101" s="1316" t="s">
        <v>310</v>
      </c>
      <c r="B101" s="1317" t="s">
        <v>127</v>
      </c>
      <c r="C101" s="2809" t="s">
        <v>194</v>
      </c>
      <c r="D101" s="208" t="s">
        <v>120</v>
      </c>
      <c r="E101" s="13" t="str">
        <f>'XM.GUI MAIL'!E101</f>
        <v>3.0-4.5</v>
      </c>
      <c r="F101" s="1903" t="str">
        <f>'XM.GUI MAIL'!F101</f>
        <v>(4.3±0.2)</v>
      </c>
      <c r="G101" s="1069">
        <f>'XM.GUI MAIL'!G101</f>
        <v>0</v>
      </c>
      <c r="H101" s="87"/>
      <c r="I101" s="1738">
        <v>4.25</v>
      </c>
      <c r="J101" s="2511"/>
      <c r="K101" s="2075"/>
      <c r="L101" s="2076"/>
      <c r="M101" s="2532"/>
      <c r="N101" s="2077"/>
      <c r="O101" s="2569"/>
      <c r="P101" s="1738">
        <v>4.2</v>
      </c>
      <c r="Q101" s="2511"/>
      <c r="R101" s="2075"/>
      <c r="S101" s="2076"/>
      <c r="T101" s="2532"/>
      <c r="U101" s="2077"/>
      <c r="V101" s="2569"/>
      <c r="W101" s="1738">
        <v>4.1900000000000004</v>
      </c>
      <c r="X101" s="2511"/>
      <c r="Y101" s="2075"/>
      <c r="Z101" s="2076"/>
      <c r="AA101" s="2532"/>
      <c r="AB101" s="2078"/>
      <c r="AC101" s="2596"/>
      <c r="AD101" s="1738">
        <v>4.2300000000000004</v>
      </c>
      <c r="AE101" s="2511"/>
      <c r="AF101" s="2075"/>
      <c r="AG101" s="2076"/>
      <c r="AH101" s="2532"/>
      <c r="AI101" s="2077"/>
      <c r="AJ101" s="2596"/>
      <c r="AK101" s="1738">
        <v>4.2</v>
      </c>
      <c r="AL101" s="2511"/>
      <c r="AM101" s="2075"/>
      <c r="AN101" s="2076"/>
      <c r="AO101" s="2532"/>
      <c r="AP101" s="2077"/>
      <c r="AQ101" s="2610"/>
      <c r="AR101" s="1738">
        <v>4.2300000000000004</v>
      </c>
      <c r="AS101" s="1759"/>
      <c r="AT101" s="1769"/>
      <c r="AU101" s="1736"/>
      <c r="AV101" s="1783"/>
      <c r="AW101" s="2810"/>
      <c r="AZ101" s="1738"/>
    </row>
    <row r="102" spans="1:55" ht="36" customHeight="1" thickBot="1">
      <c r="A102" s="2800"/>
      <c r="B102" s="2801"/>
      <c r="C102" s="2804" t="s">
        <v>1662</v>
      </c>
      <c r="D102" s="2805" t="s">
        <v>1663</v>
      </c>
      <c r="E102" s="2806">
        <f>'XM.GUI MAIL'!E103</f>
        <v>0</v>
      </c>
      <c r="F102" s="2807">
        <f>'XM.GUI MAIL'!F103</f>
        <v>0</v>
      </c>
      <c r="G102" s="2808">
        <f>'XM.GUI MAIL'!G103</f>
        <v>0</v>
      </c>
      <c r="H102" s="2152">
        <f>XM.HN!B74</f>
        <v>5</v>
      </c>
      <c r="I102" s="2811">
        <f>H102*5*0.1*36.6-4</f>
        <v>87.5</v>
      </c>
      <c r="J102" s="2812">
        <f>($G$100-I102)*3360/1000</f>
        <v>159.6</v>
      </c>
      <c r="K102" s="2813" t="s">
        <v>8</v>
      </c>
      <c r="L102" s="2814"/>
      <c r="M102" s="2815"/>
      <c r="N102" s="2816" t="s">
        <v>9</v>
      </c>
      <c r="O102" s="2817">
        <f>XM.HN!C74</f>
        <v>0</v>
      </c>
      <c r="P102" s="2811">
        <f>O102*5*0.1*36.6-4</f>
        <v>-4</v>
      </c>
      <c r="Q102" s="2812">
        <f>($G$100-P102)*3360/1000</f>
        <v>467.04</v>
      </c>
      <c r="R102" s="2813" t="s">
        <v>8</v>
      </c>
      <c r="S102" s="2814"/>
      <c r="T102" s="2815"/>
      <c r="U102" s="2816" t="s">
        <v>9</v>
      </c>
      <c r="V102" s="2817">
        <f>XM.HN!D74</f>
        <v>0</v>
      </c>
      <c r="W102" s="2811">
        <f>V102*5*0.1*36.6-4</f>
        <v>-4</v>
      </c>
      <c r="X102" s="2812">
        <f>($G$100-W102)*3360/1000</f>
        <v>467.04</v>
      </c>
      <c r="Y102" s="2813" t="s">
        <v>8</v>
      </c>
      <c r="Z102" s="2814"/>
      <c r="AA102" s="2815"/>
      <c r="AB102" s="2816" t="s">
        <v>9</v>
      </c>
      <c r="AC102" s="2818">
        <f>XM.HN!E74</f>
        <v>5</v>
      </c>
      <c r="AD102" s="2811">
        <f>AC102*5*0.1*36.6-4</f>
        <v>87.5</v>
      </c>
      <c r="AE102" s="2812">
        <f>($G$100-AD102)*3360/1000</f>
        <v>159.6</v>
      </c>
      <c r="AF102" s="2813" t="s">
        <v>8</v>
      </c>
      <c r="AG102" s="2814"/>
      <c r="AH102" s="2815"/>
      <c r="AI102" s="2816" t="s">
        <v>9</v>
      </c>
      <c r="AJ102" s="2819">
        <f>XM.HN!F74</f>
        <v>0</v>
      </c>
      <c r="AK102" s="2811">
        <f>AJ102*5*0.1*36.6-4</f>
        <v>-4</v>
      </c>
      <c r="AL102" s="2812">
        <f>($G$100-AK102)*3360/1000</f>
        <v>467.04</v>
      </c>
      <c r="AM102" s="2813" t="s">
        <v>8</v>
      </c>
      <c r="AN102" s="2814"/>
      <c r="AO102" s="2815"/>
      <c r="AP102" s="2816" t="s">
        <v>9</v>
      </c>
      <c r="AQ102" s="2820">
        <f>XM.HN!G74</f>
        <v>0</v>
      </c>
      <c r="AR102" s="2811">
        <f>AQ102*5*0.1*36.6-4</f>
        <v>-4</v>
      </c>
      <c r="AS102" s="2812">
        <f>($G$100-AR102)*3360/1000</f>
        <v>467.04</v>
      </c>
      <c r="AT102" s="2813" t="s">
        <v>8</v>
      </c>
      <c r="AU102" s="2814"/>
      <c r="AV102" s="2815"/>
      <c r="AW102" s="2816" t="s">
        <v>9</v>
      </c>
      <c r="AZ102" s="2802"/>
    </row>
    <row r="103" spans="1:55" s="206" customFormat="1" ht="54" customHeight="1">
      <c r="A103" s="285" t="s">
        <v>73</v>
      </c>
      <c r="B103" s="286"/>
      <c r="C103" s="1405"/>
      <c r="D103" s="1405"/>
      <c r="E103" s="2135"/>
      <c r="F103" s="2136"/>
      <c r="G103" s="2135"/>
      <c r="H103" s="1405"/>
      <c r="I103" s="1405"/>
      <c r="J103" s="2497"/>
      <c r="K103" s="1405"/>
      <c r="L103" s="1405"/>
      <c r="M103" s="2497"/>
      <c r="N103" s="1405"/>
      <c r="O103" s="2497"/>
      <c r="P103" s="287"/>
      <c r="Q103" s="2497"/>
      <c r="R103" s="1405"/>
      <c r="S103" s="1405"/>
      <c r="T103" s="2534"/>
      <c r="U103" s="287"/>
      <c r="V103" s="2497"/>
      <c r="W103" s="287"/>
      <c r="X103" s="2497"/>
      <c r="Y103" s="1405"/>
      <c r="Z103" s="1405"/>
      <c r="AA103" s="2497"/>
      <c r="AB103" s="1405"/>
      <c r="AC103" s="2497"/>
      <c r="AD103" s="1405"/>
      <c r="AE103" s="2497"/>
      <c r="AF103" s="1405"/>
      <c r="AG103" s="1405"/>
      <c r="AH103" s="2497"/>
      <c r="AI103" s="1405"/>
      <c r="AJ103" s="2598"/>
      <c r="AK103" s="287"/>
      <c r="AL103" s="2598"/>
      <c r="AM103" s="287"/>
      <c r="AN103" s="287"/>
      <c r="AO103" s="2598"/>
      <c r="AP103" s="287"/>
      <c r="AQ103" s="2598"/>
      <c r="AR103" s="287"/>
      <c r="AS103" s="287"/>
      <c r="AT103" s="287"/>
      <c r="AU103" s="287"/>
      <c r="AV103" s="287"/>
      <c r="AW103" s="2137"/>
      <c r="AX103" s="2089"/>
      <c r="AY103" s="2089"/>
      <c r="AZ103" s="265"/>
      <c r="BA103" s="89"/>
      <c r="BB103" s="89"/>
    </row>
    <row r="104" spans="1:55" ht="48" customHeight="1">
      <c r="A104" s="1002" t="s">
        <v>238</v>
      </c>
      <c r="B104" s="995" t="s">
        <v>317</v>
      </c>
      <c r="C104" s="278" t="s">
        <v>61</v>
      </c>
      <c r="D104" s="278" t="s">
        <v>63</v>
      </c>
      <c r="E104" s="1388" t="s">
        <v>1303</v>
      </c>
      <c r="F104" s="1895" t="s">
        <v>1302</v>
      </c>
      <c r="G104" s="1124"/>
      <c r="H104" s="90"/>
      <c r="I104" s="1727" t="s">
        <v>45</v>
      </c>
      <c r="J104" s="2498"/>
      <c r="K104" s="1728"/>
      <c r="L104" s="1728" t="s">
        <v>62</v>
      </c>
      <c r="M104" s="2498"/>
      <c r="N104" s="1780"/>
      <c r="O104" s="2558"/>
      <c r="P104" s="1727" t="s">
        <v>45</v>
      </c>
      <c r="Q104" s="2498"/>
      <c r="R104" s="1728"/>
      <c r="S104" s="1728" t="s">
        <v>62</v>
      </c>
      <c r="T104" s="2498"/>
      <c r="U104" s="2059"/>
      <c r="V104" s="2583"/>
      <c r="W104" s="1728" t="s">
        <v>45</v>
      </c>
      <c r="X104" s="2498"/>
      <c r="Y104" s="1728"/>
      <c r="Z104" s="1728" t="s">
        <v>62</v>
      </c>
      <c r="AA104" s="2537"/>
      <c r="AB104" s="2061"/>
      <c r="AC104" s="2592"/>
      <c r="AD104" s="1728" t="s">
        <v>45</v>
      </c>
      <c r="AE104" s="2498"/>
      <c r="AF104" s="1728"/>
      <c r="AG104" s="1780" t="s">
        <v>62</v>
      </c>
      <c r="AH104" s="2583"/>
      <c r="AI104" s="2059"/>
      <c r="AJ104" s="2592"/>
      <c r="AK104" s="1728" t="s">
        <v>45</v>
      </c>
      <c r="AL104" s="2498"/>
      <c r="AM104" s="1780"/>
      <c r="AN104" s="2060" t="s">
        <v>62</v>
      </c>
      <c r="AO104" s="2498"/>
      <c r="AP104" s="2059"/>
      <c r="AQ104" s="2592"/>
      <c r="AR104" s="1728" t="s">
        <v>45</v>
      </c>
      <c r="AS104" s="1780"/>
      <c r="AT104" s="1727"/>
      <c r="AU104" s="1728" t="s">
        <v>62</v>
      </c>
      <c r="AV104" s="1728"/>
      <c r="AW104" s="2059"/>
    </row>
    <row r="105" spans="1:55" ht="36.75" customHeight="1">
      <c r="A105" s="996" t="s">
        <v>299</v>
      </c>
      <c r="B105" s="996" t="s">
        <v>127</v>
      </c>
      <c r="C105" s="1352" t="s">
        <v>65</v>
      </c>
      <c r="D105" s="95" t="s">
        <v>105</v>
      </c>
      <c r="E105" s="98" t="str">
        <f>'XM.GUI MAIL'!E105</f>
        <v>50~70</v>
      </c>
      <c r="F105" s="1896" t="str">
        <f>'XM.GUI MAIL'!F105</f>
        <v>(60±5)</v>
      </c>
      <c r="G105" s="416"/>
      <c r="H105" s="96"/>
      <c r="I105" s="3033">
        <v>60</v>
      </c>
      <c r="J105" s="3026"/>
      <c r="K105" s="3026"/>
      <c r="L105" s="3026">
        <v>60</v>
      </c>
      <c r="M105" s="3026"/>
      <c r="N105" s="3034"/>
      <c r="O105" s="2550"/>
      <c r="P105" s="3033">
        <v>60</v>
      </c>
      <c r="Q105" s="3026"/>
      <c r="R105" s="3026"/>
      <c r="S105" s="3026">
        <v>60</v>
      </c>
      <c r="T105" s="3026"/>
      <c r="U105" s="3034"/>
      <c r="V105" s="2551"/>
      <c r="W105" s="3033">
        <v>60</v>
      </c>
      <c r="X105" s="3026"/>
      <c r="Y105" s="3026"/>
      <c r="Z105" s="3026">
        <v>60</v>
      </c>
      <c r="AA105" s="3026"/>
      <c r="AB105" s="3034"/>
      <c r="AC105" s="2551"/>
      <c r="AD105" s="3033">
        <v>61</v>
      </c>
      <c r="AE105" s="3026"/>
      <c r="AF105" s="3026"/>
      <c r="AG105" s="3026">
        <v>60</v>
      </c>
      <c r="AH105" s="3026"/>
      <c r="AI105" s="3027"/>
      <c r="AJ105" s="2601"/>
      <c r="AK105" s="3033">
        <v>61</v>
      </c>
      <c r="AL105" s="3026"/>
      <c r="AM105" s="3026"/>
      <c r="AN105" s="3026">
        <v>60</v>
      </c>
      <c r="AO105" s="3026"/>
      <c r="AP105" s="3027"/>
      <c r="AQ105" s="2601"/>
      <c r="AR105" s="3033">
        <v>61</v>
      </c>
      <c r="AS105" s="3026"/>
      <c r="AT105" s="3026"/>
      <c r="AU105" s="3026">
        <v>60</v>
      </c>
      <c r="AV105" s="3026"/>
      <c r="AW105" s="3027"/>
    </row>
    <row r="106" spans="1:55" ht="36.75" customHeight="1">
      <c r="A106" s="996" t="s">
        <v>300</v>
      </c>
      <c r="B106" s="996" t="s">
        <v>127</v>
      </c>
      <c r="C106" s="1352" t="s">
        <v>66</v>
      </c>
      <c r="D106" s="95" t="s">
        <v>105</v>
      </c>
      <c r="E106" s="98" t="str">
        <f>'XM.GUI MAIL'!E106</f>
        <v>50~70</v>
      </c>
      <c r="F106" s="1896" t="str">
        <f>'XM.GUI MAIL'!F106</f>
        <v>(60±5)</v>
      </c>
      <c r="G106" s="416"/>
      <c r="H106" s="96"/>
      <c r="I106" s="3033">
        <v>61</v>
      </c>
      <c r="J106" s="3026"/>
      <c r="K106" s="3026"/>
      <c r="L106" s="3026">
        <v>60</v>
      </c>
      <c r="M106" s="3026"/>
      <c r="N106" s="3034"/>
      <c r="O106" s="2550"/>
      <c r="P106" s="3033">
        <v>60</v>
      </c>
      <c r="Q106" s="3026"/>
      <c r="R106" s="3026"/>
      <c r="S106" s="3026">
        <v>60</v>
      </c>
      <c r="T106" s="3026"/>
      <c r="U106" s="3034"/>
      <c r="V106" s="2551"/>
      <c r="W106" s="3033">
        <v>62</v>
      </c>
      <c r="X106" s="3026"/>
      <c r="Y106" s="3026"/>
      <c r="Z106" s="3026">
        <v>61</v>
      </c>
      <c r="AA106" s="3026"/>
      <c r="AB106" s="3034"/>
      <c r="AC106" s="2551"/>
      <c r="AD106" s="3033">
        <v>61</v>
      </c>
      <c r="AE106" s="3026"/>
      <c r="AF106" s="3026"/>
      <c r="AG106" s="3026">
        <v>60</v>
      </c>
      <c r="AH106" s="3026"/>
      <c r="AI106" s="3027"/>
      <c r="AJ106" s="2601"/>
      <c r="AK106" s="3033">
        <v>61</v>
      </c>
      <c r="AL106" s="3026"/>
      <c r="AM106" s="3026"/>
      <c r="AN106" s="3026">
        <v>60</v>
      </c>
      <c r="AO106" s="3026"/>
      <c r="AP106" s="3027"/>
      <c r="AQ106" s="2601"/>
      <c r="AR106" s="3033">
        <v>62</v>
      </c>
      <c r="AS106" s="3026"/>
      <c r="AT106" s="3026"/>
      <c r="AU106" s="3026">
        <v>61</v>
      </c>
      <c r="AV106" s="3026"/>
      <c r="AW106" s="3027"/>
    </row>
    <row r="107" spans="1:55" ht="36.75" customHeight="1">
      <c r="A107" s="996" t="s">
        <v>301</v>
      </c>
      <c r="B107" s="996" t="s">
        <v>127</v>
      </c>
      <c r="C107" s="1352" t="s">
        <v>68</v>
      </c>
      <c r="D107" s="95" t="s">
        <v>105</v>
      </c>
      <c r="E107" s="98" t="str">
        <f>'XM.GUI MAIL'!E107</f>
        <v>50~70</v>
      </c>
      <c r="F107" s="1896" t="str">
        <f>'XM.GUI MAIL'!F107</f>
        <v>(60±5)</v>
      </c>
      <c r="G107" s="416"/>
      <c r="H107" s="96"/>
      <c r="I107" s="3033">
        <v>60</v>
      </c>
      <c r="J107" s="3026"/>
      <c r="K107" s="3026"/>
      <c r="L107" s="3026">
        <v>60</v>
      </c>
      <c r="M107" s="3026"/>
      <c r="N107" s="3034"/>
      <c r="O107" s="2550"/>
      <c r="P107" s="3033">
        <v>60</v>
      </c>
      <c r="Q107" s="3026"/>
      <c r="R107" s="3026"/>
      <c r="S107" s="3026">
        <v>61</v>
      </c>
      <c r="T107" s="3026"/>
      <c r="U107" s="3034"/>
      <c r="V107" s="2551"/>
      <c r="W107" s="3033">
        <v>60</v>
      </c>
      <c r="X107" s="3026"/>
      <c r="Y107" s="3026"/>
      <c r="Z107" s="3026">
        <v>60</v>
      </c>
      <c r="AA107" s="3026"/>
      <c r="AB107" s="3034"/>
      <c r="AC107" s="2551"/>
      <c r="AD107" s="3033">
        <v>61</v>
      </c>
      <c r="AE107" s="3026"/>
      <c r="AF107" s="3026"/>
      <c r="AG107" s="3026">
        <v>60</v>
      </c>
      <c r="AH107" s="3026"/>
      <c r="AI107" s="3027"/>
      <c r="AJ107" s="2601"/>
      <c r="AK107" s="3033">
        <v>61</v>
      </c>
      <c r="AL107" s="3026"/>
      <c r="AM107" s="3026"/>
      <c r="AN107" s="3026">
        <v>60</v>
      </c>
      <c r="AO107" s="3026"/>
      <c r="AP107" s="3027"/>
      <c r="AQ107" s="2601"/>
      <c r="AR107" s="3033">
        <v>61</v>
      </c>
      <c r="AS107" s="3026"/>
      <c r="AT107" s="3026"/>
      <c r="AU107" s="3026">
        <v>60</v>
      </c>
      <c r="AV107" s="3026"/>
      <c r="AW107" s="3027"/>
    </row>
    <row r="108" spans="1:55" ht="36.75" customHeight="1">
      <c r="A108" s="996" t="s">
        <v>302</v>
      </c>
      <c r="B108" s="996" t="s">
        <v>127</v>
      </c>
      <c r="C108" s="1352" t="s">
        <v>67</v>
      </c>
      <c r="D108" s="95" t="s">
        <v>105</v>
      </c>
      <c r="E108" s="98" t="str">
        <f>'XM.GUI MAIL'!E108</f>
        <v>50~70</v>
      </c>
      <c r="F108" s="1896" t="str">
        <f>'XM.GUI MAIL'!F108</f>
        <v>(60±5)</v>
      </c>
      <c r="G108" s="1342"/>
      <c r="H108" s="93"/>
      <c r="I108" s="3033">
        <v>61</v>
      </c>
      <c r="J108" s="3026"/>
      <c r="K108" s="3026"/>
      <c r="L108" s="3026">
        <v>60</v>
      </c>
      <c r="M108" s="3026"/>
      <c r="N108" s="3034"/>
      <c r="O108" s="2550"/>
      <c r="P108" s="3033">
        <v>59</v>
      </c>
      <c r="Q108" s="3026"/>
      <c r="R108" s="3026"/>
      <c r="S108" s="3026">
        <v>60</v>
      </c>
      <c r="T108" s="3026"/>
      <c r="U108" s="3034"/>
      <c r="V108" s="2551"/>
      <c r="W108" s="3033">
        <v>60</v>
      </c>
      <c r="X108" s="3026"/>
      <c r="Y108" s="3026"/>
      <c r="Z108" s="3026">
        <v>60</v>
      </c>
      <c r="AA108" s="3026"/>
      <c r="AB108" s="3034"/>
      <c r="AC108" s="2551"/>
      <c r="AD108" s="3033">
        <v>60</v>
      </c>
      <c r="AE108" s="3026"/>
      <c r="AF108" s="3026"/>
      <c r="AG108" s="3026">
        <v>59</v>
      </c>
      <c r="AH108" s="3026"/>
      <c r="AI108" s="3027"/>
      <c r="AJ108" s="2601"/>
      <c r="AK108" s="3033">
        <v>60</v>
      </c>
      <c r="AL108" s="3026"/>
      <c r="AM108" s="3026"/>
      <c r="AN108" s="3026">
        <v>59</v>
      </c>
      <c r="AO108" s="3026"/>
      <c r="AP108" s="3027"/>
      <c r="AQ108" s="2601"/>
      <c r="AR108" s="3033">
        <v>60</v>
      </c>
      <c r="AS108" s="3026"/>
      <c r="AT108" s="3026"/>
      <c r="AU108" s="3026">
        <v>59</v>
      </c>
      <c r="AV108" s="3026"/>
      <c r="AW108" s="3027"/>
    </row>
    <row r="109" spans="1:55" ht="36.75" customHeight="1">
      <c r="A109" s="996" t="s">
        <v>313</v>
      </c>
      <c r="B109" s="996" t="s">
        <v>127</v>
      </c>
      <c r="C109" s="1352" t="s">
        <v>69</v>
      </c>
      <c r="D109" s="95" t="s">
        <v>105</v>
      </c>
      <c r="E109" s="98" t="str">
        <f>'XM.GUI MAIL'!E109</f>
        <v>22~28</v>
      </c>
      <c r="F109" s="1904" t="str">
        <f>'XM.GUI MAIL'!F109</f>
        <v>(25±3)</v>
      </c>
      <c r="G109" s="416"/>
      <c r="H109" s="96"/>
      <c r="I109" s="3028">
        <v>26</v>
      </c>
      <c r="J109" s="3024"/>
      <c r="K109" s="3024"/>
      <c r="L109" s="3024">
        <v>26</v>
      </c>
      <c r="M109" s="3024"/>
      <c r="N109" s="3024"/>
      <c r="O109" s="3025"/>
      <c r="P109" s="3028">
        <v>26</v>
      </c>
      <c r="Q109" s="3024"/>
      <c r="R109" s="3024"/>
      <c r="S109" s="3024">
        <v>26</v>
      </c>
      <c r="T109" s="3024"/>
      <c r="U109" s="3024"/>
      <c r="V109" s="3025"/>
      <c r="W109" s="3028">
        <v>26</v>
      </c>
      <c r="X109" s="3024"/>
      <c r="Y109" s="3024"/>
      <c r="Z109" s="3024">
        <v>26</v>
      </c>
      <c r="AA109" s="3024"/>
      <c r="AB109" s="3024"/>
      <c r="AC109" s="3025"/>
      <c r="AD109" s="3028">
        <v>25</v>
      </c>
      <c r="AE109" s="3024"/>
      <c r="AF109" s="3024"/>
      <c r="AG109" s="3024">
        <v>24</v>
      </c>
      <c r="AH109" s="3024"/>
      <c r="AI109" s="3024"/>
      <c r="AJ109" s="3025"/>
      <c r="AK109" s="3028">
        <v>25</v>
      </c>
      <c r="AL109" s="3024"/>
      <c r="AM109" s="3024"/>
      <c r="AN109" s="3024">
        <v>24</v>
      </c>
      <c r="AO109" s="3024"/>
      <c r="AP109" s="3024"/>
      <c r="AQ109" s="3025"/>
      <c r="AR109" s="3028">
        <v>26</v>
      </c>
      <c r="AS109" s="3024"/>
      <c r="AT109" s="3024"/>
      <c r="AU109" s="3024">
        <v>25</v>
      </c>
      <c r="AV109" s="3024"/>
      <c r="AW109" s="3025"/>
    </row>
    <row r="110" spans="1:55" ht="36.75" customHeight="1">
      <c r="A110" s="275" t="s">
        <v>303</v>
      </c>
      <c r="B110" s="996" t="s">
        <v>127</v>
      </c>
      <c r="C110" s="1352" t="s">
        <v>1273</v>
      </c>
      <c r="D110" s="95" t="s">
        <v>105</v>
      </c>
      <c r="E110" s="98" t="str">
        <f>'XM.GUI MAIL'!E110</f>
        <v>30~40</v>
      </c>
      <c r="F110" s="1904" t="str">
        <f>'XM.GUI MAIL'!F110</f>
        <v>(34±3)</v>
      </c>
      <c r="G110" s="416"/>
      <c r="H110" s="96"/>
      <c r="I110" s="3033">
        <v>32</v>
      </c>
      <c r="J110" s="3026"/>
      <c r="K110" s="3034"/>
      <c r="L110" s="3026">
        <v>33</v>
      </c>
      <c r="M110" s="3026"/>
      <c r="N110" s="3027"/>
      <c r="O110" s="2549"/>
      <c r="P110" s="3033">
        <v>33</v>
      </c>
      <c r="Q110" s="3026"/>
      <c r="R110" s="3034"/>
      <c r="S110" s="3026">
        <v>33</v>
      </c>
      <c r="T110" s="3026"/>
      <c r="U110" s="3027"/>
      <c r="V110" s="2579"/>
      <c r="W110" s="3033">
        <v>33</v>
      </c>
      <c r="X110" s="3026"/>
      <c r="Y110" s="3034"/>
      <c r="Z110" s="3026">
        <v>32</v>
      </c>
      <c r="AA110" s="3026"/>
      <c r="AB110" s="3027"/>
      <c r="AC110" s="2593"/>
      <c r="AD110" s="3033">
        <v>34</v>
      </c>
      <c r="AE110" s="3026"/>
      <c r="AF110" s="3034"/>
      <c r="AG110" s="3026">
        <v>33</v>
      </c>
      <c r="AH110" s="3026"/>
      <c r="AI110" s="3027"/>
      <c r="AJ110" s="2579"/>
      <c r="AK110" s="3033">
        <v>34</v>
      </c>
      <c r="AL110" s="3026"/>
      <c r="AM110" s="3034"/>
      <c r="AN110" s="3026">
        <v>33</v>
      </c>
      <c r="AO110" s="3026"/>
      <c r="AP110" s="3027"/>
      <c r="AQ110" s="2579"/>
      <c r="AR110" s="3033">
        <v>34</v>
      </c>
      <c r="AS110" s="3026"/>
      <c r="AT110" s="3034"/>
      <c r="AU110" s="3026">
        <v>33</v>
      </c>
      <c r="AV110" s="3026"/>
      <c r="AW110" s="3027"/>
    </row>
    <row r="111" spans="1:55" ht="36.75" customHeight="1">
      <c r="A111" s="275" t="s">
        <v>304</v>
      </c>
      <c r="B111" s="996" t="s">
        <v>127</v>
      </c>
      <c r="C111" s="1352" t="s">
        <v>70</v>
      </c>
      <c r="D111" s="95" t="s">
        <v>105</v>
      </c>
      <c r="E111" s="98" t="str">
        <f>'XM.GUI MAIL'!E111</f>
        <v>55~65</v>
      </c>
      <c r="F111" s="1904" t="str">
        <f>'XM.GUI MAIL'!F111</f>
        <v>(60±5)</v>
      </c>
      <c r="G111" s="416"/>
      <c r="H111" s="96"/>
      <c r="I111" s="3033">
        <v>55</v>
      </c>
      <c r="J111" s="3026"/>
      <c r="K111" s="3026"/>
      <c r="L111" s="3032">
        <v>56</v>
      </c>
      <c r="M111" s="3026"/>
      <c r="N111" s="3026"/>
      <c r="O111" s="2565"/>
      <c r="P111" s="3033">
        <v>55</v>
      </c>
      <c r="Q111" s="3026"/>
      <c r="R111" s="3026"/>
      <c r="S111" s="3032">
        <v>56</v>
      </c>
      <c r="T111" s="3026"/>
      <c r="U111" s="3026"/>
      <c r="V111" s="2565"/>
      <c r="W111" s="3033">
        <v>56</v>
      </c>
      <c r="X111" s="3026"/>
      <c r="Y111" s="3026"/>
      <c r="Z111" s="3032">
        <v>55</v>
      </c>
      <c r="AA111" s="3026"/>
      <c r="AB111" s="3026"/>
      <c r="AC111" s="2565"/>
      <c r="AD111" s="3033">
        <v>57</v>
      </c>
      <c r="AE111" s="3026"/>
      <c r="AF111" s="3026"/>
      <c r="AG111" s="3032">
        <v>56</v>
      </c>
      <c r="AH111" s="3026"/>
      <c r="AI111" s="3026"/>
      <c r="AJ111" s="2565"/>
      <c r="AK111" s="3033">
        <v>58</v>
      </c>
      <c r="AL111" s="3026"/>
      <c r="AM111" s="3026"/>
      <c r="AN111" s="3032">
        <v>57</v>
      </c>
      <c r="AO111" s="3026"/>
      <c r="AP111" s="3026"/>
      <c r="AQ111" s="2565"/>
      <c r="AR111" s="3033">
        <v>59</v>
      </c>
      <c r="AS111" s="3026"/>
      <c r="AT111" s="3026"/>
      <c r="AU111" s="3026">
        <v>58</v>
      </c>
      <c r="AV111" s="3026"/>
      <c r="AW111" s="3027"/>
    </row>
    <row r="112" spans="1:55" ht="36.75" customHeight="1">
      <c r="A112" s="45" t="s">
        <v>305</v>
      </c>
      <c r="B112" s="996" t="s">
        <v>127</v>
      </c>
      <c r="C112" s="1352" t="s">
        <v>71</v>
      </c>
      <c r="D112" s="95" t="s">
        <v>105</v>
      </c>
      <c r="E112" s="98" t="str">
        <f>'XM.GUI MAIL'!E112</f>
        <v>80~100</v>
      </c>
      <c r="F112" s="1904" t="str">
        <f>'XM.GUI MAIL'!F112</f>
        <v>(90±5)</v>
      </c>
      <c r="G112" s="416"/>
      <c r="H112" s="96"/>
      <c r="I112" s="3051" t="s">
        <v>47</v>
      </c>
      <c r="J112" s="3052"/>
      <c r="K112" s="3053"/>
      <c r="L112" s="3026">
        <v>90</v>
      </c>
      <c r="M112" s="3026"/>
      <c r="N112" s="3027"/>
      <c r="O112" s="2559"/>
      <c r="P112" s="3029" t="s">
        <v>47</v>
      </c>
      <c r="Q112" s="3030"/>
      <c r="R112" s="3031"/>
      <c r="S112" s="3026">
        <v>91</v>
      </c>
      <c r="T112" s="3026"/>
      <c r="U112" s="3027"/>
      <c r="V112" s="2559"/>
      <c r="W112" s="3029" t="s">
        <v>47</v>
      </c>
      <c r="X112" s="3030"/>
      <c r="Y112" s="3031"/>
      <c r="Z112" s="3026">
        <v>90</v>
      </c>
      <c r="AA112" s="3026"/>
      <c r="AB112" s="3027"/>
      <c r="AC112" s="2559"/>
      <c r="AD112" s="3029" t="s">
        <v>47</v>
      </c>
      <c r="AE112" s="3030"/>
      <c r="AF112" s="3031"/>
      <c r="AG112" s="3026">
        <v>94</v>
      </c>
      <c r="AH112" s="3026"/>
      <c r="AI112" s="3027"/>
      <c r="AJ112" s="2559"/>
      <c r="AK112" s="3029" t="s">
        <v>47</v>
      </c>
      <c r="AL112" s="3030"/>
      <c r="AM112" s="3031"/>
      <c r="AN112" s="3026">
        <v>92</v>
      </c>
      <c r="AO112" s="3026"/>
      <c r="AP112" s="3027"/>
      <c r="AQ112" s="2559"/>
      <c r="AR112" s="3029" t="s">
        <v>47</v>
      </c>
      <c r="AS112" s="3030"/>
      <c r="AT112" s="3031"/>
      <c r="AU112" s="3026">
        <v>92</v>
      </c>
      <c r="AV112" s="3026"/>
      <c r="AW112" s="3027"/>
    </row>
    <row r="113" spans="1:54" ht="36.75" customHeight="1">
      <c r="A113" s="275"/>
      <c r="B113" s="1374"/>
      <c r="C113" s="1380" t="s">
        <v>1286</v>
      </c>
      <c r="D113" s="95" t="s">
        <v>105</v>
      </c>
      <c r="E113" s="98" t="str">
        <f>'XM.GUI MAIL'!E113</f>
        <v>40~60</v>
      </c>
      <c r="F113" s="1904" t="str">
        <f>'XM.GUI MAIL'!F113</f>
        <v>(50±10)</v>
      </c>
      <c r="G113" s="416"/>
      <c r="H113" s="96"/>
      <c r="I113" s="3035">
        <v>58</v>
      </c>
      <c r="J113" s="3022"/>
      <c r="K113" s="3036"/>
      <c r="L113" s="3022">
        <v>58</v>
      </c>
      <c r="M113" s="3022"/>
      <c r="N113" s="3023"/>
      <c r="O113" s="2550"/>
      <c r="P113" s="3035">
        <v>60</v>
      </c>
      <c r="Q113" s="3022"/>
      <c r="R113" s="3036"/>
      <c r="S113" s="3022">
        <v>59</v>
      </c>
      <c r="T113" s="3022"/>
      <c r="U113" s="3023"/>
      <c r="V113" s="2584"/>
      <c r="W113" s="3035">
        <v>59</v>
      </c>
      <c r="X113" s="3022"/>
      <c r="Y113" s="3036"/>
      <c r="Z113" s="3022">
        <v>60</v>
      </c>
      <c r="AA113" s="3022"/>
      <c r="AB113" s="3023"/>
      <c r="AC113" s="2594"/>
      <c r="AD113" s="3035">
        <v>60</v>
      </c>
      <c r="AE113" s="3022"/>
      <c r="AF113" s="3036"/>
      <c r="AG113" s="3022">
        <v>59</v>
      </c>
      <c r="AH113" s="3022"/>
      <c r="AI113" s="3023"/>
      <c r="AJ113" s="2584"/>
      <c r="AK113" s="3035">
        <v>59</v>
      </c>
      <c r="AL113" s="3022"/>
      <c r="AM113" s="3036"/>
      <c r="AN113" s="3022">
        <v>58</v>
      </c>
      <c r="AO113" s="3022"/>
      <c r="AP113" s="3023"/>
      <c r="AQ113" s="2584"/>
      <c r="AR113" s="3035">
        <v>59</v>
      </c>
      <c r="AS113" s="3022"/>
      <c r="AT113" s="3036"/>
      <c r="AU113" s="3022">
        <v>58</v>
      </c>
      <c r="AV113" s="3022"/>
      <c r="AW113" s="3023"/>
    </row>
    <row r="114" spans="1:54" ht="36.75" customHeight="1">
      <c r="A114" s="275"/>
      <c r="B114" s="2168"/>
      <c r="C114" s="2169" t="s">
        <v>1508</v>
      </c>
      <c r="D114" s="95" t="s">
        <v>105</v>
      </c>
      <c r="E114" s="98" t="str">
        <f>'XM.GUI MAIL'!E114</f>
        <v>50~70</v>
      </c>
      <c r="F114" s="1904" t="str">
        <f>'XM.GUI MAIL'!F114</f>
        <v>(60±10)</v>
      </c>
      <c r="G114" s="416"/>
      <c r="H114" s="96"/>
      <c r="I114" s="3035">
        <v>57</v>
      </c>
      <c r="J114" s="3022"/>
      <c r="K114" s="3036"/>
      <c r="L114" s="3022">
        <v>58</v>
      </c>
      <c r="M114" s="3022"/>
      <c r="N114" s="3023"/>
      <c r="O114" s="2550"/>
      <c r="P114" s="3035">
        <v>58</v>
      </c>
      <c r="Q114" s="3022"/>
      <c r="R114" s="3036"/>
      <c r="S114" s="3022">
        <v>58</v>
      </c>
      <c r="T114" s="3022"/>
      <c r="U114" s="3023"/>
      <c r="V114" s="2584"/>
      <c r="W114" s="3035">
        <v>59</v>
      </c>
      <c r="X114" s="3022"/>
      <c r="Y114" s="3036"/>
      <c r="Z114" s="3022">
        <v>59</v>
      </c>
      <c r="AA114" s="3022"/>
      <c r="AB114" s="3023"/>
      <c r="AC114" s="2594"/>
      <c r="AD114" s="3035">
        <v>58</v>
      </c>
      <c r="AE114" s="3022"/>
      <c r="AF114" s="3036"/>
      <c r="AG114" s="3022">
        <v>57</v>
      </c>
      <c r="AH114" s="3022"/>
      <c r="AI114" s="3023"/>
      <c r="AJ114" s="2584"/>
      <c r="AK114" s="3035">
        <v>60</v>
      </c>
      <c r="AL114" s="3022"/>
      <c r="AM114" s="3036"/>
      <c r="AN114" s="3022">
        <v>59</v>
      </c>
      <c r="AO114" s="3022"/>
      <c r="AP114" s="3023"/>
      <c r="AQ114" s="2584"/>
      <c r="AR114" s="3035">
        <v>55</v>
      </c>
      <c r="AS114" s="3022"/>
      <c r="AT114" s="3036"/>
      <c r="AU114" s="3022">
        <v>54</v>
      </c>
      <c r="AV114" s="3022"/>
      <c r="AW114" s="3023"/>
    </row>
    <row r="115" spans="1:54" ht="36.75" hidden="1" customHeight="1">
      <c r="A115" s="275"/>
      <c r="B115" s="996"/>
      <c r="C115" s="1352" t="s">
        <v>991</v>
      </c>
      <c r="D115" s="21" t="s">
        <v>105</v>
      </c>
      <c r="E115" s="98" t="str">
        <f>'XM.GUI MAIL'!E115</f>
        <v>20~30</v>
      </c>
      <c r="F115" s="1896" t="str">
        <f>'XM.GUI MAIL'!F115</f>
        <v>20~30</v>
      </c>
      <c r="G115" s="416"/>
      <c r="H115" s="96"/>
      <c r="I115" s="3035"/>
      <c r="J115" s="3022"/>
      <c r="K115" s="3036"/>
      <c r="L115" s="3022"/>
      <c r="M115" s="3022"/>
      <c r="N115" s="3022"/>
      <c r="O115" s="2566"/>
      <c r="P115" s="3035"/>
      <c r="Q115" s="3022"/>
      <c r="R115" s="3036"/>
      <c r="S115" s="3022"/>
      <c r="T115" s="3022"/>
      <c r="U115" s="3022"/>
      <c r="W115" s="3035"/>
      <c r="X115" s="3022"/>
      <c r="Y115" s="3036"/>
      <c r="Z115" s="3022"/>
      <c r="AA115" s="3022"/>
      <c r="AB115" s="3022"/>
      <c r="AC115" s="2595"/>
      <c r="AD115" s="3035"/>
      <c r="AE115" s="3022"/>
      <c r="AF115" s="3036"/>
      <c r="AG115" s="3022"/>
      <c r="AH115" s="3022"/>
      <c r="AI115" s="3022"/>
      <c r="AJ115" s="2566"/>
      <c r="AK115" s="3035"/>
      <c r="AL115" s="3022"/>
      <c r="AM115" s="3036"/>
      <c r="AN115" s="3022"/>
      <c r="AO115" s="3022"/>
      <c r="AP115" s="3022"/>
      <c r="AR115" s="3035"/>
      <c r="AS115" s="3022"/>
      <c r="AT115" s="3036"/>
      <c r="AU115" s="3022"/>
      <c r="AV115" s="3022"/>
      <c r="AW115" s="3023"/>
    </row>
    <row r="116" spans="1:54" ht="36.75" hidden="1" customHeight="1">
      <c r="A116" s="275"/>
      <c r="B116" s="1353"/>
      <c r="C116" s="1356" t="s">
        <v>1274</v>
      </c>
      <c r="D116" s="1379" t="s">
        <v>1285</v>
      </c>
      <c r="E116" s="1386" t="str">
        <f>'XM.GUI MAIL'!E116</f>
        <v>35~45</v>
      </c>
      <c r="F116" s="1896" t="str">
        <f>'XM.GUI MAIL'!F116</f>
        <v>(40±3)</v>
      </c>
      <c r="G116" s="416"/>
      <c r="H116" s="96"/>
      <c r="I116" s="3038"/>
      <c r="J116" s="3039"/>
      <c r="K116" s="3039"/>
      <c r="L116" s="3039"/>
      <c r="M116" s="3039"/>
      <c r="N116" s="3039"/>
      <c r="O116" s="3040"/>
      <c r="P116" s="3038"/>
      <c r="Q116" s="3039"/>
      <c r="R116" s="3039"/>
      <c r="S116" s="3039"/>
      <c r="T116" s="3039"/>
      <c r="U116" s="3039"/>
      <c r="V116" s="3040"/>
      <c r="W116" s="3038"/>
      <c r="X116" s="3039"/>
      <c r="Y116" s="3039"/>
      <c r="Z116" s="3039"/>
      <c r="AA116" s="3039"/>
      <c r="AB116" s="3039"/>
      <c r="AC116" s="3040"/>
      <c r="AD116" s="3038"/>
      <c r="AE116" s="3039"/>
      <c r="AF116" s="3039"/>
      <c r="AG116" s="3039"/>
      <c r="AH116" s="3039"/>
      <c r="AI116" s="3039"/>
      <c r="AJ116" s="3040"/>
      <c r="AK116" s="3038"/>
      <c r="AL116" s="3039"/>
      <c r="AM116" s="3039"/>
      <c r="AN116" s="3039"/>
      <c r="AO116" s="3039"/>
      <c r="AP116" s="3039"/>
      <c r="AQ116" s="3040"/>
      <c r="AR116" s="3038"/>
      <c r="AS116" s="3039"/>
      <c r="AT116" s="3039"/>
      <c r="AU116" s="3039"/>
      <c r="AV116" s="3039"/>
      <c r="AW116" s="3040"/>
    </row>
    <row r="117" spans="1:54" ht="42" customHeight="1">
      <c r="A117" s="1316" t="s">
        <v>311</v>
      </c>
      <c r="B117" s="1317" t="s">
        <v>127</v>
      </c>
      <c r="C117" s="1016" t="s">
        <v>117</v>
      </c>
      <c r="D117" s="1017" t="s">
        <v>105</v>
      </c>
      <c r="E117" s="1551" t="str">
        <f>'XM.GUI MAIL'!E117</f>
        <v>24~28</v>
      </c>
      <c r="F117" s="1896" t="str">
        <f>'XM.GUI MAIL'!F117</f>
        <v>(26±2)</v>
      </c>
      <c r="G117" s="416"/>
      <c r="H117" s="96"/>
      <c r="I117" s="3041">
        <v>25</v>
      </c>
      <c r="J117" s="3037"/>
      <c r="K117" s="3037"/>
      <c r="L117" s="3037">
        <v>24</v>
      </c>
      <c r="M117" s="3037"/>
      <c r="N117" s="3037"/>
      <c r="O117" s="2567"/>
      <c r="P117" s="3041">
        <v>26</v>
      </c>
      <c r="Q117" s="3037"/>
      <c r="R117" s="3037"/>
      <c r="S117" s="3037">
        <v>25</v>
      </c>
      <c r="T117" s="3037"/>
      <c r="U117" s="3037"/>
      <c r="V117" s="2585"/>
      <c r="W117" s="3041">
        <v>26</v>
      </c>
      <c r="X117" s="3037"/>
      <c r="Y117" s="3037"/>
      <c r="Z117" s="3037">
        <v>26</v>
      </c>
      <c r="AA117" s="3037"/>
      <c r="AB117" s="3037"/>
      <c r="AC117" s="2579"/>
      <c r="AD117" s="3041">
        <v>24</v>
      </c>
      <c r="AE117" s="3037"/>
      <c r="AF117" s="3037"/>
      <c r="AG117" s="3037">
        <v>23</v>
      </c>
      <c r="AH117" s="3037"/>
      <c r="AI117" s="3037"/>
      <c r="AJ117" s="2567"/>
      <c r="AK117" s="3041">
        <v>25</v>
      </c>
      <c r="AL117" s="3037"/>
      <c r="AM117" s="3037"/>
      <c r="AN117" s="3037">
        <v>24</v>
      </c>
      <c r="AO117" s="3037"/>
      <c r="AP117" s="3037"/>
      <c r="AQ117" s="2585"/>
      <c r="AR117" s="3041">
        <v>25</v>
      </c>
      <c r="AS117" s="3037"/>
      <c r="AT117" s="3037"/>
      <c r="AU117" s="3037">
        <v>24</v>
      </c>
      <c r="AV117" s="3037"/>
      <c r="AW117" s="3056"/>
    </row>
    <row r="118" spans="1:54" ht="42" customHeight="1">
      <c r="A118" s="1316" t="s">
        <v>312</v>
      </c>
      <c r="B118" s="1317" t="s">
        <v>127</v>
      </c>
      <c r="C118" s="1016" t="s">
        <v>121</v>
      </c>
      <c r="D118" s="1017" t="s">
        <v>105</v>
      </c>
      <c r="E118" s="1551" t="str">
        <f>'XM.GUI MAIL'!E118</f>
        <v>20~30</v>
      </c>
      <c r="F118" s="1904" t="str">
        <f>'XM.GUI MAIL'!F118</f>
        <v>(25±5)</v>
      </c>
      <c r="G118" s="416"/>
      <c r="H118" s="96"/>
      <c r="I118" s="3041">
        <v>29</v>
      </c>
      <c r="J118" s="3037"/>
      <c r="K118" s="3037"/>
      <c r="L118" s="3037">
        <v>29</v>
      </c>
      <c r="M118" s="3037"/>
      <c r="N118" s="3037"/>
      <c r="O118" s="2567"/>
      <c r="P118" s="3041">
        <v>30</v>
      </c>
      <c r="Q118" s="3037"/>
      <c r="R118" s="3037"/>
      <c r="S118" s="3037">
        <v>29</v>
      </c>
      <c r="T118" s="3037"/>
      <c r="U118" s="3037"/>
      <c r="V118" s="2585"/>
      <c r="W118" s="3041">
        <v>29</v>
      </c>
      <c r="X118" s="3037"/>
      <c r="Y118" s="3037"/>
      <c r="Z118" s="3037">
        <v>30</v>
      </c>
      <c r="AA118" s="3037"/>
      <c r="AB118" s="3037"/>
      <c r="AC118" s="2579"/>
      <c r="AD118" s="3041">
        <v>30</v>
      </c>
      <c r="AE118" s="3037"/>
      <c r="AF118" s="3037"/>
      <c r="AG118" s="3037">
        <v>29</v>
      </c>
      <c r="AH118" s="3037"/>
      <c r="AI118" s="3037"/>
      <c r="AJ118" s="2567"/>
      <c r="AK118" s="3041">
        <v>30</v>
      </c>
      <c r="AL118" s="3037"/>
      <c r="AM118" s="3037"/>
      <c r="AN118" s="3037">
        <v>29</v>
      </c>
      <c r="AO118" s="3037"/>
      <c r="AP118" s="3037"/>
      <c r="AQ118" s="2585"/>
      <c r="AR118" s="3041">
        <v>30</v>
      </c>
      <c r="AS118" s="3037"/>
      <c r="AT118" s="3037"/>
      <c r="AU118" s="3037">
        <v>29</v>
      </c>
      <c r="AV118" s="3037"/>
      <c r="AW118" s="3056"/>
    </row>
    <row r="119" spans="1:54" s="206" customFormat="1" ht="50.25" customHeight="1">
      <c r="A119" s="285" t="s">
        <v>75</v>
      </c>
      <c r="B119" s="286"/>
      <c r="C119" s="286"/>
      <c r="D119" s="286"/>
      <c r="E119" s="296"/>
      <c r="F119" s="283"/>
      <c r="G119" s="296"/>
      <c r="H119" s="286"/>
      <c r="I119" s="286"/>
      <c r="J119" s="2499"/>
      <c r="K119" s="286"/>
      <c r="L119" s="286"/>
      <c r="M119" s="2499"/>
      <c r="N119" s="286"/>
      <c r="O119" s="2499"/>
      <c r="P119" s="287"/>
      <c r="Q119" s="2497"/>
      <c r="R119" s="1405"/>
      <c r="S119" s="1405"/>
      <c r="T119" s="2534"/>
      <c r="U119" s="287"/>
      <c r="V119" s="2499"/>
      <c r="W119" s="287"/>
      <c r="X119" s="2499"/>
      <c r="Y119" s="286"/>
      <c r="Z119" s="286"/>
      <c r="AA119" s="2499"/>
      <c r="AB119" s="286"/>
      <c r="AC119" s="2499"/>
      <c r="AD119" s="286"/>
      <c r="AE119" s="2499"/>
      <c r="AF119" s="286"/>
      <c r="AG119" s="286"/>
      <c r="AH119" s="2499"/>
      <c r="AI119" s="286"/>
      <c r="AJ119" s="2598"/>
      <c r="AK119" s="287"/>
      <c r="AL119" s="2598"/>
      <c r="AM119" s="287"/>
      <c r="AN119" s="287"/>
      <c r="AO119" s="2598"/>
      <c r="AP119" s="287"/>
      <c r="AQ119" s="2598"/>
      <c r="AR119" s="287"/>
      <c r="AS119" s="287"/>
      <c r="AT119" s="287"/>
      <c r="AU119" s="287"/>
      <c r="AV119" s="287"/>
      <c r="AW119" s="1004"/>
      <c r="AX119" s="2089"/>
      <c r="AY119" s="2089"/>
      <c r="AZ119" s="89"/>
      <c r="BA119" s="89"/>
      <c r="BB119" s="89"/>
    </row>
    <row r="120" spans="1:54" ht="47.25" customHeight="1">
      <c r="A120" s="275" t="s">
        <v>306</v>
      </c>
      <c r="B120" s="996" t="s">
        <v>127</v>
      </c>
      <c r="C120" s="102" t="s">
        <v>1110</v>
      </c>
      <c r="D120" s="1002" t="s">
        <v>48</v>
      </c>
      <c r="E120" s="13" t="str">
        <f>'XM.GUI MAIL'!E120</f>
        <v>30~50 
(40)</v>
      </c>
      <c r="F120" s="1896" t="str">
        <f>'XM.GUI MAIL'!F120</f>
        <v>30~50 
(40)</v>
      </c>
      <c r="G120" s="1346"/>
      <c r="H120" s="99"/>
      <c r="I120" s="3046">
        <v>42</v>
      </c>
      <c r="J120" s="3047"/>
      <c r="K120" s="3047"/>
      <c r="L120" s="3047"/>
      <c r="M120" s="3047"/>
      <c r="N120" s="3048"/>
      <c r="O120" s="2549"/>
      <c r="P120" s="3046">
        <v>40</v>
      </c>
      <c r="Q120" s="3047"/>
      <c r="R120" s="3047"/>
      <c r="S120" s="3047"/>
      <c r="T120" s="3047"/>
      <c r="U120" s="3048"/>
      <c r="W120" s="3046">
        <v>42</v>
      </c>
      <c r="X120" s="3047"/>
      <c r="Y120" s="3047"/>
      <c r="Z120" s="3047"/>
      <c r="AA120" s="3047"/>
      <c r="AB120" s="3048"/>
      <c r="AD120" s="3046">
        <v>42</v>
      </c>
      <c r="AE120" s="3047"/>
      <c r="AF120" s="3047"/>
      <c r="AG120" s="3047"/>
      <c r="AH120" s="3047"/>
      <c r="AI120" s="3048"/>
      <c r="AK120" s="3046">
        <v>43</v>
      </c>
      <c r="AL120" s="3047"/>
      <c r="AM120" s="3047"/>
      <c r="AN120" s="3047"/>
      <c r="AO120" s="3047"/>
      <c r="AP120" s="3048"/>
      <c r="AR120" s="3046">
        <v>42</v>
      </c>
      <c r="AS120" s="3047"/>
      <c r="AT120" s="3047"/>
      <c r="AU120" s="3047"/>
      <c r="AV120" s="3047"/>
      <c r="AW120" s="3048"/>
    </row>
    <row r="121" spans="1:54" ht="47.25" customHeight="1">
      <c r="A121" s="45" t="s">
        <v>307</v>
      </c>
      <c r="B121" s="996" t="s">
        <v>127</v>
      </c>
      <c r="C121" s="102" t="s">
        <v>1111</v>
      </c>
      <c r="D121" s="1002" t="s">
        <v>48</v>
      </c>
      <c r="E121" s="13" t="str">
        <f>'XM.GUI MAIL'!E121</f>
        <v>160~220
(180)</v>
      </c>
      <c r="F121" s="1904" t="str">
        <f>'XM.GUI MAIL'!F121</f>
        <v>160~220
(180)</v>
      </c>
      <c r="G121" s="1346"/>
      <c r="H121" s="99"/>
      <c r="I121" s="3046">
        <v>170</v>
      </c>
      <c r="J121" s="3047"/>
      <c r="K121" s="3047"/>
      <c r="L121" s="3047"/>
      <c r="M121" s="3047"/>
      <c r="N121" s="3048"/>
      <c r="O121" s="2552"/>
      <c r="P121" s="3046">
        <v>172</v>
      </c>
      <c r="Q121" s="3047"/>
      <c r="R121" s="3047"/>
      <c r="S121" s="3047"/>
      <c r="T121" s="3047"/>
      <c r="U121" s="3048"/>
      <c r="V121" s="2574"/>
      <c r="W121" s="3046">
        <v>172</v>
      </c>
      <c r="X121" s="3047"/>
      <c r="Y121" s="3047"/>
      <c r="Z121" s="3047"/>
      <c r="AA121" s="3047"/>
      <c r="AB121" s="3048"/>
      <c r="AC121" s="2552"/>
      <c r="AD121" s="3046">
        <v>170</v>
      </c>
      <c r="AE121" s="3047"/>
      <c r="AF121" s="3047"/>
      <c r="AG121" s="3047"/>
      <c r="AH121" s="3047"/>
      <c r="AI121" s="3048"/>
      <c r="AJ121" s="2600"/>
      <c r="AK121" s="3046">
        <v>170</v>
      </c>
      <c r="AL121" s="3047"/>
      <c r="AM121" s="3047"/>
      <c r="AN121" s="3047"/>
      <c r="AO121" s="3047"/>
      <c r="AP121" s="3048"/>
      <c r="AQ121" s="2600"/>
      <c r="AR121" s="3046">
        <v>175</v>
      </c>
      <c r="AS121" s="3047"/>
      <c r="AT121" s="3047"/>
      <c r="AU121" s="3047"/>
      <c r="AV121" s="3047"/>
      <c r="AW121" s="3048"/>
    </row>
    <row r="122" spans="1:54" ht="22.5" customHeight="1"/>
    <row r="123" spans="1:54" ht="32.25" customHeight="1">
      <c r="C123" s="1905" t="str">
        <f>MENU!$AC$9</f>
        <v>Thứ 4,</v>
      </c>
      <c r="D123" s="1833" t="str">
        <f>MENU!$AD$9</f>
        <v>2024/05/22</v>
      </c>
      <c r="E123" s="1833"/>
    </row>
    <row r="124" spans="1:54" ht="35.25" customHeight="1">
      <c r="C124" s="3042" t="s">
        <v>316</v>
      </c>
      <c r="D124" s="3043" t="s">
        <v>124</v>
      </c>
      <c r="E124" s="3044" t="s">
        <v>1310</v>
      </c>
      <c r="F124" s="3049" t="s">
        <v>1302</v>
      </c>
      <c r="I124" s="269" t="s">
        <v>1469</v>
      </c>
      <c r="J124" s="2487"/>
      <c r="K124" s="269"/>
      <c r="L124" s="269"/>
      <c r="M124" s="2487"/>
      <c r="N124" s="269"/>
      <c r="O124" s="2538"/>
      <c r="P124" s="282" t="s">
        <v>1459</v>
      </c>
      <c r="Q124" s="2487"/>
      <c r="R124" s="269"/>
      <c r="S124" s="269"/>
      <c r="T124" s="2487"/>
      <c r="U124" s="270"/>
      <c r="V124" s="2487"/>
      <c r="W124" s="269" t="s">
        <v>1460</v>
      </c>
      <c r="X124" s="2487"/>
      <c r="Y124" s="269"/>
      <c r="Z124" s="269"/>
      <c r="AA124" s="2487"/>
      <c r="AB124" s="269"/>
      <c r="AC124" s="2538"/>
      <c r="AD124" s="282" t="s">
        <v>1461</v>
      </c>
      <c r="AE124" s="2487"/>
      <c r="AF124" s="269"/>
      <c r="AG124" s="269"/>
      <c r="AH124" s="2487"/>
      <c r="AI124" s="270"/>
      <c r="AJ124" s="2487"/>
      <c r="AK124" s="269" t="s">
        <v>1462</v>
      </c>
      <c r="AL124" s="2487"/>
      <c r="AM124" s="269"/>
      <c r="AN124" s="269"/>
      <c r="AO124" s="2487"/>
      <c r="AP124" s="269"/>
      <c r="AQ124" s="2487"/>
      <c r="AR124" s="282" t="s">
        <v>1463</v>
      </c>
      <c r="AS124" s="269"/>
      <c r="AT124" s="269"/>
      <c r="AU124" s="270"/>
      <c r="AV124" s="270"/>
      <c r="AW124" s="1003"/>
    </row>
    <row r="125" spans="1:54" ht="24" customHeight="1">
      <c r="C125" s="3042"/>
      <c r="D125" s="3043"/>
      <c r="E125" s="3045"/>
      <c r="F125" s="3050"/>
      <c r="I125" s="1915" t="s">
        <v>129</v>
      </c>
      <c r="J125" s="2510" t="s">
        <v>1</v>
      </c>
      <c r="K125" s="1917" t="s">
        <v>1</v>
      </c>
      <c r="L125" s="1917"/>
      <c r="M125" s="2531"/>
      <c r="N125" s="1918"/>
      <c r="O125" s="2568"/>
      <c r="P125" s="1915" t="s">
        <v>129</v>
      </c>
      <c r="Q125" s="2510" t="s">
        <v>1</v>
      </c>
      <c r="R125" s="1917" t="s">
        <v>1</v>
      </c>
      <c r="S125" s="1917"/>
      <c r="T125" s="2531"/>
      <c r="U125" s="1918"/>
      <c r="V125" s="2586"/>
      <c r="W125" s="1915" t="s">
        <v>129</v>
      </c>
      <c r="X125" s="2510" t="s">
        <v>1</v>
      </c>
      <c r="Y125" s="1917" t="s">
        <v>1</v>
      </c>
      <c r="Z125" s="1917"/>
      <c r="AA125" s="2531"/>
      <c r="AB125" s="1918"/>
      <c r="AC125" s="2568"/>
      <c r="AD125" s="1915" t="s">
        <v>129</v>
      </c>
      <c r="AE125" s="2510" t="s">
        <v>1</v>
      </c>
      <c r="AF125" s="1917" t="s">
        <v>1</v>
      </c>
      <c r="AG125" s="1917"/>
      <c r="AH125" s="2531"/>
      <c r="AI125" s="1918"/>
      <c r="AJ125" s="2603" t="s">
        <v>129</v>
      </c>
      <c r="AK125" s="1915" t="s">
        <v>129</v>
      </c>
      <c r="AL125" s="2510" t="s">
        <v>1</v>
      </c>
      <c r="AM125" s="1917" t="s">
        <v>1</v>
      </c>
      <c r="AN125" s="1917"/>
      <c r="AO125" s="2531"/>
      <c r="AP125" s="1918"/>
      <c r="AQ125" s="2568"/>
      <c r="AR125" s="1915" t="s">
        <v>129</v>
      </c>
      <c r="AS125" s="1916" t="s">
        <v>1</v>
      </c>
      <c r="AT125" s="1917" t="s">
        <v>1</v>
      </c>
      <c r="AU125" s="1917"/>
      <c r="AV125" s="1917"/>
      <c r="AW125" s="1918"/>
    </row>
    <row r="126" spans="1:54" ht="37.5" customHeight="1">
      <c r="C126" s="209" t="s">
        <v>193</v>
      </c>
      <c r="D126" s="208" t="s">
        <v>4</v>
      </c>
      <c r="E126" s="1342" t="str">
        <f>E99</f>
        <v>5~6</v>
      </c>
      <c r="F126" s="1896" t="str">
        <f>F99</f>
        <v>(5.5± 0.5)</v>
      </c>
      <c r="I126" s="1733">
        <f>H99*1.3</f>
        <v>5.915</v>
      </c>
      <c r="J126" s="2494">
        <f>($G$99-I126)*8000/1000</f>
        <v>-3.3200000000000003</v>
      </c>
      <c r="K126" s="1745" t="s">
        <v>8</v>
      </c>
      <c r="L126" s="1746">
        <f>L99</f>
        <v>0</v>
      </c>
      <c r="M126" s="2530"/>
      <c r="N126" s="1747" t="s">
        <v>9</v>
      </c>
      <c r="O126" s="2564"/>
      <c r="P126" s="1733">
        <f>O99*1.3</f>
        <v>5.915</v>
      </c>
      <c r="Q126" s="2494">
        <f>($G$99-P126)*8000/1000</f>
        <v>-3.3200000000000003</v>
      </c>
      <c r="R126" s="1745" t="s">
        <v>8</v>
      </c>
      <c r="S126" s="1746">
        <f>S99</f>
        <v>0</v>
      </c>
      <c r="T126" s="2530"/>
      <c r="U126" s="1747" t="s">
        <v>9</v>
      </c>
      <c r="V126" s="2564" t="e">
        <f>XM.HN!#REF!</f>
        <v>#REF!</v>
      </c>
      <c r="W126" s="1733">
        <f>V99*1.3</f>
        <v>5.9799999999999995</v>
      </c>
      <c r="X126" s="2494">
        <f>($G$99-W126)*8000/1000</f>
        <v>-3.8399999999999963</v>
      </c>
      <c r="Y126" s="1745" t="s">
        <v>8</v>
      </c>
      <c r="Z126" s="1746">
        <f>Z99</f>
        <v>0</v>
      </c>
      <c r="AA126" s="2530"/>
      <c r="AB126" s="1747" t="s">
        <v>9</v>
      </c>
      <c r="AC126" s="2591"/>
      <c r="AD126" s="1733">
        <f>AC99*1.3</f>
        <v>5.7200000000000006</v>
      </c>
      <c r="AE126" s="2494">
        <f>($G$99-AD126)*8000/1000</f>
        <v>-1.7600000000000049</v>
      </c>
      <c r="AF126" s="1745" t="s">
        <v>8</v>
      </c>
      <c r="AG126" s="1746">
        <f>AG99</f>
        <v>0</v>
      </c>
      <c r="AH126" s="2530"/>
      <c r="AI126" s="1747" t="s">
        <v>9</v>
      </c>
      <c r="AJ126" s="2546" t="e">
        <f>AP99*1.3</f>
        <v>#VALUE!</v>
      </c>
      <c r="AK126" s="1733">
        <f>AJ99*1.3</f>
        <v>5.7200000000000006</v>
      </c>
      <c r="AL126" s="2494">
        <f>($G$99-AK126)*8000/1000</f>
        <v>-1.7600000000000049</v>
      </c>
      <c r="AM126" s="1745" t="s">
        <v>8</v>
      </c>
      <c r="AN126" s="1746">
        <f>AN99</f>
        <v>0</v>
      </c>
      <c r="AO126" s="2530"/>
      <c r="AP126" s="1747" t="s">
        <v>9</v>
      </c>
      <c r="AQ126" s="2547"/>
      <c r="AR126" s="1733">
        <f>AQ99*1.3</f>
        <v>5.59</v>
      </c>
      <c r="AS126" s="1758">
        <f>($G$99-AR126)*8000/1000</f>
        <v>-0.71999999999999886</v>
      </c>
      <c r="AT126" s="1745" t="s">
        <v>8</v>
      </c>
      <c r="AU126" s="1746">
        <f>AU99</f>
        <v>0</v>
      </c>
      <c r="AV126" s="1776"/>
      <c r="AW126" s="1747" t="s">
        <v>9</v>
      </c>
    </row>
    <row r="127" spans="1:54" ht="37.5" customHeight="1">
      <c r="C127" s="208" t="s">
        <v>1500</v>
      </c>
      <c r="D127" s="208" t="s">
        <v>4</v>
      </c>
      <c r="E127" s="48" t="str">
        <f>E100</f>
        <v>130~140</v>
      </c>
      <c r="F127" s="1896" t="str">
        <f>F100</f>
        <v>(135 ± 5)</v>
      </c>
      <c r="I127" s="1782">
        <f>H100*8</f>
        <v>136</v>
      </c>
      <c r="J127" s="2494">
        <f>($G$100-I127)*8000/1000</f>
        <v>-8</v>
      </c>
      <c r="K127" s="1745" t="s">
        <v>8</v>
      </c>
      <c r="L127" s="1746">
        <f>L100</f>
        <v>0</v>
      </c>
      <c r="M127" s="2530"/>
      <c r="N127" s="1747" t="s">
        <v>9</v>
      </c>
      <c r="O127" s="2564"/>
      <c r="P127" s="1782">
        <f>O100*8</f>
        <v>133.6</v>
      </c>
      <c r="Q127" s="2494"/>
      <c r="R127" s="1745" t="s">
        <v>8</v>
      </c>
      <c r="S127" s="1746">
        <f>S100</f>
        <v>11.200000000000045</v>
      </c>
      <c r="T127" s="2530"/>
      <c r="U127" s="1747" t="s">
        <v>9</v>
      </c>
      <c r="V127" s="2564"/>
      <c r="W127" s="1782">
        <f>V100*8</f>
        <v>132.80000000000001</v>
      </c>
      <c r="X127" s="2494"/>
      <c r="Y127" s="1745" t="s">
        <v>8</v>
      </c>
      <c r="Z127" s="1746">
        <f>Z100</f>
        <v>0</v>
      </c>
      <c r="AA127" s="2530"/>
      <c r="AB127" s="1747" t="s">
        <v>9</v>
      </c>
      <c r="AC127" s="2591"/>
      <c r="AD127" s="1782">
        <f>AC100*8</f>
        <v>135.19999999999999</v>
      </c>
      <c r="AE127" s="2494" t="e">
        <f>(#REF!-AD127)*8000/1000</f>
        <v>#REF!</v>
      </c>
      <c r="AF127" s="1745" t="s">
        <v>8</v>
      </c>
      <c r="AG127" s="1746">
        <f>AG100</f>
        <v>0</v>
      </c>
      <c r="AH127" s="2530"/>
      <c r="AI127" s="1747" t="s">
        <v>9</v>
      </c>
      <c r="AJ127" s="2546" t="e">
        <f>AP100*8</f>
        <v>#VALUE!</v>
      </c>
      <c r="AK127" s="1782">
        <f>AJ100*8</f>
        <v>134.4</v>
      </c>
      <c r="AL127" s="2494" t="e">
        <f>(#REF!-AK127)*8000/1000</f>
        <v>#REF!</v>
      </c>
      <c r="AM127" s="1745" t="s">
        <v>8</v>
      </c>
      <c r="AN127" s="1746">
        <f>AN100</f>
        <v>4.7999999999999545</v>
      </c>
      <c r="AO127" s="2530"/>
      <c r="AP127" s="1747" t="s">
        <v>9</v>
      </c>
      <c r="AQ127" s="2547"/>
      <c r="AR127" s="1782">
        <f>AQ100*8</f>
        <v>132.80000000000001</v>
      </c>
      <c r="AS127" s="1758" t="e">
        <f>(#REF!-AR127)*8000/1000</f>
        <v>#REF!</v>
      </c>
      <c r="AT127" s="1745" t="s">
        <v>8</v>
      </c>
      <c r="AU127" s="1746">
        <f>AU100</f>
        <v>0</v>
      </c>
      <c r="AV127" s="1776"/>
      <c r="AW127" s="1747" t="s">
        <v>9</v>
      </c>
    </row>
    <row r="128" spans="1:54" ht="37.5" customHeight="1">
      <c r="C128" s="208" t="s">
        <v>194</v>
      </c>
      <c r="D128" s="208" t="s">
        <v>120</v>
      </c>
      <c r="E128" s="1069" t="str">
        <f>E101</f>
        <v>3.0-4.5</v>
      </c>
      <c r="F128" s="1896" t="str">
        <f t="shared" ref="F128:F129" si="57">F101</f>
        <v>(4.3±0.2)</v>
      </c>
      <c r="I128" s="1738">
        <f>XM.HN!B73</f>
        <v>3.64</v>
      </c>
      <c r="J128" s="2511"/>
      <c r="K128" s="2075"/>
      <c r="L128" s="2076"/>
      <c r="M128" s="2532"/>
      <c r="N128" s="2077"/>
      <c r="O128" s="2569"/>
      <c r="P128" s="1738">
        <f>XM.HN!C73</f>
        <v>3.58</v>
      </c>
      <c r="Q128" s="2511"/>
      <c r="R128" s="2075"/>
      <c r="S128" s="2076"/>
      <c r="T128" s="2532"/>
      <c r="U128" s="2077"/>
      <c r="V128" s="2569"/>
      <c r="W128" s="1738">
        <f>XM.HN!D73</f>
        <v>3.65</v>
      </c>
      <c r="X128" s="2511"/>
      <c r="Y128" s="2075"/>
      <c r="Z128" s="2076"/>
      <c r="AA128" s="2532"/>
      <c r="AB128" s="2078"/>
      <c r="AC128" s="2596"/>
      <c r="AD128" s="1738">
        <f>XM.HN!E73</f>
        <v>3.61</v>
      </c>
      <c r="AE128" s="2511"/>
      <c r="AF128" s="2075"/>
      <c r="AG128" s="2076"/>
      <c r="AH128" s="2532"/>
      <c r="AI128" s="2077"/>
      <c r="AJ128" s="2596"/>
      <c r="AK128" s="1738">
        <f>XM.HN!F73</f>
        <v>3.66</v>
      </c>
      <c r="AL128" s="2511"/>
      <c r="AM128" s="2075"/>
      <c r="AN128" s="2076"/>
      <c r="AO128" s="2532"/>
      <c r="AP128" s="2077"/>
      <c r="AQ128" s="2610"/>
      <c r="AR128" s="1738">
        <f>XM.HN!G73</f>
        <v>3.66</v>
      </c>
      <c r="AS128" s="1759">
        <f>($G$100-AR128)*8000/1000</f>
        <v>1050.72</v>
      </c>
      <c r="AT128" s="1769"/>
      <c r="AU128" s="1736"/>
      <c r="AV128" s="1783"/>
      <c r="AW128" s="1778"/>
    </row>
    <row r="129" spans="3:49" ht="37.5" customHeight="1">
      <c r="C129" s="209" t="s">
        <v>1662</v>
      </c>
      <c r="D129" s="208" t="s">
        <v>1663</v>
      </c>
      <c r="E129" s="1069">
        <f>E102</f>
        <v>0</v>
      </c>
      <c r="F129" s="1896">
        <f t="shared" si="57"/>
        <v>0</v>
      </c>
      <c r="I129" s="1527">
        <f>H102*5*0.1*36.6-4</f>
        <v>87.5</v>
      </c>
      <c r="J129" s="2494">
        <f>($G$100-I129)*8000/1000</f>
        <v>380</v>
      </c>
      <c r="K129" s="1745" t="s">
        <v>8</v>
      </c>
      <c r="L129" s="1746">
        <f t="shared" ref="L129" si="58">IF(J129&lt;0,0,J129)</f>
        <v>380</v>
      </c>
      <c r="M129" s="2530"/>
      <c r="N129" s="1747" t="s">
        <v>9</v>
      </c>
      <c r="O129" s="2564">
        <f>XM.HN!C101</f>
        <v>0</v>
      </c>
      <c r="P129" s="1527">
        <f>O102*5*0.1*36.6-4</f>
        <v>-4</v>
      </c>
      <c r="Q129" s="2494">
        <f>($G$100-P129)*8000/1000</f>
        <v>1112</v>
      </c>
      <c r="R129" s="1745" t="s">
        <v>8</v>
      </c>
      <c r="S129" s="1746">
        <f t="shared" ref="S129" si="59">IF(Q129&lt;0,0,Q129)</f>
        <v>1112</v>
      </c>
      <c r="T129" s="2530"/>
      <c r="U129" s="1747" t="s">
        <v>9</v>
      </c>
      <c r="V129" s="2564">
        <f>XM.HN!D101</f>
        <v>0</v>
      </c>
      <c r="W129" s="1527">
        <f>V102*5*0.1*36.6-4</f>
        <v>-4</v>
      </c>
      <c r="X129" s="2494">
        <f>($G$100-W129)*8000/1000</f>
        <v>1112</v>
      </c>
      <c r="Y129" s="1745" t="s">
        <v>8</v>
      </c>
      <c r="Z129" s="1746">
        <f t="shared" ref="Z129" si="60">IF(X129&lt;0,0,X129)</f>
        <v>1112</v>
      </c>
      <c r="AA129" s="2530"/>
      <c r="AB129" s="1747" t="s">
        <v>9</v>
      </c>
      <c r="AC129" s="2591">
        <f>XM.HN!E101</f>
        <v>0</v>
      </c>
      <c r="AD129" s="1527">
        <f>AC102*5*0.1*36.6-4</f>
        <v>87.5</v>
      </c>
      <c r="AE129" s="2494">
        <f>($G$100-AD129)*8000/1000</f>
        <v>380</v>
      </c>
      <c r="AF129" s="1745" t="s">
        <v>8</v>
      </c>
      <c r="AG129" s="1746">
        <f t="shared" ref="AG129" si="61">IF(AE129&lt;0,0,AE129)</f>
        <v>380</v>
      </c>
      <c r="AH129" s="2530"/>
      <c r="AI129" s="1747" t="s">
        <v>9</v>
      </c>
      <c r="AJ129" s="2546">
        <f>XM.HN!F101</f>
        <v>0</v>
      </c>
      <c r="AK129" s="1527">
        <f>AJ102*5*0.1*36.6-4</f>
        <v>-4</v>
      </c>
      <c r="AL129" s="2494">
        <f>($G$100-AK129)*8000/1000</f>
        <v>1112</v>
      </c>
      <c r="AM129" s="1745" t="s">
        <v>8</v>
      </c>
      <c r="AN129" s="1746">
        <f t="shared" ref="AN129" si="62">IF(AL129&lt;0,0,AL129)</f>
        <v>1112</v>
      </c>
      <c r="AO129" s="2530"/>
      <c r="AP129" s="1747" t="s">
        <v>9</v>
      </c>
      <c r="AQ129" s="2547">
        <f>XM.HN!G101</f>
        <v>0</v>
      </c>
      <c r="AR129" s="1527">
        <f>AQ102*5*0.1*36.6-4</f>
        <v>-4</v>
      </c>
      <c r="AS129" s="2494">
        <f>($G$100-AR129)*8000/1000</f>
        <v>1112</v>
      </c>
      <c r="AT129" s="1745" t="s">
        <v>8</v>
      </c>
      <c r="AU129" s="1746">
        <f t="shared" ref="AU129" si="63">IF(AS129&lt;0,0,AS129)</f>
        <v>1112</v>
      </c>
      <c r="AV129" s="2530"/>
      <c r="AW129" s="1747" t="s">
        <v>9</v>
      </c>
    </row>
    <row r="130" spans="3:49" ht="12.75" customHeight="1">
      <c r="F130" s="1828"/>
      <c r="I130" s="1757"/>
      <c r="J130" s="2512"/>
      <c r="K130" s="1749"/>
      <c r="L130" s="1749"/>
      <c r="M130" s="2512"/>
      <c r="N130" s="1750"/>
      <c r="P130" s="1757"/>
      <c r="Q130" s="2512"/>
      <c r="R130" s="1749"/>
      <c r="S130" s="1749"/>
      <c r="T130" s="2512"/>
      <c r="U130" s="1750"/>
      <c r="W130" s="1757"/>
      <c r="X130" s="2512"/>
      <c r="Y130" s="1749"/>
      <c r="Z130" s="1749"/>
      <c r="AA130" s="2512"/>
      <c r="AB130" s="1750"/>
      <c r="AD130" s="1757"/>
      <c r="AE130" s="2512"/>
      <c r="AF130" s="1749"/>
      <c r="AG130" s="1749"/>
      <c r="AH130" s="2512"/>
      <c r="AI130" s="1750"/>
      <c r="AJ130" s="2604"/>
      <c r="AK130" s="1749"/>
      <c r="AL130" s="2512"/>
      <c r="AM130" s="1749"/>
      <c r="AN130" s="1749"/>
      <c r="AO130" s="2566"/>
    </row>
    <row r="131" spans="3:49" ht="57" customHeight="1">
      <c r="C131" s="1359" t="s">
        <v>61</v>
      </c>
      <c r="D131" s="1359" t="s">
        <v>63</v>
      </c>
      <c r="E131" s="1383" t="s">
        <v>1303</v>
      </c>
      <c r="F131" s="1896" t="s">
        <v>1302</v>
      </c>
      <c r="I131" s="1727" t="s">
        <v>45</v>
      </c>
      <c r="J131" s="2498"/>
      <c r="K131" s="1728"/>
      <c r="L131" s="1728" t="s">
        <v>62</v>
      </c>
      <c r="M131" s="2498"/>
      <c r="N131" s="1780"/>
      <c r="O131" s="2558"/>
      <c r="P131" s="1727" t="s">
        <v>45</v>
      </c>
      <c r="Q131" s="2498"/>
      <c r="R131" s="1728"/>
      <c r="S131" s="1728" t="s">
        <v>62</v>
      </c>
      <c r="T131" s="2498"/>
      <c r="U131" s="2059"/>
      <c r="V131" s="2583"/>
      <c r="W131" s="1728" t="s">
        <v>45</v>
      </c>
      <c r="X131" s="2498"/>
      <c r="Y131" s="1728"/>
      <c r="Z131" s="1728" t="s">
        <v>62</v>
      </c>
      <c r="AA131" s="2537"/>
      <c r="AB131" s="2061"/>
      <c r="AC131" s="2592"/>
      <c r="AD131" s="1728" t="s">
        <v>45</v>
      </c>
      <c r="AE131" s="2498"/>
      <c r="AF131" s="1728"/>
      <c r="AG131" s="1780" t="s">
        <v>62</v>
      </c>
      <c r="AH131" s="2583"/>
      <c r="AI131" s="2059"/>
      <c r="AJ131" s="2592"/>
      <c r="AK131" s="1728" t="s">
        <v>45</v>
      </c>
      <c r="AL131" s="2498"/>
      <c r="AM131" s="1780"/>
      <c r="AN131" s="2060" t="s">
        <v>62</v>
      </c>
      <c r="AO131" s="2498"/>
      <c r="AP131" s="2059"/>
      <c r="AQ131" s="2592"/>
      <c r="AR131" s="1728" t="s">
        <v>45</v>
      </c>
      <c r="AS131" s="1780"/>
      <c r="AT131" s="1727"/>
      <c r="AU131" s="1728" t="s">
        <v>62</v>
      </c>
      <c r="AV131" s="1728"/>
      <c r="AW131" s="2059"/>
    </row>
    <row r="132" spans="3:49" ht="39.75" customHeight="1">
      <c r="C132" s="1016" t="s">
        <v>117</v>
      </c>
      <c r="D132" s="1017" t="s">
        <v>105</v>
      </c>
      <c r="E132" s="98" t="str">
        <f>E117</f>
        <v>24~28</v>
      </c>
      <c r="F132" s="1896" t="str">
        <f>F117</f>
        <v>(26±2)</v>
      </c>
      <c r="I132" s="3028">
        <f>I117</f>
        <v>25</v>
      </c>
      <c r="J132" s="3024"/>
      <c r="K132" s="3024"/>
      <c r="L132" s="3024">
        <f>L117</f>
        <v>24</v>
      </c>
      <c r="M132" s="3024"/>
      <c r="N132" s="3024"/>
      <c r="O132" s="2570"/>
      <c r="P132" s="3028">
        <f>P117</f>
        <v>26</v>
      </c>
      <c r="Q132" s="3024"/>
      <c r="R132" s="3024"/>
      <c r="S132" s="3024">
        <f>S117</f>
        <v>25</v>
      </c>
      <c r="T132" s="3024"/>
      <c r="U132" s="3024"/>
      <c r="V132" s="2587"/>
      <c r="W132" s="3028">
        <f>W117</f>
        <v>26</v>
      </c>
      <c r="X132" s="3024"/>
      <c r="Y132" s="3024"/>
      <c r="Z132" s="3024">
        <f>Z117</f>
        <v>26</v>
      </c>
      <c r="AA132" s="3024"/>
      <c r="AB132" s="3024"/>
      <c r="AC132" s="2597"/>
      <c r="AD132" s="3028">
        <f>AD117</f>
        <v>24</v>
      </c>
      <c r="AE132" s="3024"/>
      <c r="AF132" s="3024"/>
      <c r="AG132" s="3024">
        <f>AG117</f>
        <v>23</v>
      </c>
      <c r="AH132" s="3024"/>
      <c r="AI132" s="3024"/>
      <c r="AJ132" s="2570"/>
      <c r="AK132" s="3028">
        <f>AK117</f>
        <v>25</v>
      </c>
      <c r="AL132" s="3024"/>
      <c r="AM132" s="3024"/>
      <c r="AN132" s="3024">
        <f>AN117</f>
        <v>24</v>
      </c>
      <c r="AO132" s="3024"/>
      <c r="AP132" s="3024"/>
      <c r="AQ132" s="2587"/>
      <c r="AR132" s="3028">
        <f>AR117</f>
        <v>25</v>
      </c>
      <c r="AS132" s="3024"/>
      <c r="AT132" s="3024"/>
      <c r="AU132" s="3024">
        <f>AU117</f>
        <v>24</v>
      </c>
      <c r="AV132" s="3024"/>
      <c r="AW132" s="3025"/>
    </row>
    <row r="133" spans="3:49" ht="39.75" customHeight="1">
      <c r="C133" s="1016" t="s">
        <v>1495</v>
      </c>
      <c r="D133" s="1017" t="s">
        <v>105</v>
      </c>
      <c r="E133" s="98" t="str">
        <f>E118</f>
        <v>20~30</v>
      </c>
      <c r="F133" s="1896" t="str">
        <f t="shared" ref="F133" si="64">F118</f>
        <v>(25±5)</v>
      </c>
      <c r="I133" s="3028">
        <f t="shared" ref="I133" si="65">I118</f>
        <v>29</v>
      </c>
      <c r="J133" s="3024"/>
      <c r="K133" s="3024"/>
      <c r="L133" s="3024">
        <f t="shared" ref="L133" si="66">L118</f>
        <v>29</v>
      </c>
      <c r="M133" s="3024"/>
      <c r="N133" s="3024"/>
      <c r="O133" s="2570"/>
      <c r="P133" s="3028">
        <f t="shared" ref="P133" si="67">P118</f>
        <v>30</v>
      </c>
      <c r="Q133" s="3024"/>
      <c r="R133" s="3024"/>
      <c r="S133" s="3024">
        <f t="shared" ref="S133" si="68">S118</f>
        <v>29</v>
      </c>
      <c r="T133" s="3024"/>
      <c r="U133" s="3024"/>
      <c r="V133" s="2587"/>
      <c r="W133" s="3028">
        <f t="shared" ref="W133" si="69">W118</f>
        <v>29</v>
      </c>
      <c r="X133" s="3024"/>
      <c r="Y133" s="3024"/>
      <c r="Z133" s="3024">
        <f t="shared" ref="Z133" si="70">Z118</f>
        <v>30</v>
      </c>
      <c r="AA133" s="3024"/>
      <c r="AB133" s="3024"/>
      <c r="AC133" s="2597"/>
      <c r="AD133" s="3028">
        <f t="shared" ref="AD133" si="71">AD118</f>
        <v>30</v>
      </c>
      <c r="AE133" s="3024"/>
      <c r="AF133" s="3024"/>
      <c r="AG133" s="3024">
        <f t="shared" ref="AG133" si="72">AG118</f>
        <v>29</v>
      </c>
      <c r="AH133" s="3024"/>
      <c r="AI133" s="3024"/>
      <c r="AJ133" s="2570"/>
      <c r="AK133" s="3028">
        <f t="shared" ref="AK133" si="73">AK118</f>
        <v>30</v>
      </c>
      <c r="AL133" s="3024"/>
      <c r="AM133" s="3024"/>
      <c r="AN133" s="3024">
        <f t="shared" ref="AN133" si="74">AN118</f>
        <v>29</v>
      </c>
      <c r="AO133" s="3024"/>
      <c r="AP133" s="3024"/>
      <c r="AQ133" s="2587"/>
      <c r="AR133" s="3028">
        <f t="shared" ref="AR133" si="75">AR118</f>
        <v>30</v>
      </c>
      <c r="AS133" s="3024"/>
      <c r="AT133" s="3024"/>
      <c r="AU133" s="3024">
        <f t="shared" ref="AU133" si="76">AU118</f>
        <v>29</v>
      </c>
      <c r="AV133" s="3024"/>
      <c r="AW133" s="3025"/>
    </row>
    <row r="134" spans="3:49">
      <c r="F134" s="12"/>
    </row>
  </sheetData>
  <sheetProtection formatCells="0" formatColumns="0" formatRows="0" insertColumns="0" insertRows="0" insertHyperlinks="0" deleteColumns="0" deleteRows="0" selectLockedCells="1" sort="0" autoFilter="0" pivotTables="0"/>
  <mergeCells count="427">
    <mergeCell ref="Z65:AB65"/>
    <mergeCell ref="AG65:AI65"/>
    <mergeCell ref="AN65:AP65"/>
    <mergeCell ref="AU114:AW114"/>
    <mergeCell ref="I114:K114"/>
    <mergeCell ref="L114:N114"/>
    <mergeCell ref="P114:R114"/>
    <mergeCell ref="S114:U114"/>
    <mergeCell ref="W114:Y114"/>
    <mergeCell ref="Z114:AB114"/>
    <mergeCell ref="AD114:AF114"/>
    <mergeCell ref="AG114:AI114"/>
    <mergeCell ref="AK114:AM114"/>
    <mergeCell ref="AN114:AP114"/>
    <mergeCell ref="AK112:AM112"/>
    <mergeCell ref="AR111:AT111"/>
    <mergeCell ref="AN111:AP111"/>
    <mergeCell ref="AN110:AP110"/>
    <mergeCell ref="AR110:AT110"/>
    <mergeCell ref="AG110:AI110"/>
    <mergeCell ref="AK110:AM110"/>
    <mergeCell ref="AR67:AT67"/>
    <mergeCell ref="AN105:AP105"/>
    <mergeCell ref="AK69:AM69"/>
    <mergeCell ref="AU115:AW115"/>
    <mergeCell ref="AR121:AW121"/>
    <mergeCell ref="AR120:AW120"/>
    <mergeCell ref="AK121:AP121"/>
    <mergeCell ref="AK120:AP120"/>
    <mergeCell ref="AN116:AQ116"/>
    <mergeCell ref="AR116:AT116"/>
    <mergeCell ref="AU116:AW116"/>
    <mergeCell ref="AR118:AT118"/>
    <mergeCell ref="AU118:AW118"/>
    <mergeCell ref="AK117:AM117"/>
    <mergeCell ref="AN117:AP117"/>
    <mergeCell ref="AU117:AW117"/>
    <mergeCell ref="AN115:AP115"/>
    <mergeCell ref="AR117:AT117"/>
    <mergeCell ref="AR133:AT133"/>
    <mergeCell ref="AU133:AW133"/>
    <mergeCell ref="AN133:AP133"/>
    <mergeCell ref="AK132:AM132"/>
    <mergeCell ref="AN132:AP132"/>
    <mergeCell ref="AR132:AT132"/>
    <mergeCell ref="AK118:AM118"/>
    <mergeCell ref="AN118:AP118"/>
    <mergeCell ref="AU132:AW132"/>
    <mergeCell ref="AD64:AF64"/>
    <mergeCell ref="W64:Y64"/>
    <mergeCell ref="P63:R63"/>
    <mergeCell ref="W63:Y63"/>
    <mergeCell ref="AD63:AF63"/>
    <mergeCell ref="L63:N63"/>
    <mergeCell ref="S63:U63"/>
    <mergeCell ref="Z63:AB63"/>
    <mergeCell ref="AG63:AI63"/>
    <mergeCell ref="L64:N64"/>
    <mergeCell ref="S64:U64"/>
    <mergeCell ref="Z64:AB64"/>
    <mergeCell ref="AG64:AI64"/>
    <mergeCell ref="G76:G77"/>
    <mergeCell ref="I70:K70"/>
    <mergeCell ref="P70:R70"/>
    <mergeCell ref="W70:Y70"/>
    <mergeCell ref="S105:U105"/>
    <mergeCell ref="P105:R105"/>
    <mergeCell ref="W110:Y110"/>
    <mergeCell ref="Z110:AB110"/>
    <mergeCell ref="AK115:AM115"/>
    <mergeCell ref="P110:R110"/>
    <mergeCell ref="P112:R112"/>
    <mergeCell ref="W73:AB73"/>
    <mergeCell ref="L70:N70"/>
    <mergeCell ref="S70:U70"/>
    <mergeCell ref="AD109:AF109"/>
    <mergeCell ref="Z105:AB105"/>
    <mergeCell ref="S106:U106"/>
    <mergeCell ref="W106:Y106"/>
    <mergeCell ref="Z106:AB106"/>
    <mergeCell ref="AD115:AF115"/>
    <mergeCell ref="W109:Y109"/>
    <mergeCell ref="AG115:AI115"/>
    <mergeCell ref="AK109:AM109"/>
    <mergeCell ref="AD112:AF112"/>
    <mergeCell ref="AD116:AF116"/>
    <mergeCell ref="AN113:AP113"/>
    <mergeCell ref="AR115:AT115"/>
    <mergeCell ref="AR114:AT114"/>
    <mergeCell ref="AR113:AT113"/>
    <mergeCell ref="AD113:AF113"/>
    <mergeCell ref="AG113:AI113"/>
    <mergeCell ref="AK113:AM113"/>
    <mergeCell ref="AN108:AP108"/>
    <mergeCell ref="AN67:AQ67"/>
    <mergeCell ref="AR70:AT70"/>
    <mergeCell ref="AR108:AT108"/>
    <mergeCell ref="AK108:AM108"/>
    <mergeCell ref="AD70:AF70"/>
    <mergeCell ref="AK70:AM70"/>
    <mergeCell ref="AG106:AI106"/>
    <mergeCell ref="AK106:AM106"/>
    <mergeCell ref="AN106:AP106"/>
    <mergeCell ref="AR106:AT106"/>
    <mergeCell ref="AD107:AF107"/>
    <mergeCell ref="AR105:AT105"/>
    <mergeCell ref="AK107:AM107"/>
    <mergeCell ref="AN107:AP107"/>
    <mergeCell ref="AD108:AF108"/>
    <mergeCell ref="W65:Y65"/>
    <mergeCell ref="AD65:AF65"/>
    <mergeCell ref="AR37:AW37"/>
    <mergeCell ref="AU108:AW108"/>
    <mergeCell ref="AU107:AW107"/>
    <mergeCell ref="AR107:AT107"/>
    <mergeCell ref="AG105:AI105"/>
    <mergeCell ref="AD69:AF69"/>
    <mergeCell ref="AD68:AF68"/>
    <mergeCell ref="AU106:AW106"/>
    <mergeCell ref="AU70:AW70"/>
    <mergeCell ref="AU105:AW105"/>
    <mergeCell ref="AR68:AT68"/>
    <mergeCell ref="AU69:AW69"/>
    <mergeCell ref="AK105:AM105"/>
    <mergeCell ref="AR72:AW72"/>
    <mergeCell ref="AU68:AW68"/>
    <mergeCell ref="AR69:AT69"/>
    <mergeCell ref="AG70:AI70"/>
    <mergeCell ref="AN70:AP70"/>
    <mergeCell ref="AD105:AF105"/>
    <mergeCell ref="AG107:AI107"/>
    <mergeCell ref="AG108:AI108"/>
    <mergeCell ref="AR66:AT66"/>
    <mergeCell ref="S34:U34"/>
    <mergeCell ref="S35:U35"/>
    <mergeCell ref="Z35:AB35"/>
    <mergeCell ref="W34:Y34"/>
    <mergeCell ref="W35:Y35"/>
    <mergeCell ref="AR35:AT35"/>
    <mergeCell ref="AU35:AW35"/>
    <mergeCell ref="Z34:AB34"/>
    <mergeCell ref="AD34:AF34"/>
    <mergeCell ref="AG34:AI34"/>
    <mergeCell ref="AK34:AM34"/>
    <mergeCell ref="AN34:AP34"/>
    <mergeCell ref="AG35:AI35"/>
    <mergeCell ref="AN35:AP35"/>
    <mergeCell ref="I32:K32"/>
    <mergeCell ref="L32:N32"/>
    <mergeCell ref="P32:R32"/>
    <mergeCell ref="S32:U32"/>
    <mergeCell ref="W32:Y32"/>
    <mergeCell ref="I33:K33"/>
    <mergeCell ref="L33:N33"/>
    <mergeCell ref="P33:R33"/>
    <mergeCell ref="S33:U33"/>
    <mergeCell ref="W33:Y33"/>
    <mergeCell ref="I30:K30"/>
    <mergeCell ref="L30:N30"/>
    <mergeCell ref="P30:R30"/>
    <mergeCell ref="S30:U30"/>
    <mergeCell ref="W30:Y30"/>
    <mergeCell ref="L31:N31"/>
    <mergeCell ref="S31:U31"/>
    <mergeCell ref="Z31:AB31"/>
    <mergeCell ref="AG31:AI31"/>
    <mergeCell ref="AU66:AW66"/>
    <mergeCell ref="AU30:AW30"/>
    <mergeCell ref="W31:Y31"/>
    <mergeCell ref="AD31:AF31"/>
    <mergeCell ref="AK31:AM31"/>
    <mergeCell ref="AR31:AT31"/>
    <mergeCell ref="AU31:AW31"/>
    <mergeCell ref="Z30:AB30"/>
    <mergeCell ref="AD30:AF30"/>
    <mergeCell ref="AG30:AI30"/>
    <mergeCell ref="AK30:AM30"/>
    <mergeCell ref="AN30:AP30"/>
    <mergeCell ref="AN31:AP31"/>
    <mergeCell ref="AU32:AW32"/>
    <mergeCell ref="AN33:AP33"/>
    <mergeCell ref="AR33:AT33"/>
    <mergeCell ref="AU33:AW33"/>
    <mergeCell ref="Z32:AB32"/>
    <mergeCell ref="AD32:AF32"/>
    <mergeCell ref="AG32:AI32"/>
    <mergeCell ref="AK32:AM32"/>
    <mergeCell ref="AN32:AP32"/>
    <mergeCell ref="Z33:AB33"/>
    <mergeCell ref="AR64:AT64"/>
    <mergeCell ref="AU64:AW64"/>
    <mergeCell ref="AR65:AT65"/>
    <mergeCell ref="AU65:AW65"/>
    <mergeCell ref="AK63:AM63"/>
    <mergeCell ref="AN63:AP63"/>
    <mergeCell ref="AN64:AP64"/>
    <mergeCell ref="AK65:AM65"/>
    <mergeCell ref="AK64:AM64"/>
    <mergeCell ref="AD29:AF29"/>
    <mergeCell ref="AG29:AI29"/>
    <mergeCell ref="AK29:AM29"/>
    <mergeCell ref="AN29:AP29"/>
    <mergeCell ref="AR30:AT30"/>
    <mergeCell ref="AR32:AT32"/>
    <mergeCell ref="AR38:AW38"/>
    <mergeCell ref="AR63:AT63"/>
    <mergeCell ref="AU63:AW63"/>
    <mergeCell ref="AD33:AF33"/>
    <mergeCell ref="AG33:AI33"/>
    <mergeCell ref="AK33:AM33"/>
    <mergeCell ref="AK35:AM35"/>
    <mergeCell ref="AU34:AW34"/>
    <mergeCell ref="AD35:AF35"/>
    <mergeCell ref="AR34:AT34"/>
    <mergeCell ref="AK38:AP38"/>
    <mergeCell ref="L34:N34"/>
    <mergeCell ref="P34:R34"/>
    <mergeCell ref="AK37:AP37"/>
    <mergeCell ref="AU28:AW28"/>
    <mergeCell ref="I29:K29"/>
    <mergeCell ref="AR29:AT29"/>
    <mergeCell ref="AU29:AW29"/>
    <mergeCell ref="Z28:AB28"/>
    <mergeCell ref="AD28:AF28"/>
    <mergeCell ref="AG28:AI28"/>
    <mergeCell ref="AK28:AM28"/>
    <mergeCell ref="AN28:AP28"/>
    <mergeCell ref="I28:K28"/>
    <mergeCell ref="L28:N28"/>
    <mergeCell ref="P28:R28"/>
    <mergeCell ref="S28:U28"/>
    <mergeCell ref="W28:Y28"/>
    <mergeCell ref="L29:N29"/>
    <mergeCell ref="P29:R29"/>
    <mergeCell ref="S29:U29"/>
    <mergeCell ref="I31:K31"/>
    <mergeCell ref="P31:R31"/>
    <mergeCell ref="W29:Y29"/>
    <mergeCell ref="Z29:AB29"/>
    <mergeCell ref="AU67:AW67"/>
    <mergeCell ref="I109:K109"/>
    <mergeCell ref="AD110:AF110"/>
    <mergeCell ref="W108:Y108"/>
    <mergeCell ref="L111:N111"/>
    <mergeCell ref="G4:G5"/>
    <mergeCell ref="AR73:AW73"/>
    <mergeCell ref="G41:G42"/>
    <mergeCell ref="I37:N37"/>
    <mergeCell ref="P37:U37"/>
    <mergeCell ref="W37:AB37"/>
    <mergeCell ref="AD37:AI37"/>
    <mergeCell ref="I73:N73"/>
    <mergeCell ref="P73:U73"/>
    <mergeCell ref="AD73:AI73"/>
    <mergeCell ref="AK73:AP73"/>
    <mergeCell ref="P72:U72"/>
    <mergeCell ref="W72:AB72"/>
    <mergeCell ref="I38:N38"/>
    <mergeCell ref="P38:U38"/>
    <mergeCell ref="W38:AB38"/>
    <mergeCell ref="AD38:AI38"/>
    <mergeCell ref="AR28:AT28"/>
    <mergeCell ref="I34:K34"/>
    <mergeCell ref="W105:Y105"/>
    <mergeCell ref="W68:Y68"/>
    <mergeCell ref="AK67:AM67"/>
    <mergeCell ref="AG68:AJ68"/>
    <mergeCell ref="AD106:AF106"/>
    <mergeCell ref="I107:K107"/>
    <mergeCell ref="P107:R107"/>
    <mergeCell ref="W107:Y107"/>
    <mergeCell ref="AD72:AI72"/>
    <mergeCell ref="AK72:AP72"/>
    <mergeCell ref="AN68:AQ68"/>
    <mergeCell ref="AK68:AM68"/>
    <mergeCell ref="AG67:AJ67"/>
    <mergeCell ref="Z70:AB70"/>
    <mergeCell ref="I35:K35"/>
    <mergeCell ref="P35:R35"/>
    <mergeCell ref="P65:R65"/>
    <mergeCell ref="L35:N35"/>
    <mergeCell ref="I64:K64"/>
    <mergeCell ref="P64:R64"/>
    <mergeCell ref="I66:K66"/>
    <mergeCell ref="P66:R66"/>
    <mergeCell ref="I65:K65"/>
    <mergeCell ref="L65:N65"/>
    <mergeCell ref="P133:R133"/>
    <mergeCell ref="S133:U133"/>
    <mergeCell ref="I63:K63"/>
    <mergeCell ref="I105:K105"/>
    <mergeCell ref="L105:N105"/>
    <mergeCell ref="I106:K106"/>
    <mergeCell ref="L106:N106"/>
    <mergeCell ref="P106:R106"/>
    <mergeCell ref="I72:N72"/>
    <mergeCell ref="P69:R69"/>
    <mergeCell ref="I69:K69"/>
    <mergeCell ref="I67:K67"/>
    <mergeCell ref="I68:K68"/>
    <mergeCell ref="I112:K112"/>
    <mergeCell ref="I111:K111"/>
    <mergeCell ref="P109:R109"/>
    <mergeCell ref="L110:N110"/>
    <mergeCell ref="S111:U111"/>
    <mergeCell ref="I110:K110"/>
    <mergeCell ref="P108:R108"/>
    <mergeCell ref="P111:R111"/>
    <mergeCell ref="S65:U65"/>
    <mergeCell ref="I108:K108"/>
    <mergeCell ref="W133:Y133"/>
    <mergeCell ref="Z133:AB133"/>
    <mergeCell ref="F124:F125"/>
    <mergeCell ref="AG116:AJ116"/>
    <mergeCell ref="AK116:AM116"/>
    <mergeCell ref="AD132:AF132"/>
    <mergeCell ref="AG132:AI132"/>
    <mergeCell ref="AD133:AF133"/>
    <mergeCell ref="AG133:AI133"/>
    <mergeCell ref="I132:K132"/>
    <mergeCell ref="L132:N132"/>
    <mergeCell ref="I133:K133"/>
    <mergeCell ref="L133:N133"/>
    <mergeCell ref="P132:R132"/>
    <mergeCell ref="S132:U132"/>
    <mergeCell ref="W116:Y116"/>
    <mergeCell ref="Z116:AC116"/>
    <mergeCell ref="AK133:AM133"/>
    <mergeCell ref="AG118:AI118"/>
    <mergeCell ref="I117:K117"/>
    <mergeCell ref="L117:N117"/>
    <mergeCell ref="W117:Y117"/>
    <mergeCell ref="AD117:AF117"/>
    <mergeCell ref="AG117:AI117"/>
    <mergeCell ref="C124:C125"/>
    <mergeCell ref="D124:D125"/>
    <mergeCell ref="E124:E125"/>
    <mergeCell ref="W132:Y132"/>
    <mergeCell ref="Z132:AB132"/>
    <mergeCell ref="W121:AB121"/>
    <mergeCell ref="AD118:AF118"/>
    <mergeCell ref="Z118:AB118"/>
    <mergeCell ref="AD121:AI121"/>
    <mergeCell ref="I120:N120"/>
    <mergeCell ref="P120:U120"/>
    <mergeCell ref="W120:AB120"/>
    <mergeCell ref="AD120:AI120"/>
    <mergeCell ref="I121:N121"/>
    <mergeCell ref="P121:U121"/>
    <mergeCell ref="I118:K118"/>
    <mergeCell ref="L118:N118"/>
    <mergeCell ref="P118:R118"/>
    <mergeCell ref="S118:U118"/>
    <mergeCell ref="W118:Y118"/>
    <mergeCell ref="S115:U115"/>
    <mergeCell ref="Z117:AB117"/>
    <mergeCell ref="I115:K115"/>
    <mergeCell ref="L115:N115"/>
    <mergeCell ref="W115:Y115"/>
    <mergeCell ref="Z115:AB115"/>
    <mergeCell ref="P115:R115"/>
    <mergeCell ref="I116:K116"/>
    <mergeCell ref="L116:O116"/>
    <mergeCell ref="P117:R117"/>
    <mergeCell ref="S117:U117"/>
    <mergeCell ref="P116:R116"/>
    <mergeCell ref="S116:V116"/>
    <mergeCell ref="Z107:AB107"/>
    <mergeCell ref="L108:N108"/>
    <mergeCell ref="S108:U108"/>
    <mergeCell ref="Z108:AB108"/>
    <mergeCell ref="I113:K113"/>
    <mergeCell ref="L113:N113"/>
    <mergeCell ref="P113:R113"/>
    <mergeCell ref="S113:U113"/>
    <mergeCell ref="W113:Y113"/>
    <mergeCell ref="Z113:AB113"/>
    <mergeCell ref="L107:N107"/>
    <mergeCell ref="S107:U107"/>
    <mergeCell ref="AG66:AI66"/>
    <mergeCell ref="AN66:AP66"/>
    <mergeCell ref="L69:N69"/>
    <mergeCell ref="S69:U69"/>
    <mergeCell ref="Z69:AB69"/>
    <mergeCell ref="AG69:AI69"/>
    <mergeCell ref="AN69:AP69"/>
    <mergeCell ref="AD66:AF66"/>
    <mergeCell ref="AD67:AF67"/>
    <mergeCell ref="AK66:AM66"/>
    <mergeCell ref="Z67:AC67"/>
    <mergeCell ref="Z68:AC68"/>
    <mergeCell ref="W66:Y66"/>
    <mergeCell ref="S66:U66"/>
    <mergeCell ref="Z66:AB66"/>
    <mergeCell ref="L66:N66"/>
    <mergeCell ref="P68:R68"/>
    <mergeCell ref="L67:O67"/>
    <mergeCell ref="S67:V67"/>
    <mergeCell ref="L68:O68"/>
    <mergeCell ref="P67:R67"/>
    <mergeCell ref="W67:Y67"/>
    <mergeCell ref="S68:V68"/>
    <mergeCell ref="W69:Y69"/>
    <mergeCell ref="AU113:AW113"/>
    <mergeCell ref="L109:O109"/>
    <mergeCell ref="S109:V109"/>
    <mergeCell ref="Z109:AC109"/>
    <mergeCell ref="AG109:AJ109"/>
    <mergeCell ref="AN109:AQ109"/>
    <mergeCell ref="L112:N112"/>
    <mergeCell ref="S112:U112"/>
    <mergeCell ref="Z112:AB112"/>
    <mergeCell ref="AG112:AI112"/>
    <mergeCell ref="AN112:AP112"/>
    <mergeCell ref="S110:U110"/>
    <mergeCell ref="AR109:AT109"/>
    <mergeCell ref="AR112:AT112"/>
    <mergeCell ref="AU112:AW112"/>
    <mergeCell ref="Z111:AB111"/>
    <mergeCell ref="AD111:AF111"/>
    <mergeCell ref="AG111:AI111"/>
    <mergeCell ref="AK111:AM111"/>
    <mergeCell ref="W111:Y111"/>
    <mergeCell ref="AU109:AW109"/>
    <mergeCell ref="AU110:AW110"/>
    <mergeCell ref="AU111:AW111"/>
    <mergeCell ref="W112:Y112"/>
  </mergeCells>
  <phoneticPr fontId="7" type="noConversion"/>
  <conditionalFormatting sqref="AU118:AW118 AR118 Z118:AB118 W118 AG118:AI118 AD118 L118:N118 I118 AN118:AP118 AK118 S118:U118 P118">
    <cfRule type="expression" dxfId="3792" priority="8888">
      <formula>I118&lt;20</formula>
    </cfRule>
    <cfRule type="expression" dxfId="3791" priority="8889">
      <formula>I118&gt;30</formula>
    </cfRule>
  </conditionalFormatting>
  <conditionalFormatting sqref="AK37 AD37 W37 I37 P37 AR37">
    <cfRule type="expression" dxfId="3790" priority="8736">
      <formula>I37&lt;300</formula>
    </cfRule>
    <cfRule type="expression" dxfId="3789" priority="8737">
      <formula>I37&gt;360</formula>
    </cfRule>
  </conditionalFormatting>
  <conditionalFormatting sqref="I120 AD120 W120 P120 AK120 AR120 AK38 AD38 W38 I38 P38 AR38">
    <cfRule type="expression" dxfId="3788" priority="8734">
      <formula>I38&lt;30</formula>
    </cfRule>
    <cfRule type="expression" dxfId="3787" priority="8735">
      <formula>I38&gt;50</formula>
    </cfRule>
  </conditionalFormatting>
  <conditionalFormatting sqref="I72 P72 V72:W72 AR72 AD72 AK72">
    <cfRule type="expression" dxfId="3786" priority="7828">
      <formula>I72&lt;100</formula>
    </cfRule>
    <cfRule type="expression" dxfId="3785" priority="7829">
      <formula>I72&gt;200</formula>
    </cfRule>
  </conditionalFormatting>
  <conditionalFormatting sqref="I73 P73 AD73 AK73 AR73 V73:W73">
    <cfRule type="expression" dxfId="3784" priority="12896">
      <formula>I73&lt;20</formula>
    </cfRule>
    <cfRule type="expression" dxfId="3783" priority="12896">
      <formula>I73&gt;50</formula>
    </cfRule>
  </conditionalFormatting>
  <conditionalFormatting sqref="AR117 AU117:AV117 I117 L117:M117 W117 Z117:AA117 AD117 AG117:AH117 AK117 AN117:AO117 P117 S117:T117 AR132 AU132:AV132 I132 L132:M132 W132 Z132:AA132 AD132 AG132:AH132 AK132 AN132:AO132 P132 S132:T132">
    <cfRule type="expression" dxfId="3782" priority="7340">
      <formula>I117&lt;24</formula>
    </cfRule>
    <cfRule type="expression" dxfId="3781" priority="7341">
      <formula>I117&gt;28</formula>
    </cfRule>
  </conditionalFormatting>
  <conditionalFormatting sqref="I121 AD121 W121 P121 AK121 AR121">
    <cfRule type="expression" dxfId="3780" priority="6834">
      <formula>I121&lt;160</formula>
    </cfRule>
    <cfRule type="expression" dxfId="3779" priority="6835">
      <formula>I121&gt;220</formula>
    </cfRule>
  </conditionalFormatting>
  <conditionalFormatting sqref="I116 L116:M116 P116 S116:T116 W116 Z116:AA116 AD116 AG116:AH116 AR116 AU116:AV116 AK116 AN116:AO116">
    <cfRule type="expression" dxfId="3778" priority="4844">
      <formula>I116&lt;35</formula>
    </cfRule>
    <cfRule type="expression" dxfId="3777" priority="4845">
      <formula>I116&gt;45</formula>
    </cfRule>
  </conditionalFormatting>
  <conditionalFormatting sqref="I116:AW116">
    <cfRule type="cellIs" dxfId="3776" priority="4842" operator="between">
      <formula>43.1</formula>
      <formula>45</formula>
    </cfRule>
    <cfRule type="cellIs" dxfId="3775" priority="4843" operator="between">
      <formula>35</formula>
      <formula>36.9</formula>
    </cfRule>
  </conditionalFormatting>
  <conditionalFormatting sqref="I22 P22 W22 AD22 AK22 AR22 AZ22">
    <cfRule type="cellIs" dxfId="3774" priority="4657" operator="between">
      <formula>5%</formula>
      <formula>6.99%</formula>
    </cfRule>
    <cfRule type="cellIs" dxfId="3773" priority="4658" operator="between">
      <formula>12.99%</formula>
      <formula>15%</formula>
    </cfRule>
    <cfRule type="expression" dxfId="3772" priority="4659">
      <formula>I22&lt;5%</formula>
    </cfRule>
    <cfRule type="expression" dxfId="3771" priority="4660">
      <formula>I22&gt;15%</formula>
    </cfRule>
  </conditionalFormatting>
  <conditionalFormatting sqref="P98 W98 AD98 AR98 I98 AZ98 AK98">
    <cfRule type="cellIs" dxfId="3770" priority="3496" operator="between">
      <formula>2.21</formula>
      <formula>2.4</formula>
    </cfRule>
    <cfRule type="expression" dxfId="3769" priority="3497">
      <formula>I98&lt;1.8</formula>
    </cfRule>
    <cfRule type="expression" dxfId="3768" priority="3498">
      <formula>I98&gt;2.4</formula>
    </cfRule>
  </conditionalFormatting>
  <conditionalFormatting sqref="P97 W97 AD97 AK97 AR97 I97 AZ97">
    <cfRule type="cellIs" dxfId="3767" priority="3492" operator="between">
      <formula>8</formula>
      <formula>9.99</formula>
    </cfRule>
    <cfRule type="cellIs" dxfId="3766" priority="3493" operator="between">
      <formula>14.1</formula>
      <formula>16</formula>
    </cfRule>
    <cfRule type="expression" dxfId="3765" priority="3494">
      <formula>I97&lt;8</formula>
    </cfRule>
    <cfRule type="expression" dxfId="3764" priority="3495">
      <formula>I97&gt;16</formula>
    </cfRule>
  </conditionalFormatting>
  <conditionalFormatting sqref="I100 W100 AR100 AD100 AK100 P100 I127 W127 AR127 AD127 AK127 P127">
    <cfRule type="expression" dxfId="3763" priority="2322" stopIfTrue="1">
      <formula>I100&gt;140</formula>
    </cfRule>
    <cfRule type="expression" dxfId="3762" priority="2323" stopIfTrue="1">
      <formula>I100&lt;130</formula>
    </cfRule>
  </conditionalFormatting>
  <conditionalFormatting sqref="W128 AR128 AD128 AK128 P128 AR101 I101 P101 AK101 W101 AD101 I128">
    <cfRule type="cellIs" dxfId="3761" priority="2319" operator="between">
      <formula>3</formula>
      <formula>4.099</formula>
    </cfRule>
    <cfRule type="expression" dxfId="3760" priority="2320">
      <formula>I101&lt;3</formula>
    </cfRule>
    <cfRule type="expression" dxfId="3759" priority="2321">
      <formula>I101&gt;4.5</formula>
    </cfRule>
  </conditionalFormatting>
  <conditionalFormatting sqref="I99 W99 AD99 AR99 AK99 P99 I126 W126 AD126 AR126 AK126 P126">
    <cfRule type="expression" dxfId="3758" priority="2317">
      <formula>I99&lt;5</formula>
    </cfRule>
    <cfRule type="expression" dxfId="3757" priority="2318">
      <formula>I99&gt;6</formula>
    </cfRule>
  </conditionalFormatting>
  <conditionalFormatting sqref="AU133:AW133 AR133 Z133:AB133 W133 AG133:AI133 AD133 L133:N133 I133">
    <cfRule type="expression" dxfId="3756" priority="2315">
      <formula>I133&lt;20</formula>
    </cfRule>
    <cfRule type="expression" dxfId="3755" priority="2316">
      <formula>I133&gt;30</formula>
    </cfRule>
  </conditionalFormatting>
  <conditionalFormatting sqref="AN133:AP133 AK133">
    <cfRule type="expression" dxfId="3754" priority="2309">
      <formula>AK133&lt;20</formula>
    </cfRule>
    <cfRule type="expression" dxfId="3753" priority="2310">
      <formula>AK133&gt;30</formula>
    </cfRule>
  </conditionalFormatting>
  <conditionalFormatting sqref="S133:U133 P133">
    <cfRule type="expression" dxfId="3752" priority="2303">
      <formula>P133&lt;20</formula>
    </cfRule>
    <cfRule type="expression" dxfId="3751" priority="2304">
      <formula>P133&gt;30</formula>
    </cfRule>
  </conditionalFormatting>
  <conditionalFormatting sqref="I16 P16 W16 AD16 AK16 AR16 AZ16 I51 P51 W51 AD51 AK51 AR51 AZ51">
    <cfRule type="cellIs" dxfId="3750" priority="1958" operator="between">
      <formula>130</formula>
      <formula>132.99</formula>
    </cfRule>
    <cfRule type="cellIs" dxfId="3749" priority="1959" operator="between">
      <formula>147.1</formula>
      <formula>150</formula>
    </cfRule>
    <cfRule type="expression" dxfId="3748" priority="1960">
      <formula>I16&lt;130</formula>
    </cfRule>
    <cfRule type="expression" dxfId="3747" priority="1961">
      <formula>I16&gt;150</formula>
    </cfRule>
  </conditionalFormatting>
  <conditionalFormatting sqref="I17 P17 W17 AD17 AK17 AR17 AZ17 I52 P52 W52 AD52 AK52 AR52 AZ52">
    <cfRule type="expression" dxfId="3746" priority="1956">
      <formula>I17&lt;8</formula>
    </cfRule>
    <cfRule type="expression" dxfId="3745" priority="1957">
      <formula>I17&gt;12</formula>
    </cfRule>
  </conditionalFormatting>
  <conditionalFormatting sqref="I19 P19 W19 AD19 AK19 AR19 AZ19">
    <cfRule type="cellIs" dxfId="3744" priority="1953" operator="between">
      <formula>1.6</formula>
      <formula>1.799</formula>
    </cfRule>
    <cfRule type="expression" dxfId="3743" priority="1954">
      <formula>I19&lt;1.6</formula>
    </cfRule>
    <cfRule type="expression" dxfId="3742" priority="1955">
      <formula>I19&gt;2.2</formula>
    </cfRule>
  </conditionalFormatting>
  <conditionalFormatting sqref="I21 P21 W21 AD21 AK21 AR21 AZ21 I56 P56 W56 AD56 AK56 AR56 AZ56">
    <cfRule type="cellIs" dxfId="3741" priority="1949" operator="between">
      <formula>15%</formula>
      <formula>16.99%</formula>
    </cfRule>
    <cfRule type="cellIs" dxfId="3740" priority="1950" operator="between">
      <formula>27.01%</formula>
      <formula>30%</formula>
    </cfRule>
    <cfRule type="expression" dxfId="3739" priority="1951">
      <formula>I21&lt;15%</formula>
    </cfRule>
    <cfRule type="expression" dxfId="3738" priority="1952">
      <formula>I21&gt;30%</formula>
    </cfRule>
  </conditionalFormatting>
  <conditionalFormatting sqref="I6 I9 P6 P9 W6 W9 AD6 AD9 AK6 AK9 AR6 AR9 AZ6 AZ9">
    <cfRule type="cellIs" dxfId="3737" priority="1941" operator="between">
      <formula>20</formula>
      <formula>24.99</formula>
    </cfRule>
    <cfRule type="cellIs" dxfId="3736" priority="1942" operator="between">
      <formula>35.1</formula>
      <formula>40</formula>
    </cfRule>
    <cfRule type="expression" dxfId="3735" priority="1943">
      <formula>I6&lt;20</formula>
    </cfRule>
    <cfRule type="expression" dxfId="3734" priority="1944">
      <formula>I6&gt;40</formula>
    </cfRule>
  </conditionalFormatting>
  <conditionalFormatting sqref="I12 I14 P12 P14 W12 W14 AD12 AD14 AK12 AK14 AR12 AR14 AZ12 AZ14">
    <cfRule type="expression" dxfId="3733" priority="1939" stopIfTrue="1">
      <formula>I12&gt;80</formula>
    </cfRule>
    <cfRule type="expression" dxfId="3732" priority="1940" stopIfTrue="1">
      <formula>I12&lt;60</formula>
    </cfRule>
  </conditionalFormatting>
  <conditionalFormatting sqref="I20 P20 W20 AD20 AK20 AR20 AZ20 I55 P55 W55 AD55 AK55 AR55 AZ55">
    <cfRule type="cellIs" dxfId="3731" priority="1935" operator="between">
      <formula>30%</formula>
      <formula>39.99%</formula>
    </cfRule>
    <cfRule type="cellIs" dxfId="3730" priority="1936" operator="between">
      <formula>50.01%</formula>
      <formula>60%</formula>
    </cfRule>
    <cfRule type="expression" dxfId="3729" priority="1937">
      <formula>I20&lt;30%</formula>
    </cfRule>
    <cfRule type="expression" dxfId="3728" priority="1938">
      <formula>I20&gt;60%</formula>
    </cfRule>
  </conditionalFormatting>
  <conditionalFormatting sqref="I18 P18 W18 AD18 AK18 AR18 AZ18">
    <cfRule type="cellIs" dxfId="3727" priority="1932" operator="between">
      <formula>16.1</formula>
      <formula>18</formula>
    </cfRule>
    <cfRule type="expression" dxfId="3726" priority="1933">
      <formula>I18&lt;12</formula>
    </cfRule>
    <cfRule type="expression" dxfId="3725" priority="1934">
      <formula>I18&gt;18</formula>
    </cfRule>
  </conditionalFormatting>
  <conditionalFormatting sqref="I23 AZ23 I58 AZ58 P58 W58 AD58 AK58 AR58 P23 W23 AD23 AK23 AR23">
    <cfRule type="cellIs" dxfId="3724" priority="1928" operator="between">
      <formula>0.5%</formula>
      <formula>0.599%</formula>
    </cfRule>
    <cfRule type="cellIs" dxfId="3723" priority="1929" operator="between">
      <formula>1.41%</formula>
      <formula>1.5%</formula>
    </cfRule>
    <cfRule type="expression" dxfId="3722" priority="1930">
      <formula>I23&lt;0.5%</formula>
    </cfRule>
    <cfRule type="expression" dxfId="3721" priority="1931">
      <formula>I23&gt;1.5%</formula>
    </cfRule>
  </conditionalFormatting>
  <conditionalFormatting sqref="I32 L32:M32 P32 S32:T32 W32 Z32:AA32 AD32 AG32:AH32 AK32 AN32:AO32 AR32 AU32:AV32">
    <cfRule type="cellIs" dxfId="3720" priority="1754" operator="between">
      <formula>20</formula>
      <formula>25.9</formula>
    </cfRule>
    <cfRule type="cellIs" dxfId="3719" priority="1755" operator="between">
      <formula>34.1</formula>
      <formula>35</formula>
    </cfRule>
    <cfRule type="expression" dxfId="3718" priority="1756">
      <formula>I32&lt;20</formula>
    </cfRule>
    <cfRule type="expression" dxfId="3717" priority="1757">
      <formula>I32&gt;35</formula>
    </cfRule>
  </conditionalFormatting>
  <conditionalFormatting sqref="I28:I29 L28:M29 P28:P29 S28:T29 W28:W29 Z28:AA29 AD28:AD29 AG28:AH29 AK28:AK29 AN28:AO29 AR28:AR29 AU28:AV29 I63:I64 L63:M64 P63:P64 S63:T64 W63:W64 Z63:AA64 AD63:AD64 AG63:AH64 AK63:AK64 AN63:AO64 AR63:AR64 AU63:AV64">
    <cfRule type="cellIs" dxfId="3716" priority="1750" operator="between">
      <formula>50</formula>
      <formula>54.9</formula>
    </cfRule>
    <cfRule type="cellIs" dxfId="3715" priority="1751" operator="between">
      <formula>65.1</formula>
      <formula>70</formula>
    </cfRule>
    <cfRule type="expression" dxfId="3714" priority="1752">
      <formula>I28&lt;50</formula>
    </cfRule>
    <cfRule type="expression" dxfId="3713" priority="1753">
      <formula>I28&gt;70</formula>
    </cfRule>
  </conditionalFormatting>
  <conditionalFormatting sqref="I33 L33 P33 S33 W33 Z33 AD33 AG33 AK33 AN33 AR33 AU33">
    <cfRule type="cellIs" dxfId="3712" priority="1736" operator="between">
      <formula>30</formula>
      <formula>30.9</formula>
    </cfRule>
    <cfRule type="cellIs" dxfId="3711" priority="1737" operator="between">
      <formula>37.1</formula>
      <formula>40</formula>
    </cfRule>
    <cfRule type="expression" dxfId="3710" priority="1738">
      <formula>I33&lt;30</formula>
    </cfRule>
    <cfRule type="expression" dxfId="3709" priority="1739">
      <formula>I33&gt;40</formula>
    </cfRule>
  </conditionalFormatting>
  <conditionalFormatting sqref="L35 S35 Z35 AG35 AN35 AU35 L70 S70 Z70 AG70 AN70 AU70">
    <cfRule type="cellIs" dxfId="3708" priority="1728" operator="between">
      <formula>80</formula>
      <formula>84.9</formula>
    </cfRule>
    <cfRule type="cellIs" dxfId="3707" priority="1729" operator="between">
      <formula>95.1</formula>
      <formula>100</formula>
    </cfRule>
    <cfRule type="expression" dxfId="3706" priority="1730">
      <formula>L35&lt;80</formula>
    </cfRule>
    <cfRule type="expression" dxfId="3705" priority="1731">
      <formula>L35&gt;100</formula>
    </cfRule>
  </conditionalFormatting>
  <conditionalFormatting sqref="I34 L34 P34 S34 W34 Z34 AD34 AG34 AK34 AN34 AR34 AU34 I47 I49 P47 P49 W47 W49 AD47 AD49 AK47 AK49 AR47 AR49 AZ47 AZ49 I69 L69 P69 S69 W69 Z69 AD69 AG69 AK69 AN69 AR69 AU69">
    <cfRule type="expression" dxfId="3704" priority="1726">
      <formula>I34&lt;50</formula>
    </cfRule>
    <cfRule type="expression" dxfId="3703" priority="1727">
      <formula>I34&gt;70</formula>
    </cfRule>
  </conditionalFormatting>
  <conditionalFormatting sqref="I54 P54 W54 AD54 AK54 AR54 AZ54">
    <cfRule type="cellIs" dxfId="3702" priority="1510" operator="between">
      <formula>2</formula>
      <formula>2.199</formula>
    </cfRule>
    <cfRule type="cellIs" dxfId="3701" priority="1511" operator="between">
      <formula>2.41</formula>
      <formula>2.5</formula>
    </cfRule>
    <cfRule type="expression" dxfId="3700" priority="1512">
      <formula>I54&lt;2</formula>
    </cfRule>
    <cfRule type="expression" dxfId="3699" priority="1513">
      <formula>I54&gt;2.5</formula>
    </cfRule>
  </conditionalFormatting>
  <conditionalFormatting sqref="I57 P57 W57 AD57 AK57 AR57 AZ57">
    <cfRule type="expression" dxfId="3698" priority="1508">
      <formula>I57&lt;5%</formula>
    </cfRule>
    <cfRule type="expression" dxfId="3697" priority="1509">
      <formula>I57&gt;15%</formula>
    </cfRule>
  </conditionalFormatting>
  <conditionalFormatting sqref="I57 P57 W57 AD57 AK57 AR57 AZ57">
    <cfRule type="cellIs" dxfId="3696" priority="1506" operator="between">
      <formula>5%</formula>
      <formula>6.99%</formula>
    </cfRule>
    <cfRule type="cellIs" dxfId="3695" priority="1507" operator="between">
      <formula>13.1%</formula>
      <formula>15%</formula>
    </cfRule>
  </conditionalFormatting>
  <conditionalFormatting sqref="I43 I45 P43 P45 W43 W45 AD43 AD45 AK43 AK45 AR43 AR45 AZ43 AZ45">
    <cfRule type="cellIs" dxfId="3694" priority="1502" operator="between">
      <formula>60</formula>
      <formula>64.99</formula>
    </cfRule>
    <cfRule type="cellIs" dxfId="3693" priority="1503" operator="between">
      <formula>75.1</formula>
      <formula>80</formula>
    </cfRule>
    <cfRule type="expression" dxfId="3692" priority="1504">
      <formula>I43&lt;60</formula>
    </cfRule>
    <cfRule type="expression" dxfId="3691" priority="1505">
      <formula>I43&gt;80</formula>
    </cfRule>
  </conditionalFormatting>
  <conditionalFormatting sqref="I53 P53 W53 AD53 AK53 AR53 AZ53">
    <cfRule type="cellIs" dxfId="3690" priority="1499" operator="between">
      <formula>8.01</formula>
      <formula>10</formula>
    </cfRule>
    <cfRule type="expression" dxfId="3689" priority="1500">
      <formula>I53&lt;6</formula>
    </cfRule>
    <cfRule type="expression" dxfId="3688" priority="1501">
      <formula>I53&gt;10</formula>
    </cfRule>
  </conditionalFormatting>
  <conditionalFormatting sqref="I67 L67:M67 P67 S67:T67 W67 Z67:AA67 AD67 AG67:AH67 AK67 AN67:AO67 AR67 AU67:AV67">
    <cfRule type="cellIs" dxfId="3687" priority="1254" operator="between">
      <formula>22</formula>
      <formula>25.99</formula>
    </cfRule>
    <cfRule type="cellIs" dxfId="3686" priority="1255" operator="between">
      <formula>34.1</formula>
      <formula>35</formula>
    </cfRule>
    <cfRule type="expression" dxfId="3685" priority="1256">
      <formula>I67&lt;22</formula>
    </cfRule>
    <cfRule type="expression" dxfId="3684" priority="1257">
      <formula>I67&gt;35</formula>
    </cfRule>
  </conditionalFormatting>
  <conditionalFormatting sqref="I68 L68:M68 P68 S68:T68 W68 Z68:AA68 AD68 AG68:AH68 AK68 AN68:AO68 AR68 AU68:AV68">
    <cfRule type="cellIs" dxfId="3683" priority="1250" operator="between">
      <formula>30</formula>
      <formula>31.99</formula>
    </cfRule>
    <cfRule type="cellIs" dxfId="3682" priority="1251" operator="between">
      <formula>36.1</formula>
      <formula>38</formula>
    </cfRule>
    <cfRule type="expression" dxfId="3681" priority="1252">
      <formula>I68&lt;30</formula>
    </cfRule>
    <cfRule type="expression" dxfId="3680" priority="1253">
      <formula>I68&gt;38</formula>
    </cfRule>
  </conditionalFormatting>
  <conditionalFormatting sqref="I86 P86 W86 AD86 AK86 AR86 AZ86">
    <cfRule type="expression" dxfId="3679" priority="1161" stopIfTrue="1">
      <formula>I86&lt;135</formula>
    </cfRule>
  </conditionalFormatting>
  <conditionalFormatting sqref="I86 P86 W86 AD86 AK86 AR86 AZ86">
    <cfRule type="expression" dxfId="3678" priority="1160" stopIfTrue="1">
      <formula>I86&gt;145</formula>
    </cfRule>
  </conditionalFormatting>
  <conditionalFormatting sqref="I88 P88 W88 AD88 AK88 AR88 AZ88">
    <cfRule type="cellIs" dxfId="3677" priority="1155" operator="between">
      <formula>7.01</formula>
      <formula>8</formula>
    </cfRule>
    <cfRule type="expression" dxfId="3676" priority="1156">
      <formula>I88&lt;5</formula>
    </cfRule>
    <cfRule type="expression" dxfId="3675" priority="1157">
      <formula>I88&gt;8</formula>
    </cfRule>
  </conditionalFormatting>
  <conditionalFormatting sqref="AZ90">
    <cfRule type="expression" dxfId="3674" priority="1151">
      <formula>AZ90&lt;10%</formula>
    </cfRule>
    <cfRule type="expression" dxfId="3673" priority="1152">
      <formula>AZ90&gt;20%</formula>
    </cfRule>
  </conditionalFormatting>
  <conditionalFormatting sqref="I82 I84 P82 P84 W82 W84 AD82 AD84 AK82 AK84 AR82 AR84 AZ82 AZ84">
    <cfRule type="cellIs" dxfId="3672" priority="1147" operator="between">
      <formula>50</formula>
      <formula>54.99</formula>
    </cfRule>
    <cfRule type="cellIs" dxfId="3671" priority="1148" operator="between">
      <formula>65.01</formula>
      <formula>70</formula>
    </cfRule>
    <cfRule type="expression" dxfId="3670" priority="1149">
      <formula>I82&lt;50</formula>
    </cfRule>
    <cfRule type="expression" dxfId="3669" priority="1150">
      <formula>I82&gt;70</formula>
    </cfRule>
  </conditionalFormatting>
  <conditionalFormatting sqref="I78 I80 P78 P80 W78 W80 AD78 AD80 AK78 AK80 AR78 AR80 AZ78 AZ80 I30:I31 L30:L31 P30:P31 S30:S31 W30:W31 Z30:Z31 AD30:AD31 AG30:AG31 AK30:AK31 AN30:AN31 AR30:AR31 AU30:AU31 I65:I66 L65:L66 P65:P66 S65:S66 W65:W66 Z65:Z66 AD65:AD66 AG65:AG66 AK65:AK66 AN65:AN66 AR65:AR66 AU65:AU66">
    <cfRule type="cellIs" dxfId="3668" priority="1143" operator="between">
      <formula>40</formula>
      <formula>44.99</formula>
    </cfRule>
    <cfRule type="cellIs" dxfId="3667" priority="1144" operator="between">
      <formula>55.1</formula>
      <formula>60</formula>
    </cfRule>
    <cfRule type="expression" dxfId="3666" priority="1145">
      <formula>I30&lt;40</formula>
    </cfRule>
    <cfRule type="expression" dxfId="3665" priority="1146">
      <formula>I30&gt;60</formula>
    </cfRule>
  </conditionalFormatting>
  <conditionalFormatting sqref="AZ91:AZ93">
    <cfRule type="expression" dxfId="3664" priority="1141">
      <formula>AZ91&lt;40%</formula>
    </cfRule>
    <cfRule type="expression" dxfId="3663" priority="1142">
      <formula>AZ91&gt;50%</formula>
    </cfRule>
  </conditionalFormatting>
  <conditionalFormatting sqref="I94">
    <cfRule type="expression" dxfId="3662" priority="1139">
      <formula>I94&lt;0.6%</formula>
    </cfRule>
    <cfRule type="expression" dxfId="3661" priority="1140">
      <formula>I94&gt;1.4%</formula>
    </cfRule>
  </conditionalFormatting>
  <conditionalFormatting sqref="P94">
    <cfRule type="expression" dxfId="3660" priority="1116">
      <formula>P94&lt;0.6%</formula>
    </cfRule>
    <cfRule type="expression" dxfId="3659" priority="1117">
      <formula>P94&gt;1.4%</formula>
    </cfRule>
  </conditionalFormatting>
  <conditionalFormatting sqref="W94">
    <cfRule type="expression" dxfId="3658" priority="1093">
      <formula>W94&lt;0.6%</formula>
    </cfRule>
    <cfRule type="expression" dxfId="3657" priority="1094">
      <formula>W94&gt;1.4%</formula>
    </cfRule>
  </conditionalFormatting>
  <conditionalFormatting sqref="AD94">
    <cfRule type="expression" dxfId="3656" priority="1070">
      <formula>AD94&lt;0.6%</formula>
    </cfRule>
    <cfRule type="expression" dxfId="3655" priority="1071">
      <formula>AD94&gt;1.4%</formula>
    </cfRule>
  </conditionalFormatting>
  <conditionalFormatting sqref="AK94">
    <cfRule type="expression" dxfId="3654" priority="1047">
      <formula>AK94&lt;0.6%</formula>
    </cfRule>
    <cfRule type="expression" dxfId="3653" priority="1048">
      <formula>AK94&gt;1.4%</formula>
    </cfRule>
  </conditionalFormatting>
  <conditionalFormatting sqref="AR94">
    <cfRule type="expression" dxfId="3652" priority="1024">
      <formula>AR94&lt;0.6%</formula>
    </cfRule>
    <cfRule type="expression" dxfId="3651" priority="1025">
      <formula>AR94&gt;1.4%</formula>
    </cfRule>
  </conditionalFormatting>
  <conditionalFormatting sqref="AZ87">
    <cfRule type="expression" dxfId="3650" priority="1020">
      <formula>AZ87&lt;7.5</formula>
    </cfRule>
    <cfRule type="expression" dxfId="3649" priority="1021">
      <formula>AZ87&gt;9.5</formula>
    </cfRule>
  </conditionalFormatting>
  <conditionalFormatting sqref="AZ89:AZ90">
    <cfRule type="expression" dxfId="3648" priority="1015">
      <formula>AZ89&lt;2</formula>
    </cfRule>
    <cfRule type="expression" dxfId="3647" priority="1016">
      <formula>AZ89&gt;2.4</formula>
    </cfRule>
  </conditionalFormatting>
  <conditionalFormatting sqref="AZ94">
    <cfRule type="expression" dxfId="3646" priority="1001">
      <formula>AZ94&lt;0.6%</formula>
    </cfRule>
    <cfRule type="expression" dxfId="3645" priority="1002">
      <formula>AZ94&gt;1.4%</formula>
    </cfRule>
  </conditionalFormatting>
  <conditionalFormatting sqref="I109 L109:M109 P109 S109:T109 W109 Z109:AA109 AD109 AG109:AH109 AK109 AN109:AO109 AR109 AU109:AV109">
    <cfRule type="expression" dxfId="3644" priority="999">
      <formula>I109&lt;22</formula>
    </cfRule>
    <cfRule type="expression" dxfId="3643" priority="1000">
      <formula>I109&gt;28</formula>
    </cfRule>
  </conditionalFormatting>
  <conditionalFormatting sqref="I105:I107 L105:M107 P105:P107 S105:T107 W105:W107 Z105:AA107 AD105:AD107 AG105:AH107 AK105:AK107 AN105:AO107 AR105:AR107 AU105:AV107">
    <cfRule type="cellIs" dxfId="3642" priority="995" operator="between">
      <formula>50</formula>
      <formula>54.9</formula>
    </cfRule>
    <cfRule type="cellIs" dxfId="3641" priority="996" operator="between">
      <formula>65.1</formula>
      <formula>70</formula>
    </cfRule>
    <cfRule type="expression" dxfId="3640" priority="997">
      <formula>I105&lt;50</formula>
    </cfRule>
    <cfRule type="expression" dxfId="3639" priority="998">
      <formula>I105&gt;70</formula>
    </cfRule>
  </conditionalFormatting>
  <conditionalFormatting sqref="I110">
    <cfRule type="cellIs" dxfId="3638" priority="991" operator="between">
      <formula>30</formula>
      <formula>30.9</formula>
    </cfRule>
    <cfRule type="cellIs" dxfId="3637" priority="992" operator="between">
      <formula>37.1</formula>
      <formula>40</formula>
    </cfRule>
    <cfRule type="expression" dxfId="3636" priority="993">
      <formula>I110&lt;30</formula>
    </cfRule>
    <cfRule type="expression" dxfId="3635" priority="994">
      <formula>I110&gt;40</formula>
    </cfRule>
  </conditionalFormatting>
  <conditionalFormatting sqref="L110">
    <cfRule type="cellIs" dxfId="3634" priority="987" operator="between">
      <formula>30</formula>
      <formula>30.9</formula>
    </cfRule>
    <cfRule type="cellIs" dxfId="3633" priority="988" operator="between">
      <formula>37.1</formula>
      <formula>40</formula>
    </cfRule>
    <cfRule type="expression" dxfId="3632" priority="989">
      <formula>L110&lt;30</formula>
    </cfRule>
    <cfRule type="expression" dxfId="3631" priority="990">
      <formula>L110&gt;40</formula>
    </cfRule>
  </conditionalFormatting>
  <conditionalFormatting sqref="P110">
    <cfRule type="cellIs" dxfId="3630" priority="983" operator="between">
      <formula>30</formula>
      <formula>30.9</formula>
    </cfRule>
    <cfRule type="cellIs" dxfId="3629" priority="984" operator="between">
      <formula>37.1</formula>
      <formula>40</formula>
    </cfRule>
    <cfRule type="expression" dxfId="3628" priority="985">
      <formula>P110&lt;30</formula>
    </cfRule>
    <cfRule type="expression" dxfId="3627" priority="986">
      <formula>P110&gt;40</formula>
    </cfRule>
  </conditionalFormatting>
  <conditionalFormatting sqref="S110">
    <cfRule type="cellIs" dxfId="3626" priority="979" operator="between">
      <formula>30</formula>
      <formula>30.9</formula>
    </cfRule>
    <cfRule type="cellIs" dxfId="3625" priority="980" operator="between">
      <formula>37.1</formula>
      <formula>40</formula>
    </cfRule>
    <cfRule type="expression" dxfId="3624" priority="981">
      <formula>S110&lt;30</formula>
    </cfRule>
    <cfRule type="expression" dxfId="3623" priority="982">
      <formula>S110&gt;40</formula>
    </cfRule>
  </conditionalFormatting>
  <conditionalFormatting sqref="W110">
    <cfRule type="cellIs" dxfId="3622" priority="975" operator="between">
      <formula>30</formula>
      <formula>30.9</formula>
    </cfRule>
    <cfRule type="cellIs" dxfId="3621" priority="976" operator="between">
      <formula>37.1</formula>
      <formula>40</formula>
    </cfRule>
    <cfRule type="expression" dxfId="3620" priority="977">
      <formula>W110&lt;30</formula>
    </cfRule>
    <cfRule type="expression" dxfId="3619" priority="978">
      <formula>W110&gt;40</formula>
    </cfRule>
  </conditionalFormatting>
  <conditionalFormatting sqref="Z110">
    <cfRule type="cellIs" dxfId="3618" priority="971" operator="between">
      <formula>30</formula>
      <formula>30.9</formula>
    </cfRule>
    <cfRule type="cellIs" dxfId="3617" priority="972" operator="between">
      <formula>37.1</formula>
      <formula>40</formula>
    </cfRule>
    <cfRule type="expression" dxfId="3616" priority="973">
      <formula>Z110&lt;30</formula>
    </cfRule>
    <cfRule type="expression" dxfId="3615" priority="974">
      <formula>Z110&gt;40</formula>
    </cfRule>
  </conditionalFormatting>
  <conditionalFormatting sqref="AD110">
    <cfRule type="cellIs" dxfId="3614" priority="967" operator="between">
      <formula>30</formula>
      <formula>30.9</formula>
    </cfRule>
    <cfRule type="cellIs" dxfId="3613" priority="968" operator="between">
      <formula>37.1</formula>
      <formula>40</formula>
    </cfRule>
    <cfRule type="expression" dxfId="3612" priority="969">
      <formula>AD110&lt;30</formula>
    </cfRule>
    <cfRule type="expression" dxfId="3611" priority="970">
      <formula>AD110&gt;40</formula>
    </cfRule>
  </conditionalFormatting>
  <conditionalFormatting sqref="AG110">
    <cfRule type="cellIs" dxfId="3610" priority="963" operator="between">
      <formula>30</formula>
      <formula>30.9</formula>
    </cfRule>
    <cfRule type="cellIs" dxfId="3609" priority="964" operator="between">
      <formula>37.1</formula>
      <formula>40</formula>
    </cfRule>
    <cfRule type="expression" dxfId="3608" priority="965">
      <formula>AG110&lt;30</formula>
    </cfRule>
    <cfRule type="expression" dxfId="3607" priority="966">
      <formula>AG110&gt;40</formula>
    </cfRule>
  </conditionalFormatting>
  <conditionalFormatting sqref="AK110">
    <cfRule type="cellIs" dxfId="3606" priority="959" operator="between">
      <formula>30</formula>
      <formula>30.9</formula>
    </cfRule>
    <cfRule type="cellIs" dxfId="3605" priority="960" operator="between">
      <formula>37.1</formula>
      <formula>40</formula>
    </cfRule>
    <cfRule type="expression" dxfId="3604" priority="961">
      <formula>AK110&lt;30</formula>
    </cfRule>
    <cfRule type="expression" dxfId="3603" priority="962">
      <formula>AK110&gt;40</formula>
    </cfRule>
  </conditionalFormatting>
  <conditionalFormatting sqref="AN110">
    <cfRule type="cellIs" dxfId="3602" priority="955" operator="between">
      <formula>30</formula>
      <formula>30.9</formula>
    </cfRule>
    <cfRule type="cellIs" dxfId="3601" priority="956" operator="between">
      <formula>37.1</formula>
      <formula>40</formula>
    </cfRule>
    <cfRule type="expression" dxfId="3600" priority="957">
      <formula>AN110&lt;30</formula>
    </cfRule>
    <cfRule type="expression" dxfId="3599" priority="958">
      <formula>AN110&gt;40</formula>
    </cfRule>
  </conditionalFormatting>
  <conditionalFormatting sqref="AR110">
    <cfRule type="cellIs" dxfId="3598" priority="951" operator="between">
      <formula>30</formula>
      <formula>30.9</formula>
    </cfRule>
    <cfRule type="cellIs" dxfId="3597" priority="952" operator="between">
      <formula>37.1</formula>
      <formula>40</formula>
    </cfRule>
    <cfRule type="expression" dxfId="3596" priority="953">
      <formula>AR110&lt;30</formula>
    </cfRule>
    <cfRule type="expression" dxfId="3595" priority="954">
      <formula>AR110&gt;40</formula>
    </cfRule>
  </conditionalFormatting>
  <conditionalFormatting sqref="AU110">
    <cfRule type="cellIs" dxfId="3594" priority="947" operator="between">
      <formula>30</formula>
      <formula>30.9</formula>
    </cfRule>
    <cfRule type="cellIs" dxfId="3593" priority="948" operator="between">
      <formula>37.1</formula>
      <formula>40</formula>
    </cfRule>
    <cfRule type="expression" dxfId="3592" priority="949">
      <formula>AU110&lt;30</formula>
    </cfRule>
    <cfRule type="expression" dxfId="3591" priority="950">
      <formula>AU110&gt;40</formula>
    </cfRule>
  </conditionalFormatting>
  <conditionalFormatting sqref="I111">
    <cfRule type="expression" dxfId="3590" priority="945">
      <formula>I111&lt;55</formula>
    </cfRule>
    <cfRule type="expression" dxfId="3589" priority="946">
      <formula>I111&gt;65</formula>
    </cfRule>
  </conditionalFormatting>
  <conditionalFormatting sqref="L111 O111">
    <cfRule type="expression" dxfId="3588" priority="943">
      <formula>L111&lt;55</formula>
    </cfRule>
    <cfRule type="expression" dxfId="3587" priority="944">
      <formula>L111&gt;65</formula>
    </cfRule>
  </conditionalFormatting>
  <conditionalFormatting sqref="P111 V111">
    <cfRule type="expression" dxfId="3586" priority="941">
      <formula>P111&lt;55</formula>
    </cfRule>
    <cfRule type="expression" dxfId="3585" priority="942">
      <formula>P111&gt;65</formula>
    </cfRule>
  </conditionalFormatting>
  <conditionalFormatting sqref="S111">
    <cfRule type="expression" dxfId="3584" priority="939">
      <formula>S111&lt;55</formula>
    </cfRule>
    <cfRule type="expression" dxfId="3583" priority="940">
      <formula>S111&gt;65</formula>
    </cfRule>
  </conditionalFormatting>
  <conditionalFormatting sqref="W111 AC111">
    <cfRule type="expression" dxfId="3582" priority="937">
      <formula>W111&lt;55</formula>
    </cfRule>
    <cfRule type="expression" dxfId="3581" priority="938">
      <formula>W111&gt;65</formula>
    </cfRule>
  </conditionalFormatting>
  <conditionalFormatting sqref="Z111">
    <cfRule type="expression" dxfId="3580" priority="935">
      <formula>Z111&lt;55</formula>
    </cfRule>
    <cfRule type="expression" dxfId="3579" priority="936">
      <formula>Z111&gt;65</formula>
    </cfRule>
  </conditionalFormatting>
  <conditionalFormatting sqref="AD111 AJ111">
    <cfRule type="expression" dxfId="3578" priority="933">
      <formula>AD111&lt;55</formula>
    </cfRule>
    <cfRule type="expression" dxfId="3577" priority="934">
      <formula>AD111&gt;65</formula>
    </cfRule>
  </conditionalFormatting>
  <conditionalFormatting sqref="AG111">
    <cfRule type="expression" dxfId="3576" priority="931">
      <formula>AG111&lt;55</formula>
    </cfRule>
    <cfRule type="expression" dxfId="3575" priority="932">
      <formula>AG111&gt;65</formula>
    </cfRule>
  </conditionalFormatting>
  <conditionalFormatting sqref="AK111 AQ111">
    <cfRule type="expression" dxfId="3574" priority="929">
      <formula>AK111&lt;55</formula>
    </cfRule>
    <cfRule type="expression" dxfId="3573" priority="930">
      <formula>AK111&gt;65</formula>
    </cfRule>
  </conditionalFormatting>
  <conditionalFormatting sqref="AN111">
    <cfRule type="expression" dxfId="3572" priority="927">
      <formula>AN111&lt;55</formula>
    </cfRule>
    <cfRule type="expression" dxfId="3571" priority="928">
      <formula>AN111&gt;65</formula>
    </cfRule>
  </conditionalFormatting>
  <conditionalFormatting sqref="AR111">
    <cfRule type="expression" dxfId="3570" priority="925">
      <formula>AR111&lt;55</formula>
    </cfRule>
    <cfRule type="expression" dxfId="3569" priority="926">
      <formula>AR111&gt;65</formula>
    </cfRule>
  </conditionalFormatting>
  <conditionalFormatting sqref="AU111">
    <cfRule type="expression" dxfId="3568" priority="923">
      <formula>AU111&lt;55</formula>
    </cfRule>
    <cfRule type="expression" dxfId="3567" priority="924">
      <formula>AU111&gt;65</formula>
    </cfRule>
  </conditionalFormatting>
  <conditionalFormatting sqref="L112">
    <cfRule type="cellIs" dxfId="3566" priority="919" operator="between">
      <formula>80</formula>
      <formula>84.9</formula>
    </cfRule>
    <cfRule type="cellIs" dxfId="3565" priority="920" operator="between">
      <formula>95.1</formula>
      <formula>100</formula>
    </cfRule>
    <cfRule type="expression" dxfId="3564" priority="921">
      <formula>L112&lt;80</formula>
    </cfRule>
    <cfRule type="expression" dxfId="3563" priority="922">
      <formula>L112&gt;100</formula>
    </cfRule>
  </conditionalFormatting>
  <conditionalFormatting sqref="S112">
    <cfRule type="cellIs" dxfId="3562" priority="915" operator="between">
      <formula>80</formula>
      <formula>84.9</formula>
    </cfRule>
    <cfRule type="cellIs" dxfId="3561" priority="916" operator="between">
      <formula>95.1</formula>
      <formula>100</formula>
    </cfRule>
    <cfRule type="expression" dxfId="3560" priority="917">
      <formula>S112&lt;80</formula>
    </cfRule>
    <cfRule type="expression" dxfId="3559" priority="918">
      <formula>S112&gt;100</formula>
    </cfRule>
  </conditionalFormatting>
  <conditionalFormatting sqref="Z112">
    <cfRule type="cellIs" dxfId="3558" priority="911" operator="between">
      <formula>80</formula>
      <formula>84.9</formula>
    </cfRule>
    <cfRule type="cellIs" dxfId="3557" priority="912" operator="between">
      <formula>95.1</formula>
      <formula>100</formula>
    </cfRule>
    <cfRule type="expression" dxfId="3556" priority="913">
      <formula>Z112&lt;80</formula>
    </cfRule>
    <cfRule type="expression" dxfId="3555" priority="914">
      <formula>Z112&gt;100</formula>
    </cfRule>
  </conditionalFormatting>
  <conditionalFormatting sqref="AG112">
    <cfRule type="cellIs" dxfId="3554" priority="907" operator="between">
      <formula>80</formula>
      <formula>84.9</formula>
    </cfRule>
    <cfRule type="cellIs" dxfId="3553" priority="908" operator="between">
      <formula>95.1</formula>
      <formula>100</formula>
    </cfRule>
    <cfRule type="expression" dxfId="3552" priority="909">
      <formula>AG112&lt;80</formula>
    </cfRule>
    <cfRule type="expression" dxfId="3551" priority="910">
      <formula>AG112&gt;100</formula>
    </cfRule>
  </conditionalFormatting>
  <conditionalFormatting sqref="AN112">
    <cfRule type="cellIs" dxfId="3550" priority="903" operator="between">
      <formula>80</formula>
      <formula>84.9</formula>
    </cfRule>
    <cfRule type="cellIs" dxfId="3549" priority="904" operator="between">
      <formula>95.1</formula>
      <formula>100</formula>
    </cfRule>
    <cfRule type="expression" dxfId="3548" priority="905">
      <formula>AN112&lt;80</formula>
    </cfRule>
    <cfRule type="expression" dxfId="3547" priority="906">
      <formula>AN112&gt;100</formula>
    </cfRule>
  </conditionalFormatting>
  <conditionalFormatting sqref="AU112">
    <cfRule type="cellIs" dxfId="3546" priority="899" operator="between">
      <formula>80</formula>
      <formula>84.9</formula>
    </cfRule>
    <cfRule type="cellIs" dxfId="3545" priority="900" operator="between">
      <formula>95.1</formula>
      <formula>100</formula>
    </cfRule>
    <cfRule type="expression" dxfId="3544" priority="901">
      <formula>AU112&lt;80</formula>
    </cfRule>
    <cfRule type="expression" dxfId="3543" priority="902">
      <formula>AU112&gt;100</formula>
    </cfRule>
  </conditionalFormatting>
  <conditionalFormatting sqref="I113">
    <cfRule type="expression" dxfId="3542" priority="897">
      <formula>I113&lt;40</formula>
    </cfRule>
    <cfRule type="expression" dxfId="3541" priority="898">
      <formula>I113&gt;60</formula>
    </cfRule>
  </conditionalFormatting>
  <conditionalFormatting sqref="L113">
    <cfRule type="expression" dxfId="3540" priority="895">
      <formula>L113&lt;40</formula>
    </cfRule>
    <cfRule type="expression" dxfId="3539" priority="896">
      <formula>L113&gt;60</formula>
    </cfRule>
  </conditionalFormatting>
  <conditionalFormatting sqref="P113">
    <cfRule type="expression" dxfId="3538" priority="893">
      <formula>P113&lt;40</formula>
    </cfRule>
    <cfRule type="expression" dxfId="3537" priority="894">
      <formula>P113&gt;60</formula>
    </cfRule>
  </conditionalFormatting>
  <conditionalFormatting sqref="S113">
    <cfRule type="expression" dxfId="3536" priority="891">
      <formula>S113&lt;40</formula>
    </cfRule>
    <cfRule type="expression" dxfId="3535" priority="892">
      <formula>S113&gt;60</formula>
    </cfRule>
  </conditionalFormatting>
  <conditionalFormatting sqref="W113">
    <cfRule type="expression" dxfId="3534" priority="889">
      <formula>W113&lt;40</formula>
    </cfRule>
    <cfRule type="expression" dxfId="3533" priority="890">
      <formula>W113&gt;60</formula>
    </cfRule>
  </conditionalFormatting>
  <conditionalFormatting sqref="Z113">
    <cfRule type="expression" dxfId="3532" priority="887">
      <formula>Z113&lt;40</formula>
    </cfRule>
    <cfRule type="expression" dxfId="3531" priority="888">
      <formula>Z113&gt;60</formula>
    </cfRule>
  </conditionalFormatting>
  <conditionalFormatting sqref="AD113">
    <cfRule type="expression" dxfId="3530" priority="885">
      <formula>AD113&lt;40</formula>
    </cfRule>
    <cfRule type="expression" dxfId="3529" priority="886">
      <formula>AD113&gt;60</formula>
    </cfRule>
  </conditionalFormatting>
  <conditionalFormatting sqref="AG113">
    <cfRule type="expression" dxfId="3528" priority="883">
      <formula>AG113&lt;40</formula>
    </cfRule>
    <cfRule type="expression" dxfId="3527" priority="884">
      <formula>AG113&gt;60</formula>
    </cfRule>
  </conditionalFormatting>
  <conditionalFormatting sqref="AK113">
    <cfRule type="expression" dxfId="3526" priority="881">
      <formula>AK113&lt;40</formula>
    </cfRule>
    <cfRule type="expression" dxfId="3525" priority="882">
      <formula>AK113&gt;60</formula>
    </cfRule>
  </conditionalFormatting>
  <conditionalFormatting sqref="AN113">
    <cfRule type="expression" dxfId="3524" priority="879">
      <formula>AN113&lt;40</formula>
    </cfRule>
    <cfRule type="expression" dxfId="3523" priority="880">
      <formula>AN113&gt;60</formula>
    </cfRule>
  </conditionalFormatting>
  <conditionalFormatting sqref="AR113">
    <cfRule type="expression" dxfId="3522" priority="877">
      <formula>AR113&lt;40</formula>
    </cfRule>
    <cfRule type="expression" dxfId="3521" priority="878">
      <formula>AR113&gt;60</formula>
    </cfRule>
  </conditionalFormatting>
  <conditionalFormatting sqref="AU113">
    <cfRule type="expression" dxfId="3520" priority="875">
      <formula>AU113&lt;40</formula>
    </cfRule>
    <cfRule type="expression" dxfId="3519" priority="876">
      <formula>AU113&gt;60</formula>
    </cfRule>
  </conditionalFormatting>
  <conditionalFormatting sqref="I114">
    <cfRule type="expression" dxfId="3518" priority="873">
      <formula>I114&lt;50</formula>
    </cfRule>
    <cfRule type="expression" dxfId="3517" priority="874">
      <formula>I114&gt;70</formula>
    </cfRule>
  </conditionalFormatting>
  <conditionalFormatting sqref="L114">
    <cfRule type="expression" dxfId="3516" priority="871">
      <formula>L114&lt;50</formula>
    </cfRule>
    <cfRule type="expression" dxfId="3515" priority="872">
      <formula>L114&gt;70</formula>
    </cfRule>
  </conditionalFormatting>
  <conditionalFormatting sqref="P114">
    <cfRule type="expression" dxfId="3514" priority="869">
      <formula>P114&lt;50</formula>
    </cfRule>
    <cfRule type="expression" dxfId="3513" priority="870">
      <formula>P114&gt;70</formula>
    </cfRule>
  </conditionalFormatting>
  <conditionalFormatting sqref="S114">
    <cfRule type="expression" dxfId="3512" priority="867">
      <formula>S114&lt;50</formula>
    </cfRule>
    <cfRule type="expression" dxfId="3511" priority="868">
      <formula>S114&gt;70</formula>
    </cfRule>
  </conditionalFormatting>
  <conditionalFormatting sqref="W114">
    <cfRule type="expression" dxfId="3510" priority="865">
      <formula>W114&lt;50</formula>
    </cfRule>
    <cfRule type="expression" dxfId="3509" priority="866">
      <formula>W114&gt;70</formula>
    </cfRule>
  </conditionalFormatting>
  <conditionalFormatting sqref="Z114">
    <cfRule type="expression" dxfId="3508" priority="863">
      <formula>Z114&lt;50</formula>
    </cfRule>
    <cfRule type="expression" dxfId="3507" priority="864">
      <formula>Z114&gt;70</formula>
    </cfRule>
  </conditionalFormatting>
  <conditionalFormatting sqref="AD114">
    <cfRule type="expression" dxfId="3506" priority="861">
      <formula>AD114&lt;50</formula>
    </cfRule>
    <cfRule type="expression" dxfId="3505" priority="862">
      <formula>AD114&gt;70</formula>
    </cfRule>
  </conditionalFormatting>
  <conditionalFormatting sqref="AG114">
    <cfRule type="expression" dxfId="3504" priority="859">
      <formula>AG114&lt;50</formula>
    </cfRule>
    <cfRule type="expression" dxfId="3503" priority="860">
      <formula>AG114&gt;70</formula>
    </cfRule>
  </conditionalFormatting>
  <conditionalFormatting sqref="AK114">
    <cfRule type="expression" dxfId="3502" priority="857">
      <formula>AK114&lt;50</formula>
    </cfRule>
    <cfRule type="expression" dxfId="3501" priority="858">
      <formula>AK114&gt;70</formula>
    </cfRule>
  </conditionalFormatting>
  <conditionalFormatting sqref="AN114">
    <cfRule type="expression" dxfId="3500" priority="855">
      <formula>AN114&lt;50</formula>
    </cfRule>
    <cfRule type="expression" dxfId="3499" priority="856">
      <formula>AN114&gt;70</formula>
    </cfRule>
  </conditionalFormatting>
  <conditionalFormatting sqref="AR114">
    <cfRule type="expression" dxfId="3498" priority="853">
      <formula>AR114&lt;50</formula>
    </cfRule>
    <cfRule type="expression" dxfId="3497" priority="854">
      <formula>AR114&gt;70</formula>
    </cfRule>
  </conditionalFormatting>
  <conditionalFormatting sqref="AU114">
    <cfRule type="expression" dxfId="3496" priority="851">
      <formula>AU114&lt;50</formula>
    </cfRule>
    <cfRule type="expression" dxfId="3495" priority="852">
      <formula>AU114&gt;70</formula>
    </cfRule>
  </conditionalFormatting>
  <conditionalFormatting sqref="I108 L108:M108 P108 S108:T108 W108 Z108:AA108 AD108 AG108:AH108 AK108 AN108:AO108 AR108 AU108:AV108">
    <cfRule type="cellIs" dxfId="3494" priority="847" operator="between">
      <formula>50</formula>
      <formula>54.9</formula>
    </cfRule>
    <cfRule type="cellIs" dxfId="3493" priority="848" operator="between">
      <formula>65.1</formula>
      <formula>70</formula>
    </cfRule>
    <cfRule type="expression" dxfId="3492" priority="849">
      <formula>I108&lt;50</formula>
    </cfRule>
    <cfRule type="expression" dxfId="3491" priority="850">
      <formula>I108&gt;70</formula>
    </cfRule>
  </conditionalFormatting>
  <conditionalFormatting sqref="I24 P24 W24 AD24 AK24 AR24">
    <cfRule type="cellIs" dxfId="3490" priority="843" operator="between">
      <formula>5</formula>
      <formula>6.49</formula>
    </cfRule>
    <cfRule type="cellIs" dxfId="3489" priority="844" operator="between">
      <formula>8.51</formula>
      <formula>10</formula>
    </cfRule>
    <cfRule type="expression" dxfId="3488" priority="845">
      <formula>I24&lt;5</formula>
    </cfRule>
    <cfRule type="expression" dxfId="3487" priority="846">
      <formula>I24&gt;10</formula>
    </cfRule>
  </conditionalFormatting>
  <conditionalFormatting sqref="I59 P59:P60 W59:W60 AD59:AD60 AK59:AK60 AR59:AR60">
    <cfRule type="cellIs" dxfId="3486" priority="795" operator="between">
      <formula>5</formula>
      <formula>5.499</formula>
    </cfRule>
    <cfRule type="cellIs" dxfId="3485" priority="796" operator="between">
      <formula>6.51</formula>
      <formula>8</formula>
    </cfRule>
    <cfRule type="expression" dxfId="3484" priority="797">
      <formula>I59&lt;5</formula>
    </cfRule>
    <cfRule type="expression" dxfId="3483" priority="798">
      <formula>I59&gt;8</formula>
    </cfRule>
  </conditionalFormatting>
  <conditionalFormatting sqref="I60 P60 W60 AD60 AK60 AR60">
    <cfRule type="cellIs" dxfId="3482" priority="791" operator="between">
      <formula>1.8</formula>
      <formula>1.999</formula>
    </cfRule>
    <cfRule type="cellIs" dxfId="3481" priority="792" operator="between">
      <formula>2.21</formula>
      <formula>2.4</formula>
    </cfRule>
    <cfRule type="expression" dxfId="3480" priority="793">
      <formula>I60&lt;1.8</formula>
    </cfRule>
    <cfRule type="expression" dxfId="3479" priority="794">
      <formula>I60&gt;2.4</formula>
    </cfRule>
  </conditionalFormatting>
  <conditionalFormatting sqref="I115">
    <cfRule type="expression" dxfId="3478" priority="701">
      <formula>I115&lt;20</formula>
    </cfRule>
    <cfRule type="expression" dxfId="3477" priority="702">
      <formula>I115&gt;30</formula>
    </cfRule>
  </conditionalFormatting>
  <conditionalFormatting sqref="L115">
    <cfRule type="expression" dxfId="3476" priority="699">
      <formula>L115&lt;20</formula>
    </cfRule>
    <cfRule type="expression" dxfId="3475" priority="700">
      <formula>L115&gt;30</formula>
    </cfRule>
  </conditionalFormatting>
  <conditionalFormatting sqref="P115">
    <cfRule type="expression" dxfId="3474" priority="697">
      <formula>P115&lt;20</formula>
    </cfRule>
    <cfRule type="expression" dxfId="3473" priority="698">
      <formula>P115&gt;30</formula>
    </cfRule>
  </conditionalFormatting>
  <conditionalFormatting sqref="S115">
    <cfRule type="expression" dxfId="3472" priority="695">
      <formula>S115&lt;20</formula>
    </cfRule>
    <cfRule type="expression" dxfId="3471" priority="696">
      <formula>S115&gt;30</formula>
    </cfRule>
  </conditionalFormatting>
  <conditionalFormatting sqref="W115">
    <cfRule type="expression" dxfId="3470" priority="693">
      <formula>W115&lt;20</formula>
    </cfRule>
    <cfRule type="expression" dxfId="3469" priority="694">
      <formula>W115&gt;30</formula>
    </cfRule>
  </conditionalFormatting>
  <conditionalFormatting sqref="Z115">
    <cfRule type="expression" dxfId="3468" priority="691">
      <formula>Z115&lt;20</formula>
    </cfRule>
    <cfRule type="expression" dxfId="3467" priority="692">
      <formula>Z115&gt;30</formula>
    </cfRule>
  </conditionalFormatting>
  <conditionalFormatting sqref="AD115">
    <cfRule type="expression" dxfId="3466" priority="689">
      <formula>AD115&lt;20</formula>
    </cfRule>
    <cfRule type="expression" dxfId="3465" priority="690">
      <formula>AD115&gt;30</formula>
    </cfRule>
  </conditionalFormatting>
  <conditionalFormatting sqref="AG115">
    <cfRule type="expression" dxfId="3464" priority="687">
      <formula>AG115&lt;20</formula>
    </cfRule>
    <cfRule type="expression" dxfId="3463" priority="688">
      <formula>AG115&gt;30</formula>
    </cfRule>
  </conditionalFormatting>
  <conditionalFormatting sqref="AK115">
    <cfRule type="expression" dxfId="3462" priority="685">
      <formula>AK115&lt;20</formula>
    </cfRule>
    <cfRule type="expression" dxfId="3461" priority="686">
      <formula>AK115&gt;30</formula>
    </cfRule>
  </conditionalFormatting>
  <conditionalFormatting sqref="AN115">
    <cfRule type="expression" dxfId="3460" priority="683">
      <formula>AN115&lt;20</formula>
    </cfRule>
    <cfRule type="expression" dxfId="3459" priority="684">
      <formula>AN115&gt;30</formula>
    </cfRule>
  </conditionalFormatting>
  <conditionalFormatting sqref="AR115">
    <cfRule type="expression" dxfId="3458" priority="681">
      <formula>AR115&lt;20</formula>
    </cfRule>
    <cfRule type="expression" dxfId="3457" priority="682">
      <formula>AR115&gt;30</formula>
    </cfRule>
  </conditionalFormatting>
  <conditionalFormatting sqref="AU115">
    <cfRule type="expression" dxfId="3456" priority="679">
      <formula>AU115&lt;20</formula>
    </cfRule>
    <cfRule type="expression" dxfId="3455" priority="680">
      <formula>AU115&gt;30</formula>
    </cfRule>
  </conditionalFormatting>
  <conditionalFormatting sqref="I87 P87 W87 AD87 AK87 AR87">
    <cfRule type="cellIs" dxfId="3454" priority="579" operator="between">
      <formula>7</formula>
      <formula>7.499</formula>
    </cfRule>
    <cfRule type="cellIs" dxfId="3453" priority="580" operator="between">
      <formula>9.51</formula>
      <formula>10</formula>
    </cfRule>
    <cfRule type="expression" dxfId="3452" priority="581">
      <formula>I87&lt;7</formula>
    </cfRule>
    <cfRule type="expression" dxfId="3451" priority="582">
      <formula>I87&gt;10</formula>
    </cfRule>
  </conditionalFormatting>
  <conditionalFormatting sqref="I89 P89 W89 AD89 AK89 AR89">
    <cfRule type="cellIs" dxfId="3450" priority="343" operator="between">
      <formula>2</formula>
      <formula>2.099</formula>
    </cfRule>
    <cfRule type="cellIs" dxfId="3449" priority="344" operator="between">
      <formula>2.31</formula>
      <formula>2.4</formula>
    </cfRule>
    <cfRule type="expression" dxfId="3448" priority="345">
      <formula>I89&lt;2</formula>
    </cfRule>
    <cfRule type="expression" dxfId="3447" priority="346">
      <formula>I89&gt;2.4</formula>
    </cfRule>
  </conditionalFormatting>
  <conditionalFormatting sqref="I25 P25 W25 AD25 AK25 AR25">
    <cfRule type="cellIs" dxfId="3446" priority="319" operator="between">
      <formula>1.8</formula>
      <formula>1.899</formula>
    </cfRule>
    <cfRule type="cellIs" dxfId="3445" priority="320" operator="between">
      <formula>2.11</formula>
      <formula>2.2</formula>
    </cfRule>
    <cfRule type="expression" dxfId="3444" priority="321">
      <formula>I25&lt;1.8</formula>
    </cfRule>
    <cfRule type="expression" dxfId="3443" priority="322">
      <formula>I25&gt;2.2</formula>
    </cfRule>
  </conditionalFormatting>
  <conditionalFormatting sqref="P94">
    <cfRule type="expression" dxfId="3442" priority="225">
      <formula>P94&lt;0.6%</formula>
    </cfRule>
    <cfRule type="expression" dxfId="3441" priority="226">
      <formula>P94&gt;1.4%</formula>
    </cfRule>
  </conditionalFormatting>
  <conditionalFormatting sqref="W94">
    <cfRule type="expression" dxfId="3440" priority="223">
      <formula>W94&lt;0.6%</formula>
    </cfRule>
    <cfRule type="expression" dxfId="3439" priority="224">
      <formula>W94&gt;1.4%</formula>
    </cfRule>
  </conditionalFormatting>
  <conditionalFormatting sqref="AD94">
    <cfRule type="expression" dxfId="3438" priority="221">
      <formula>AD94&lt;0.6%</formula>
    </cfRule>
    <cfRule type="expression" dxfId="3437" priority="222">
      <formula>AD94&gt;1.4%</formula>
    </cfRule>
  </conditionalFormatting>
  <conditionalFormatting sqref="AK94">
    <cfRule type="expression" dxfId="3436" priority="219">
      <formula>AK94&lt;0.6%</formula>
    </cfRule>
    <cfRule type="expression" dxfId="3435" priority="220">
      <formula>AK94&gt;1.4%</formula>
    </cfRule>
  </conditionalFormatting>
  <conditionalFormatting sqref="AR94">
    <cfRule type="expression" dxfId="3434" priority="217">
      <formula>AR94&lt;0.6%</formula>
    </cfRule>
    <cfRule type="expression" dxfId="3433" priority="218">
      <formula>AR94&gt;1.4%</formula>
    </cfRule>
  </conditionalFormatting>
  <conditionalFormatting sqref="I95 AL95">
    <cfRule type="cellIs" dxfId="3432" priority="173" operator="between">
      <formula>5</formula>
      <formula>5.499</formula>
    </cfRule>
    <cfRule type="cellIs" dxfId="3431" priority="174" operator="between">
      <formula>6.51</formula>
      <formula>8</formula>
    </cfRule>
    <cfRule type="expression" dxfId="3430" priority="175">
      <formula>I95&lt;5</formula>
    </cfRule>
    <cfRule type="expression" dxfId="3429" priority="176">
      <formula>I95&gt;8</formula>
    </cfRule>
  </conditionalFormatting>
  <conditionalFormatting sqref="I96 AL96">
    <cfRule type="cellIs" dxfId="3428" priority="169" operator="between">
      <formula>1.8</formula>
      <formula>1.999</formula>
    </cfRule>
    <cfRule type="cellIs" dxfId="3427" priority="170" operator="between">
      <formula>2.21</formula>
      <formula>2.4</formula>
    </cfRule>
    <cfRule type="expression" dxfId="3426" priority="171">
      <formula>I96&lt;1.8</formula>
    </cfRule>
    <cfRule type="expression" dxfId="3425" priority="172">
      <formula>I96&gt;2.4</formula>
    </cfRule>
  </conditionalFormatting>
  <conditionalFormatting sqref="P95">
    <cfRule type="cellIs" dxfId="3424" priority="165" operator="between">
      <formula>5</formula>
      <formula>5.499</formula>
    </cfRule>
    <cfRule type="cellIs" dxfId="3423" priority="166" operator="between">
      <formula>6.51</formula>
      <formula>8</formula>
    </cfRule>
    <cfRule type="expression" dxfId="3422" priority="167">
      <formula>P95&lt;5</formula>
    </cfRule>
    <cfRule type="expression" dxfId="3421" priority="168">
      <formula>P95&gt;8</formula>
    </cfRule>
  </conditionalFormatting>
  <conditionalFormatting sqref="P96">
    <cfRule type="cellIs" dxfId="3420" priority="161" operator="between">
      <formula>1.8</formula>
      <formula>1.999</formula>
    </cfRule>
    <cfRule type="cellIs" dxfId="3419" priority="162" operator="between">
      <formula>2.21</formula>
      <formula>2.4</formula>
    </cfRule>
    <cfRule type="expression" dxfId="3418" priority="163">
      <formula>P96&lt;1.8</formula>
    </cfRule>
    <cfRule type="expression" dxfId="3417" priority="164">
      <formula>P96&gt;2.4</formula>
    </cfRule>
  </conditionalFormatting>
  <conditionalFormatting sqref="W95">
    <cfRule type="cellIs" dxfId="3416" priority="157" operator="between">
      <formula>5</formula>
      <formula>5.499</formula>
    </cfRule>
    <cfRule type="cellIs" dxfId="3415" priority="158" operator="between">
      <formula>6.51</formula>
      <formula>8</formula>
    </cfRule>
    <cfRule type="expression" dxfId="3414" priority="159">
      <formula>W95&lt;5</formula>
    </cfRule>
    <cfRule type="expression" dxfId="3413" priority="160">
      <formula>W95&gt;8</formula>
    </cfRule>
  </conditionalFormatting>
  <conditionalFormatting sqref="W96">
    <cfRule type="cellIs" dxfId="3412" priority="153" operator="between">
      <formula>1.8</formula>
      <formula>1.999</formula>
    </cfRule>
    <cfRule type="cellIs" dxfId="3411" priority="154" operator="between">
      <formula>2.21</formula>
      <formula>2.4</formula>
    </cfRule>
    <cfRule type="expression" dxfId="3410" priority="155">
      <formula>W96&lt;1.8</formula>
    </cfRule>
    <cfRule type="expression" dxfId="3409" priority="156">
      <formula>W96&gt;2.4</formula>
    </cfRule>
  </conditionalFormatting>
  <conditionalFormatting sqref="AD95">
    <cfRule type="cellIs" dxfId="3408" priority="149" operator="between">
      <formula>5</formula>
      <formula>5.499</formula>
    </cfRule>
    <cfRule type="cellIs" dxfId="3407" priority="150" operator="between">
      <formula>6.51</formula>
      <formula>8</formula>
    </cfRule>
    <cfRule type="expression" dxfId="3406" priority="151">
      <formula>AD95&lt;5</formula>
    </cfRule>
    <cfRule type="expression" dxfId="3405" priority="152">
      <formula>AD95&gt;8</formula>
    </cfRule>
  </conditionalFormatting>
  <conditionalFormatting sqref="AD96">
    <cfRule type="cellIs" dxfId="3404" priority="145" operator="between">
      <formula>1.8</formula>
      <formula>1.999</formula>
    </cfRule>
    <cfRule type="cellIs" dxfId="3403" priority="146" operator="between">
      <formula>2.21</formula>
      <formula>2.4</formula>
    </cfRule>
    <cfRule type="expression" dxfId="3402" priority="147">
      <formula>AD96&lt;1.8</formula>
    </cfRule>
    <cfRule type="expression" dxfId="3401" priority="148">
      <formula>AD96&gt;2.4</formula>
    </cfRule>
  </conditionalFormatting>
  <conditionalFormatting sqref="AK95">
    <cfRule type="cellIs" dxfId="3400" priority="141" operator="between">
      <formula>5</formula>
      <formula>5.499</formula>
    </cfRule>
    <cfRule type="cellIs" dxfId="3399" priority="142" operator="between">
      <formula>6.51</formula>
      <formula>8</formula>
    </cfRule>
    <cfRule type="expression" dxfId="3398" priority="143">
      <formula>AK95&lt;5</formula>
    </cfRule>
    <cfRule type="expression" dxfId="3397" priority="144">
      <formula>AK95&gt;8</formula>
    </cfRule>
  </conditionalFormatting>
  <conditionalFormatting sqref="AK96">
    <cfRule type="cellIs" dxfId="3396" priority="137" operator="between">
      <formula>1.8</formula>
      <formula>1.999</formula>
    </cfRule>
    <cfRule type="cellIs" dxfId="3395" priority="138" operator="between">
      <formula>2.21</formula>
      <formula>2.4</formula>
    </cfRule>
    <cfRule type="expression" dxfId="3394" priority="139">
      <formula>AK96&lt;1.8</formula>
    </cfRule>
    <cfRule type="expression" dxfId="3393" priority="140">
      <formula>AK96&gt;2.4</formula>
    </cfRule>
  </conditionalFormatting>
  <conditionalFormatting sqref="P95">
    <cfRule type="cellIs" dxfId="3392" priority="133" operator="between">
      <formula>5</formula>
      <formula>5.499</formula>
    </cfRule>
    <cfRule type="cellIs" dxfId="3391" priority="134" operator="between">
      <formula>6.51</formula>
      <formula>8</formula>
    </cfRule>
    <cfRule type="expression" dxfId="3390" priority="135">
      <formula>P95&lt;5</formula>
    </cfRule>
    <cfRule type="expression" dxfId="3389" priority="136">
      <formula>P95&gt;8</formula>
    </cfRule>
  </conditionalFormatting>
  <conditionalFormatting sqref="P95 W95">
    <cfRule type="cellIs" dxfId="3388" priority="129" operator="between">
      <formula>5</formula>
      <formula>5.499</formula>
    </cfRule>
    <cfRule type="cellIs" dxfId="3387" priority="130" operator="between">
      <formula>6.51</formula>
      <formula>8</formula>
    </cfRule>
    <cfRule type="expression" dxfId="3386" priority="131">
      <formula>P95&lt;5</formula>
    </cfRule>
    <cfRule type="expression" dxfId="3385" priority="132">
      <formula>P95&gt;8</formula>
    </cfRule>
  </conditionalFormatting>
  <conditionalFormatting sqref="AD95">
    <cfRule type="cellIs" dxfId="3384" priority="125" operator="between">
      <formula>5</formula>
      <formula>5.499</formula>
    </cfRule>
    <cfRule type="cellIs" dxfId="3383" priority="126" operator="between">
      <formula>6.51</formula>
      <formula>8</formula>
    </cfRule>
    <cfRule type="expression" dxfId="3382" priority="127">
      <formula>AD95&lt;5</formula>
    </cfRule>
    <cfRule type="expression" dxfId="3381" priority="128">
      <formula>AD95&gt;8</formula>
    </cfRule>
  </conditionalFormatting>
  <conditionalFormatting sqref="AK95">
    <cfRule type="cellIs" dxfId="3380" priority="121" operator="between">
      <formula>5</formula>
      <formula>5.499</formula>
    </cfRule>
    <cfRule type="cellIs" dxfId="3379" priority="122" operator="between">
      <formula>6.51</formula>
      <formula>8</formula>
    </cfRule>
    <cfRule type="expression" dxfId="3378" priority="123">
      <formula>AK95&lt;5</formula>
    </cfRule>
    <cfRule type="expression" dxfId="3377" priority="124">
      <formula>AK95&gt;8</formula>
    </cfRule>
  </conditionalFormatting>
  <conditionalFormatting sqref="AR95">
    <cfRule type="cellIs" dxfId="3376" priority="117" operator="between">
      <formula>5</formula>
      <formula>5.499</formula>
    </cfRule>
    <cfRule type="cellIs" dxfId="3375" priority="118" operator="between">
      <formula>6.51</formula>
      <formula>8</formula>
    </cfRule>
    <cfRule type="expression" dxfId="3374" priority="119">
      <formula>AR95&lt;5</formula>
    </cfRule>
    <cfRule type="expression" dxfId="3373" priority="120">
      <formula>AR95&gt;8</formula>
    </cfRule>
  </conditionalFormatting>
  <conditionalFormatting sqref="AR96">
    <cfRule type="cellIs" dxfId="3372" priority="113" operator="between">
      <formula>1.8</formula>
      <formula>1.999</formula>
    </cfRule>
    <cfRule type="cellIs" dxfId="3371" priority="114" operator="between">
      <formula>2.21</formula>
      <formula>2.4</formula>
    </cfRule>
    <cfRule type="expression" dxfId="3370" priority="115">
      <formula>AR96&lt;1.8</formula>
    </cfRule>
    <cfRule type="expression" dxfId="3369" priority="116">
      <formula>AR96&gt;2.4</formula>
    </cfRule>
  </conditionalFormatting>
  <conditionalFormatting sqref="I90 P90 W90 AD90 AK90 AR90">
    <cfRule type="expression" dxfId="3368" priority="63">
      <formula>I90&lt;40%</formula>
    </cfRule>
    <cfRule type="expression" dxfId="3367" priority="64">
      <formula>I90&gt;50%</formula>
    </cfRule>
  </conditionalFormatting>
  <conditionalFormatting sqref="I92:I93 P92:P93 W92:W93 AD92:AD93 AK92:AK93 AR92:AR93">
    <cfRule type="expression" dxfId="3366" priority="61">
      <formula>I92&lt;40%</formula>
    </cfRule>
    <cfRule type="expression" dxfId="3365" priority="62">
      <formula>I92&gt;50%</formula>
    </cfRule>
  </conditionalFormatting>
  <conditionalFormatting sqref="I91">
    <cfRule type="cellIs" dxfId="3364" priority="33" operator="between">
      <formula>15%</formula>
      <formula>15.99%</formula>
    </cfRule>
    <cfRule type="cellIs" dxfId="3363" priority="34" operator="between">
      <formula>20.01%</formula>
      <formula>25%</formula>
    </cfRule>
    <cfRule type="expression" dxfId="3362" priority="35">
      <formula>I91&lt;15%</formula>
    </cfRule>
    <cfRule type="expression" dxfId="3361" priority="36">
      <formula>I91&gt;25%</formula>
    </cfRule>
  </conditionalFormatting>
  <conditionalFormatting sqref="P91">
    <cfRule type="cellIs" dxfId="3360" priority="29" operator="between">
      <formula>15%</formula>
      <formula>15.99%</formula>
    </cfRule>
    <cfRule type="cellIs" dxfId="3359" priority="30" operator="between">
      <formula>20.01%</formula>
      <formula>25%</formula>
    </cfRule>
    <cfRule type="expression" dxfId="3358" priority="31">
      <formula>P91&lt;15%</formula>
    </cfRule>
    <cfRule type="expression" dxfId="3357" priority="32">
      <formula>P91&gt;25%</formula>
    </cfRule>
  </conditionalFormatting>
  <conditionalFormatting sqref="W91">
    <cfRule type="cellIs" dxfId="3356" priority="25" operator="between">
      <formula>15%</formula>
      <formula>15.99%</formula>
    </cfRule>
    <cfRule type="cellIs" dxfId="3355" priority="26" operator="between">
      <formula>20.01%</formula>
      <formula>25%</formula>
    </cfRule>
    <cfRule type="expression" dxfId="3354" priority="27">
      <formula>W91&lt;15%</formula>
    </cfRule>
    <cfRule type="expression" dxfId="3353" priority="28">
      <formula>W91&gt;25%</formula>
    </cfRule>
  </conditionalFormatting>
  <conditionalFormatting sqref="AD91">
    <cfRule type="cellIs" dxfId="3352" priority="21" operator="between">
      <formula>15%</formula>
      <formula>15.99%</formula>
    </cfRule>
    <cfRule type="cellIs" dxfId="3351" priority="22" operator="between">
      <formula>20.01%</formula>
      <formula>25%</formula>
    </cfRule>
    <cfRule type="expression" dxfId="3350" priority="23">
      <formula>AD91&lt;15%</formula>
    </cfRule>
    <cfRule type="expression" dxfId="3349" priority="24">
      <formula>AD91&gt;25%</formula>
    </cfRule>
  </conditionalFormatting>
  <conditionalFormatting sqref="AK91">
    <cfRule type="cellIs" dxfId="3348" priority="17" operator="between">
      <formula>15%</formula>
      <formula>15.99%</formula>
    </cfRule>
    <cfRule type="cellIs" dxfId="3347" priority="18" operator="between">
      <formula>20.01%</formula>
      <formula>25%</formula>
    </cfRule>
    <cfRule type="expression" dxfId="3346" priority="19">
      <formula>AK91&lt;15%</formula>
    </cfRule>
    <cfRule type="expression" dxfId="3345" priority="20">
      <formula>AK91&gt;25%</formula>
    </cfRule>
  </conditionalFormatting>
  <conditionalFormatting sqref="AR91">
    <cfRule type="cellIs" dxfId="3344" priority="13" operator="between">
      <formula>15%</formula>
      <formula>15.99%</formula>
    </cfRule>
    <cfRule type="cellIs" dxfId="3343" priority="14" operator="between">
      <formula>20.01%</formula>
      <formula>25%</formula>
    </cfRule>
    <cfRule type="expression" dxfId="3342" priority="15">
      <formula>AR91&lt;15%</formula>
    </cfRule>
    <cfRule type="expression" dxfId="3341" priority="16">
      <formula>AR91&gt;25%</formula>
    </cfRule>
  </conditionalFormatting>
  <conditionalFormatting sqref="AK38">
    <cfRule type="expression" dxfId="3340" priority="7">
      <formula>AK38&lt;300</formula>
    </cfRule>
    <cfRule type="expression" dxfId="3339" priority="8">
      <formula>AK38&gt;360</formula>
    </cfRule>
  </conditionalFormatting>
  <conditionalFormatting sqref="AR25">
    <cfRule type="cellIs" dxfId="3338" priority="3" operator="between">
      <formula>5</formula>
      <formula>6.49</formula>
    </cfRule>
    <cfRule type="cellIs" dxfId="3337" priority="4" operator="between">
      <formula>8.51</formula>
      <formula>10</formula>
    </cfRule>
    <cfRule type="expression" dxfId="3336" priority="5">
      <formula>AR25&lt;5</formula>
    </cfRule>
    <cfRule type="expression" dxfId="3335" priority="6">
      <formula>AR25&gt;10</formula>
    </cfRule>
  </conditionalFormatting>
  <conditionalFormatting sqref="AR38">
    <cfRule type="expression" dxfId="3334" priority="1">
      <formula>AR38&lt;300</formula>
    </cfRule>
    <cfRule type="expression" dxfId="3333" priority="2">
      <formula>AR38&gt;360</formula>
    </cfRule>
  </conditionalFormatting>
  <printOptions horizontalCentered="1"/>
  <pageMargins left="0.26" right="0.16" top="0.3" bottom="0.45" header="0.17" footer="0.27559055118110237"/>
  <pageSetup paperSize="9" scale="43" orientation="portrait" verticalDpi="300" r:id="rId1"/>
  <headerFooter alignWithMargins="0"/>
  <drawing r:id="rId2"/>
</worksheet>
</file>

<file path=xl/worksheets/sheet13.xml><?xml version="1.0" encoding="utf-8"?>
<worksheet xmlns="http://schemas.openxmlformats.org/spreadsheetml/2006/main" xmlns:r="http://schemas.openxmlformats.org/officeDocument/2006/relationships">
  <sheetPr codeName="Sheet4">
    <tabColor rgb="FFFFC000"/>
  </sheetPr>
  <dimension ref="A1:BD79"/>
  <sheetViews>
    <sheetView view="pageBreakPreview" topLeftCell="A50" zoomScale="55" zoomScaleNormal="55" zoomScaleSheetLayoutView="55" workbookViewId="0">
      <selection activeCell="O70" sqref="O70"/>
    </sheetView>
  </sheetViews>
  <sheetFormatPr defaultRowHeight="15"/>
  <cols>
    <col min="1" max="1" width="3.5" style="958" customWidth="1"/>
    <col min="2" max="2" width="7.375" style="958" customWidth="1"/>
    <col min="3" max="3" width="4.375" style="958" customWidth="1"/>
    <col min="4" max="4" width="7" style="958" customWidth="1"/>
    <col min="5" max="5" width="6" style="958" customWidth="1"/>
    <col min="6" max="6" width="7.875" style="958" customWidth="1"/>
    <col min="7" max="7" width="13" style="962" customWidth="1"/>
    <col min="8" max="8" width="10.25" style="962" customWidth="1"/>
    <col min="9" max="9" width="8.375" style="958" customWidth="1"/>
    <col min="10" max="10" width="3.625" style="15" customWidth="1"/>
    <col min="11" max="11" width="7.625" style="15" customWidth="1"/>
    <col min="12" max="12" width="3.875" style="15" customWidth="1"/>
    <col min="13" max="13" width="8.5" style="933" customWidth="1"/>
    <col min="14" max="14" width="3" style="933" customWidth="1"/>
    <col min="15" max="15" width="8.375" style="933" customWidth="1"/>
    <col min="16" max="16" width="4.75" style="933" customWidth="1"/>
    <col min="17" max="17" width="7.625" style="958" customWidth="1"/>
    <col min="18" max="18" width="3.375" style="958" customWidth="1"/>
    <col min="19" max="19" width="7.875" style="958" customWidth="1"/>
    <col min="20" max="20" width="4.375" style="958" customWidth="1"/>
    <col min="21" max="21" width="7.625" style="933" customWidth="1"/>
    <col min="22" max="22" width="3.875" style="933" customWidth="1"/>
    <col min="23" max="23" width="7" style="933" customWidth="1"/>
    <col min="24" max="24" width="4.375" style="933" customWidth="1"/>
    <col min="25" max="25" width="7.5" style="958" customWidth="1"/>
    <col min="26" max="26" width="3.125" style="958" customWidth="1"/>
    <col min="27" max="27" width="7.625" style="958" customWidth="1"/>
    <col min="28" max="28" width="4.5" style="958" customWidth="1"/>
    <col min="29" max="29" width="7" style="933" customWidth="1"/>
    <col min="30" max="30" width="3.75" style="933" customWidth="1"/>
    <col min="31" max="31" width="6.5" style="933" customWidth="1"/>
    <col min="32" max="32" width="4.75" style="933" customWidth="1"/>
    <col min="33" max="33" width="9.5" style="15" customWidth="1"/>
    <col min="34" max="16384" width="9" style="15"/>
  </cols>
  <sheetData>
    <row r="1" spans="1:33" ht="33.75" customHeight="1">
      <c r="B1" s="2432" t="s">
        <v>130</v>
      </c>
      <c r="C1" s="2432"/>
      <c r="D1" s="2432"/>
      <c r="E1" s="2432"/>
      <c r="F1" s="2432"/>
      <c r="G1" s="2432"/>
      <c r="H1" s="2432"/>
      <c r="I1" s="2432"/>
      <c r="J1" s="2432"/>
      <c r="K1" s="2432"/>
      <c r="L1" s="2432"/>
      <c r="M1" s="2432"/>
      <c r="N1" s="2432"/>
      <c r="O1" s="2432"/>
      <c r="P1" s="2432"/>
      <c r="Q1" s="2432"/>
      <c r="R1" s="2432"/>
      <c r="S1" s="2432"/>
      <c r="T1" s="2432"/>
      <c r="U1" s="2432"/>
      <c r="V1" s="2432"/>
      <c r="W1" s="2432"/>
      <c r="X1" s="2432"/>
      <c r="Y1" s="2432"/>
      <c r="Z1" s="2432"/>
      <c r="AA1" s="2433"/>
      <c r="AB1" s="2433"/>
      <c r="AC1" s="2434"/>
      <c r="AD1" s="934"/>
      <c r="AE1" s="934"/>
      <c r="AF1" s="934"/>
      <c r="AG1" s="903"/>
    </row>
    <row r="2" spans="1:33" ht="54.75" customHeight="1">
      <c r="B2" s="2435" t="s">
        <v>219</v>
      </c>
      <c r="C2" s="2435"/>
      <c r="D2" s="2435"/>
      <c r="E2" s="2435"/>
      <c r="F2" s="2435"/>
      <c r="G2" s="2435"/>
      <c r="H2" s="2435"/>
      <c r="I2" s="2435"/>
      <c r="J2" s="2435"/>
      <c r="K2" s="2435"/>
      <c r="L2" s="2435"/>
      <c r="M2" s="2435"/>
      <c r="N2" s="2435"/>
      <c r="O2" s="2435"/>
      <c r="P2" s="2435"/>
      <c r="Q2" s="2435"/>
      <c r="R2" s="2435"/>
      <c r="S2" s="2435"/>
      <c r="T2" s="2435"/>
      <c r="U2" s="2435"/>
      <c r="V2" s="2435"/>
      <c r="W2" s="2435"/>
      <c r="X2" s="2435"/>
      <c r="Y2" s="2435"/>
      <c r="Z2" s="2435"/>
      <c r="AA2" s="2435"/>
      <c r="AB2" s="2435"/>
      <c r="AC2" s="2436"/>
      <c r="AD2" s="3121" t="s">
        <v>88</v>
      </c>
      <c r="AE2" s="3121"/>
      <c r="AF2" s="3122" t="s">
        <v>89</v>
      </c>
      <c r="AG2" s="3123"/>
    </row>
    <row r="3" spans="1:33" ht="42.75" customHeight="1">
      <c r="B3" s="3103" t="s">
        <v>213</v>
      </c>
      <c r="C3" s="3103"/>
      <c r="D3" s="3103"/>
      <c r="E3" s="3103"/>
      <c r="F3" s="1391"/>
      <c r="G3" s="1394" t="s">
        <v>1623</v>
      </c>
      <c r="H3" s="1819" t="str">
        <f>MENU!$AC$9</f>
        <v>Thứ 4,</v>
      </c>
      <c r="I3" s="3089" t="str">
        <f>MENU!$AD$9</f>
        <v>2024/05/22</v>
      </c>
      <c r="J3" s="3090"/>
      <c r="K3" s="3090"/>
      <c r="L3" s="3090"/>
      <c r="M3" s="906"/>
      <c r="N3" s="906"/>
      <c r="O3" s="906"/>
      <c r="P3" s="906"/>
      <c r="Q3" s="949"/>
      <c r="R3" s="949"/>
      <c r="S3" s="949"/>
      <c r="T3" s="949"/>
      <c r="U3" s="906"/>
      <c r="V3" s="906"/>
      <c r="W3" s="906"/>
      <c r="X3" s="906"/>
      <c r="Y3" s="949"/>
      <c r="Z3" s="949"/>
      <c r="AD3" s="3124" t="str">
        <f>MENU!AE6</f>
        <v>Mi</v>
      </c>
      <c r="AE3" s="3124"/>
      <c r="AF3" s="3128" t="s">
        <v>11</v>
      </c>
      <c r="AG3" s="3129"/>
    </row>
    <row r="4" spans="1:33" s="16" customFormat="1" ht="44.25" customHeight="1">
      <c r="A4" s="3057" t="s">
        <v>7</v>
      </c>
      <c r="B4" s="3097" t="s">
        <v>76</v>
      </c>
      <c r="C4" s="3098"/>
      <c r="D4" s="3098"/>
      <c r="E4" s="3099"/>
      <c r="F4" s="3133" t="s">
        <v>124</v>
      </c>
      <c r="G4" s="3059" t="s">
        <v>1310</v>
      </c>
      <c r="H4" s="3109" t="s">
        <v>1302</v>
      </c>
      <c r="I4" s="3061">
        <v>0.30208333333333331</v>
      </c>
      <c r="J4" s="3062"/>
      <c r="K4" s="3062"/>
      <c r="L4" s="3063"/>
      <c r="M4" s="3073" t="s">
        <v>941</v>
      </c>
      <c r="N4" s="3074"/>
      <c r="O4" s="3074"/>
      <c r="P4" s="3075"/>
      <c r="Q4" s="3064">
        <v>0.46875</v>
      </c>
      <c r="R4" s="3065"/>
      <c r="S4" s="3065"/>
      <c r="T4" s="3066"/>
      <c r="U4" s="3073" t="s">
        <v>941</v>
      </c>
      <c r="V4" s="3074"/>
      <c r="W4" s="3074"/>
      <c r="X4" s="3075"/>
      <c r="Y4" s="3064">
        <v>0.63541666666666663</v>
      </c>
      <c r="Z4" s="3065"/>
      <c r="AA4" s="3065"/>
      <c r="AB4" s="3066"/>
      <c r="AC4" s="3073" t="s">
        <v>939</v>
      </c>
      <c r="AD4" s="3074"/>
      <c r="AE4" s="3074"/>
      <c r="AF4" s="3075"/>
      <c r="AG4" s="902" t="s">
        <v>90</v>
      </c>
    </row>
    <row r="5" spans="1:33" s="16" customFormat="1" ht="44.25" customHeight="1">
      <c r="A5" s="3058"/>
      <c r="B5" s="3100"/>
      <c r="C5" s="3101"/>
      <c r="D5" s="3101"/>
      <c r="E5" s="3102"/>
      <c r="F5" s="3134"/>
      <c r="G5" s="3060"/>
      <c r="H5" s="3110"/>
      <c r="I5" s="2209" t="s">
        <v>129</v>
      </c>
      <c r="J5" s="3067" t="s">
        <v>1</v>
      </c>
      <c r="K5" s="3068"/>
      <c r="L5" s="3069"/>
      <c r="M5" s="907" t="s">
        <v>942</v>
      </c>
      <c r="N5" s="3076" t="s">
        <v>1</v>
      </c>
      <c r="O5" s="3076"/>
      <c r="P5" s="3077"/>
      <c r="Q5" s="950" t="s">
        <v>129</v>
      </c>
      <c r="R5" s="3070" t="s">
        <v>1</v>
      </c>
      <c r="S5" s="3071"/>
      <c r="T5" s="3072"/>
      <c r="U5" s="907" t="s">
        <v>942</v>
      </c>
      <c r="V5" s="3076" t="s">
        <v>1</v>
      </c>
      <c r="W5" s="3076"/>
      <c r="X5" s="3077"/>
      <c r="Y5" s="950" t="s">
        <v>129</v>
      </c>
      <c r="Z5" s="3070" t="s">
        <v>1</v>
      </c>
      <c r="AA5" s="3071"/>
      <c r="AB5" s="3072"/>
      <c r="AC5" s="907" t="s">
        <v>943</v>
      </c>
      <c r="AD5" s="3076" t="s">
        <v>1</v>
      </c>
      <c r="AE5" s="3076"/>
      <c r="AF5" s="3077"/>
      <c r="AG5" s="4" t="s">
        <v>91</v>
      </c>
    </row>
    <row r="6" spans="1:33" ht="48" customHeight="1">
      <c r="A6" s="3057">
        <v>1</v>
      </c>
      <c r="B6" s="3097" t="s">
        <v>131</v>
      </c>
      <c r="C6" s="3104"/>
      <c r="D6" s="3093" t="s">
        <v>100</v>
      </c>
      <c r="E6" s="3094"/>
      <c r="F6" s="47" t="s">
        <v>4</v>
      </c>
      <c r="G6" s="898" t="str">
        <f>'XM.FILE GOC'!$E$6</f>
        <v>20~40</v>
      </c>
      <c r="H6" s="2222" t="str">
        <f>'XM.FILE GOC'!$F$6</f>
        <v>(30±5)</v>
      </c>
      <c r="I6" s="2210">
        <f>'XM.FILE GOC'!I6</f>
        <v>0</v>
      </c>
      <c r="J6" s="17" t="s">
        <v>8</v>
      </c>
      <c r="K6" s="27">
        <f>'XM.FILE GOC'!L6</f>
        <v>80.790000000000006</v>
      </c>
      <c r="L6" s="18" t="s">
        <v>9</v>
      </c>
      <c r="M6" s="908"/>
      <c r="N6" s="909" t="s">
        <v>8</v>
      </c>
      <c r="O6" s="1591">
        <f>('XM.FILE GOC'!$G$6-M6)*2693/1000</f>
        <v>80.790000000000006</v>
      </c>
      <c r="P6" s="910" t="s">
        <v>9</v>
      </c>
      <c r="Q6" s="1429">
        <f>'XM.FILE GOC'!P6</f>
        <v>0</v>
      </c>
      <c r="R6" s="951" t="s">
        <v>8</v>
      </c>
      <c r="S6" s="952">
        <f>'XM.FILE GOC'!S6</f>
        <v>80.790000000000006</v>
      </c>
      <c r="T6" s="953" t="s">
        <v>9</v>
      </c>
      <c r="U6" s="908"/>
      <c r="V6" s="909" t="s">
        <v>8</v>
      </c>
      <c r="W6" s="1591">
        <f>('XM.FILE GOC'!$G$6-U6)*2693/1000</f>
        <v>80.790000000000006</v>
      </c>
      <c r="X6" s="910" t="s">
        <v>9</v>
      </c>
      <c r="Y6" s="1429">
        <f>'XM.FILE GOC'!W6</f>
        <v>0</v>
      </c>
      <c r="Z6" s="951" t="s">
        <v>8</v>
      </c>
      <c r="AA6" s="952">
        <f>'XM.FILE GOC'!Z6</f>
        <v>80.790000000000006</v>
      </c>
      <c r="AB6" s="953" t="s">
        <v>9</v>
      </c>
      <c r="AC6" s="908"/>
      <c r="AD6" s="909" t="s">
        <v>8</v>
      </c>
      <c r="AE6" s="1591">
        <f>('XM.FILE GOC'!$G$6-AC6)*2693/1000</f>
        <v>80.790000000000006</v>
      </c>
      <c r="AF6" s="910" t="s">
        <v>9</v>
      </c>
      <c r="AG6" s="81" t="s">
        <v>39</v>
      </c>
    </row>
    <row r="7" spans="1:33" ht="48" customHeight="1">
      <c r="A7" s="3078"/>
      <c r="B7" s="3105"/>
      <c r="C7" s="3106"/>
      <c r="D7" s="3095" t="s">
        <v>101</v>
      </c>
      <c r="E7" s="3096"/>
      <c r="F7" s="47" t="s">
        <v>55</v>
      </c>
      <c r="G7" s="898" t="s">
        <v>102</v>
      </c>
      <c r="H7" s="2222"/>
      <c r="I7" s="2211"/>
      <c r="J7" s="55" t="s">
        <v>8</v>
      </c>
      <c r="K7" s="58">
        <f>K6/25*840/1000</f>
        <v>2.7145440000000005</v>
      </c>
      <c r="L7" s="57" t="s">
        <v>10</v>
      </c>
      <c r="M7" s="908"/>
      <c r="N7" s="911" t="s">
        <v>8</v>
      </c>
      <c r="O7" s="1593">
        <f>O6/25*840/1000</f>
        <v>2.7145440000000005</v>
      </c>
      <c r="P7" s="912" t="s">
        <v>10</v>
      </c>
      <c r="Q7" s="1683"/>
      <c r="R7" s="59" t="s">
        <v>8</v>
      </c>
      <c r="S7" s="954">
        <f>S6/25*840/1000</f>
        <v>2.7145440000000005</v>
      </c>
      <c r="T7" s="588" t="s">
        <v>10</v>
      </c>
      <c r="U7" s="908"/>
      <c r="V7" s="911" t="s">
        <v>8</v>
      </c>
      <c r="W7" s="1593">
        <f>W6/25*840/1000</f>
        <v>2.7145440000000005</v>
      </c>
      <c r="X7" s="912" t="s">
        <v>10</v>
      </c>
      <c r="Y7" s="1683"/>
      <c r="Z7" s="59" t="s">
        <v>8</v>
      </c>
      <c r="AA7" s="954">
        <f>AA6/25*840/1000</f>
        <v>2.7145440000000005</v>
      </c>
      <c r="AB7" s="588" t="s">
        <v>10</v>
      </c>
      <c r="AC7" s="908"/>
      <c r="AD7" s="911" t="s">
        <v>8</v>
      </c>
      <c r="AE7" s="1593">
        <f>AE6/25*840/1000</f>
        <v>2.7145440000000005</v>
      </c>
      <c r="AF7" s="912" t="s">
        <v>10</v>
      </c>
      <c r="AG7" s="103"/>
    </row>
    <row r="8" spans="1:33" ht="48" customHeight="1">
      <c r="A8" s="3058"/>
      <c r="B8" s="3107"/>
      <c r="C8" s="3108"/>
      <c r="D8" s="3095" t="s">
        <v>103</v>
      </c>
      <c r="E8" s="3096"/>
      <c r="F8" s="47" t="s">
        <v>55</v>
      </c>
      <c r="G8" s="898" t="s">
        <v>102</v>
      </c>
      <c r="H8" s="2222"/>
      <c r="I8" s="2211"/>
      <c r="J8" s="55" t="s">
        <v>8</v>
      </c>
      <c r="K8" s="58">
        <f>K7*10</f>
        <v>27.145440000000004</v>
      </c>
      <c r="L8" s="57" t="s">
        <v>10</v>
      </c>
      <c r="M8" s="908"/>
      <c r="N8" s="909" t="s">
        <v>8</v>
      </c>
      <c r="O8" s="1593">
        <f>O7*10</f>
        <v>27.145440000000004</v>
      </c>
      <c r="P8" s="910" t="s">
        <v>10</v>
      </c>
      <c r="Q8" s="1683"/>
      <c r="R8" s="59" t="s">
        <v>8</v>
      </c>
      <c r="S8" s="954">
        <f>S7*10</f>
        <v>27.145440000000004</v>
      </c>
      <c r="T8" s="588" t="s">
        <v>10</v>
      </c>
      <c r="U8" s="908"/>
      <c r="V8" s="909" t="s">
        <v>8</v>
      </c>
      <c r="W8" s="1593">
        <f>W7*10</f>
        <v>27.145440000000004</v>
      </c>
      <c r="X8" s="910" t="s">
        <v>10</v>
      </c>
      <c r="Y8" s="1683"/>
      <c r="Z8" s="59" t="s">
        <v>8</v>
      </c>
      <c r="AA8" s="954">
        <f>AA7*10</f>
        <v>27.145440000000004</v>
      </c>
      <c r="AB8" s="588" t="s">
        <v>10</v>
      </c>
      <c r="AC8" s="908"/>
      <c r="AD8" s="909" t="s">
        <v>8</v>
      </c>
      <c r="AE8" s="1593">
        <f>AE7*10</f>
        <v>27.145440000000004</v>
      </c>
      <c r="AF8" s="910" t="s">
        <v>10</v>
      </c>
      <c r="AG8" s="81"/>
    </row>
    <row r="9" spans="1:33" ht="48" customHeight="1">
      <c r="A9" s="3057">
        <v>2</v>
      </c>
      <c r="B9" s="3097" t="s">
        <v>132</v>
      </c>
      <c r="C9" s="3104"/>
      <c r="D9" s="3093" t="s">
        <v>100</v>
      </c>
      <c r="E9" s="3094"/>
      <c r="F9" s="47" t="s">
        <v>4</v>
      </c>
      <c r="G9" s="898" t="str">
        <f>'XM.FILE GOC'!$E$9</f>
        <v>20~40</v>
      </c>
      <c r="H9" s="2222" t="str">
        <f>'XM.FILE GOC'!$F$9</f>
        <v>(30±5)</v>
      </c>
      <c r="I9" s="2210">
        <f>'XM.FILE GOC'!I9</f>
        <v>0</v>
      </c>
      <c r="J9" s="17" t="s">
        <v>8</v>
      </c>
      <c r="K9" s="27">
        <f>'XM.FILE GOC'!L9</f>
        <v>99.15</v>
      </c>
      <c r="L9" s="18" t="s">
        <v>9</v>
      </c>
      <c r="M9" s="908"/>
      <c r="N9" s="911" t="s">
        <v>8</v>
      </c>
      <c r="O9" s="1591">
        <f>('XM.FILE GOC'!$G$9-M9)*3305/1000</f>
        <v>99.15</v>
      </c>
      <c r="P9" s="912" t="s">
        <v>9</v>
      </c>
      <c r="Q9" s="1429">
        <f>'XM.FILE GOC'!P9</f>
        <v>0</v>
      </c>
      <c r="R9" s="951" t="s">
        <v>8</v>
      </c>
      <c r="S9" s="952">
        <f>'XM.FILE GOC'!S9</f>
        <v>99.15</v>
      </c>
      <c r="T9" s="953" t="s">
        <v>9</v>
      </c>
      <c r="U9" s="908"/>
      <c r="V9" s="911" t="s">
        <v>8</v>
      </c>
      <c r="W9" s="1591">
        <f>('XM.FILE GOC'!$G$9-U9)*3305/1000</f>
        <v>99.15</v>
      </c>
      <c r="X9" s="912" t="s">
        <v>9</v>
      </c>
      <c r="Y9" s="1429">
        <f>'XM.FILE GOC'!W9</f>
        <v>0</v>
      </c>
      <c r="Z9" s="951" t="s">
        <v>8</v>
      </c>
      <c r="AA9" s="952">
        <f>'XM.FILE GOC'!Z9</f>
        <v>99.15</v>
      </c>
      <c r="AB9" s="953" t="s">
        <v>9</v>
      </c>
      <c r="AC9" s="908"/>
      <c r="AD9" s="911" t="s">
        <v>8</v>
      </c>
      <c r="AE9" s="1591">
        <f>('XM.FILE GOC'!$G$9-AC9)*3305/1000</f>
        <v>99.15</v>
      </c>
      <c r="AF9" s="912" t="s">
        <v>9</v>
      </c>
      <c r="AG9" s="81" t="s">
        <v>39</v>
      </c>
    </row>
    <row r="10" spans="1:33" ht="48" customHeight="1">
      <c r="A10" s="3078"/>
      <c r="B10" s="3105"/>
      <c r="C10" s="3106"/>
      <c r="D10" s="3095" t="s">
        <v>101</v>
      </c>
      <c r="E10" s="3096"/>
      <c r="F10" s="47" t="s">
        <v>55</v>
      </c>
      <c r="G10" s="898" t="s">
        <v>102</v>
      </c>
      <c r="H10" s="2222"/>
      <c r="I10" s="2211"/>
      <c r="J10" s="55" t="s">
        <v>8</v>
      </c>
      <c r="K10" s="58">
        <f>K9/25*840/1000</f>
        <v>3.3314400000000002</v>
      </c>
      <c r="L10" s="57" t="s">
        <v>10</v>
      </c>
      <c r="M10" s="908"/>
      <c r="N10" s="909" t="s">
        <v>8</v>
      </c>
      <c r="O10" s="1593">
        <f>O9/25*840/1000</f>
        <v>3.3314400000000002</v>
      </c>
      <c r="P10" s="910" t="s">
        <v>10</v>
      </c>
      <c r="Q10" s="1683"/>
      <c r="R10" s="59" t="s">
        <v>8</v>
      </c>
      <c r="S10" s="954">
        <f>S9/25*840/1000</f>
        <v>3.3314400000000002</v>
      </c>
      <c r="T10" s="588" t="s">
        <v>10</v>
      </c>
      <c r="U10" s="908"/>
      <c r="V10" s="911" t="s">
        <v>8</v>
      </c>
      <c r="W10" s="1593">
        <f>W9/25*840/1000</f>
        <v>3.3314400000000002</v>
      </c>
      <c r="X10" s="912" t="s">
        <v>10</v>
      </c>
      <c r="Y10" s="1683"/>
      <c r="Z10" s="59" t="s">
        <v>8</v>
      </c>
      <c r="AA10" s="954">
        <f>AA9/25*840/1000</f>
        <v>3.3314400000000002</v>
      </c>
      <c r="AB10" s="588" t="s">
        <v>10</v>
      </c>
      <c r="AC10" s="908"/>
      <c r="AD10" s="911" t="s">
        <v>8</v>
      </c>
      <c r="AE10" s="1593">
        <f>AE9/25*840/1000</f>
        <v>3.3314400000000002</v>
      </c>
      <c r="AF10" s="912" t="s">
        <v>10</v>
      </c>
      <c r="AG10" s="103"/>
    </row>
    <row r="11" spans="1:33" ht="48" customHeight="1">
      <c r="A11" s="3058"/>
      <c r="B11" s="3107"/>
      <c r="C11" s="3108"/>
      <c r="D11" s="3095" t="s">
        <v>103</v>
      </c>
      <c r="E11" s="3096"/>
      <c r="F11" s="47" t="s">
        <v>55</v>
      </c>
      <c r="G11" s="898" t="s">
        <v>102</v>
      </c>
      <c r="H11" s="2222"/>
      <c r="I11" s="2211"/>
      <c r="J11" s="55" t="s">
        <v>8</v>
      </c>
      <c r="K11" s="58">
        <f>K10*10</f>
        <v>33.314399999999999</v>
      </c>
      <c r="L11" s="57" t="s">
        <v>10</v>
      </c>
      <c r="M11" s="908"/>
      <c r="N11" s="911" t="s">
        <v>8</v>
      </c>
      <c r="O11" s="1593">
        <f>O10*10</f>
        <v>33.314399999999999</v>
      </c>
      <c r="P11" s="912" t="s">
        <v>10</v>
      </c>
      <c r="Q11" s="1683"/>
      <c r="R11" s="59" t="s">
        <v>8</v>
      </c>
      <c r="S11" s="954">
        <f>S10*10</f>
        <v>33.314399999999999</v>
      </c>
      <c r="T11" s="588" t="s">
        <v>10</v>
      </c>
      <c r="U11" s="908"/>
      <c r="V11" s="909" t="s">
        <v>8</v>
      </c>
      <c r="W11" s="1593">
        <f>W10*10</f>
        <v>33.314399999999999</v>
      </c>
      <c r="X11" s="910" t="s">
        <v>10</v>
      </c>
      <c r="Y11" s="1683"/>
      <c r="Z11" s="59" t="s">
        <v>8</v>
      </c>
      <c r="AA11" s="954">
        <f>AA10*10</f>
        <v>33.314399999999999</v>
      </c>
      <c r="AB11" s="588" t="s">
        <v>10</v>
      </c>
      <c r="AC11" s="908"/>
      <c r="AD11" s="909" t="s">
        <v>8</v>
      </c>
      <c r="AE11" s="1593">
        <f>AE10*10</f>
        <v>33.314399999999999</v>
      </c>
      <c r="AF11" s="910" t="s">
        <v>10</v>
      </c>
      <c r="AG11" s="103"/>
    </row>
    <row r="12" spans="1:33" ht="48" customHeight="1">
      <c r="A12" s="3057">
        <v>3</v>
      </c>
      <c r="B12" s="3091" t="s">
        <v>133</v>
      </c>
      <c r="C12" s="3092"/>
      <c r="D12" s="3093" t="s">
        <v>100</v>
      </c>
      <c r="E12" s="3094"/>
      <c r="F12" s="47" t="s">
        <v>4</v>
      </c>
      <c r="G12" s="898" t="str">
        <f>'XM.FILE GOC'!$E$12</f>
        <v>60~80</v>
      </c>
      <c r="H12" s="2222" t="str">
        <f>'XM.FILE GOC'!$F$12</f>
        <v>(70±10)</v>
      </c>
      <c r="I12" s="2212">
        <f>'XM.FILE GOC'!I12</f>
        <v>0</v>
      </c>
      <c r="J12" s="17" t="s">
        <v>8</v>
      </c>
      <c r="K12" s="27">
        <f>'XM.FILE GOC'!L12</f>
        <v>80.92</v>
      </c>
      <c r="L12" s="18" t="s">
        <v>9</v>
      </c>
      <c r="M12" s="908"/>
      <c r="N12" s="909" t="s">
        <v>8</v>
      </c>
      <c r="O12" s="1591">
        <f>('XM.FILE GOC'!$G$12-M12)*1156/1000</f>
        <v>80.92</v>
      </c>
      <c r="P12" s="910" t="s">
        <v>9</v>
      </c>
      <c r="Q12" s="1407">
        <f>'XM.FILE GOC'!P12</f>
        <v>0</v>
      </c>
      <c r="R12" s="951" t="s">
        <v>8</v>
      </c>
      <c r="S12" s="952">
        <f>'XM.FILE GOC'!S12</f>
        <v>80.92</v>
      </c>
      <c r="T12" s="953" t="s">
        <v>9</v>
      </c>
      <c r="U12" s="908"/>
      <c r="V12" s="909" t="s">
        <v>8</v>
      </c>
      <c r="W12" s="1591">
        <f>('XM.FILE GOC'!$G$12-U12)*1156/1000</f>
        <v>80.92</v>
      </c>
      <c r="X12" s="910" t="s">
        <v>9</v>
      </c>
      <c r="Y12" s="1407">
        <f>'XM.FILE GOC'!W12</f>
        <v>0</v>
      </c>
      <c r="Z12" s="951" t="s">
        <v>8</v>
      </c>
      <c r="AA12" s="952">
        <f>'XM.FILE GOC'!Z12</f>
        <v>80.92</v>
      </c>
      <c r="AB12" s="953" t="s">
        <v>9</v>
      </c>
      <c r="AC12" s="908"/>
      <c r="AD12" s="909" t="s">
        <v>8</v>
      </c>
      <c r="AE12" s="1591">
        <f>('XM.FILE GOC'!$G$12-AC12)*1156/1000</f>
        <v>80.92</v>
      </c>
      <c r="AF12" s="910" t="s">
        <v>9</v>
      </c>
      <c r="AG12" s="81" t="s">
        <v>39</v>
      </c>
    </row>
    <row r="13" spans="1:33" ht="48" customHeight="1">
      <c r="A13" s="3058"/>
      <c r="B13" s="3092"/>
      <c r="C13" s="3092"/>
      <c r="D13" s="3095" t="s">
        <v>104</v>
      </c>
      <c r="E13" s="3096"/>
      <c r="F13" s="47" t="s">
        <v>55</v>
      </c>
      <c r="G13" s="898" t="s">
        <v>102</v>
      </c>
      <c r="H13" s="2222"/>
      <c r="I13" s="2213"/>
      <c r="J13" s="55" t="s">
        <v>8</v>
      </c>
      <c r="K13" s="58">
        <f>K12/25*7.5</f>
        <v>24.276</v>
      </c>
      <c r="L13" s="57" t="s">
        <v>10</v>
      </c>
      <c r="M13" s="908"/>
      <c r="N13" s="911" t="s">
        <v>8</v>
      </c>
      <c r="O13" s="1593">
        <f>O12/25*7.5</f>
        <v>24.276</v>
      </c>
      <c r="P13" s="912" t="s">
        <v>10</v>
      </c>
      <c r="Q13" s="1680"/>
      <c r="R13" s="59" t="s">
        <v>8</v>
      </c>
      <c r="S13" s="954">
        <f>S12/25*7.5</f>
        <v>24.276</v>
      </c>
      <c r="T13" s="588" t="s">
        <v>10</v>
      </c>
      <c r="U13" s="908"/>
      <c r="V13" s="911" t="s">
        <v>8</v>
      </c>
      <c r="W13" s="1593">
        <f>W12/25*7.5</f>
        <v>24.276</v>
      </c>
      <c r="X13" s="912" t="s">
        <v>10</v>
      </c>
      <c r="Y13" s="1680"/>
      <c r="Z13" s="59" t="s">
        <v>8</v>
      </c>
      <c r="AA13" s="954">
        <f>AA12/25*7.5</f>
        <v>24.276</v>
      </c>
      <c r="AB13" s="588" t="s">
        <v>10</v>
      </c>
      <c r="AC13" s="908"/>
      <c r="AD13" s="911" t="s">
        <v>8</v>
      </c>
      <c r="AE13" s="1593">
        <f>AE12/25*7.5</f>
        <v>24.276</v>
      </c>
      <c r="AF13" s="912" t="s">
        <v>10</v>
      </c>
      <c r="AG13" s="81"/>
    </row>
    <row r="14" spans="1:33" ht="48" customHeight="1">
      <c r="A14" s="3057">
        <v>4</v>
      </c>
      <c r="B14" s="3091" t="s">
        <v>134</v>
      </c>
      <c r="C14" s="3092"/>
      <c r="D14" s="3093" t="s">
        <v>100</v>
      </c>
      <c r="E14" s="3094"/>
      <c r="F14" s="47" t="s">
        <v>4</v>
      </c>
      <c r="G14" s="898" t="str">
        <f>'XM.FILE GOC'!$E$14</f>
        <v>60~80</v>
      </c>
      <c r="H14" s="2222" t="str">
        <f>'XM.FILE GOC'!$F$14</f>
        <v>(70±10)</v>
      </c>
      <c r="I14" s="2212">
        <f>'XM.FILE GOC'!I14</f>
        <v>0</v>
      </c>
      <c r="J14" s="17" t="s">
        <v>8</v>
      </c>
      <c r="K14" s="27">
        <f>'XM.FILE GOC'!L14</f>
        <v>102.13</v>
      </c>
      <c r="L14" s="18" t="s">
        <v>9</v>
      </c>
      <c r="M14" s="908"/>
      <c r="N14" s="909" t="s">
        <v>8</v>
      </c>
      <c r="O14" s="1591">
        <f>('XM.FILE GOC'!$G$14-M14)*1459/1000</f>
        <v>102.13</v>
      </c>
      <c r="P14" s="910" t="s">
        <v>9</v>
      </c>
      <c r="Q14" s="1407">
        <f>'XM.FILE GOC'!P14</f>
        <v>0</v>
      </c>
      <c r="R14" s="951" t="s">
        <v>8</v>
      </c>
      <c r="S14" s="952">
        <f>'XM.FILE GOC'!S14</f>
        <v>102.13</v>
      </c>
      <c r="T14" s="953" t="s">
        <v>9</v>
      </c>
      <c r="U14" s="908"/>
      <c r="V14" s="909" t="s">
        <v>8</v>
      </c>
      <c r="W14" s="1591">
        <f>('XM.FILE GOC'!$G$14-U14)*1459/1000</f>
        <v>102.13</v>
      </c>
      <c r="X14" s="910" t="s">
        <v>9</v>
      </c>
      <c r="Y14" s="1407">
        <f>'XM.FILE GOC'!W14</f>
        <v>0</v>
      </c>
      <c r="Z14" s="951" t="s">
        <v>8</v>
      </c>
      <c r="AA14" s="952">
        <f>'XM.FILE GOC'!Z14</f>
        <v>102.13</v>
      </c>
      <c r="AB14" s="953" t="s">
        <v>9</v>
      </c>
      <c r="AC14" s="908"/>
      <c r="AD14" s="909" t="s">
        <v>8</v>
      </c>
      <c r="AE14" s="1591">
        <f>('XM.FILE GOC'!$G$14-AC14)*1459/1000</f>
        <v>102.13</v>
      </c>
      <c r="AF14" s="910" t="s">
        <v>9</v>
      </c>
      <c r="AG14" s="81" t="s">
        <v>39</v>
      </c>
    </row>
    <row r="15" spans="1:33" ht="48" customHeight="1">
      <c r="A15" s="3058"/>
      <c r="B15" s="3092"/>
      <c r="C15" s="3092"/>
      <c r="D15" s="3095" t="s">
        <v>104</v>
      </c>
      <c r="E15" s="3096"/>
      <c r="F15" s="47" t="s">
        <v>55</v>
      </c>
      <c r="G15" s="898" t="s">
        <v>102</v>
      </c>
      <c r="H15" s="2222"/>
      <c r="I15" s="2211"/>
      <c r="J15" s="55" t="s">
        <v>8</v>
      </c>
      <c r="K15" s="58">
        <f>K14/25*7.5</f>
        <v>30.638999999999996</v>
      </c>
      <c r="L15" s="57" t="s">
        <v>10</v>
      </c>
      <c r="M15" s="908"/>
      <c r="N15" s="909" t="s">
        <v>8</v>
      </c>
      <c r="O15" s="1593">
        <f>O14/25*7.5</f>
        <v>30.638999999999996</v>
      </c>
      <c r="P15" s="910" t="s">
        <v>10</v>
      </c>
      <c r="Q15" s="1683"/>
      <c r="R15" s="59" t="s">
        <v>8</v>
      </c>
      <c r="S15" s="954">
        <f>S14/25*7.5</f>
        <v>30.638999999999996</v>
      </c>
      <c r="T15" s="588" t="s">
        <v>10</v>
      </c>
      <c r="U15" s="908"/>
      <c r="V15" s="911" t="s">
        <v>8</v>
      </c>
      <c r="W15" s="1593">
        <f>W14/25*7.5</f>
        <v>30.638999999999996</v>
      </c>
      <c r="X15" s="912" t="s">
        <v>10</v>
      </c>
      <c r="Y15" s="1683"/>
      <c r="Z15" s="59" t="s">
        <v>8</v>
      </c>
      <c r="AA15" s="954">
        <f>AA14/25*7.5</f>
        <v>30.638999999999996</v>
      </c>
      <c r="AB15" s="588" t="s">
        <v>10</v>
      </c>
      <c r="AC15" s="908"/>
      <c r="AD15" s="911" t="s">
        <v>8</v>
      </c>
      <c r="AE15" s="1593">
        <f>AE14/25*7.5</f>
        <v>30.638999999999996</v>
      </c>
      <c r="AF15" s="912" t="s">
        <v>10</v>
      </c>
      <c r="AG15" s="81"/>
    </row>
    <row r="16" spans="1:33" ht="48" customHeight="1">
      <c r="A16" s="3057">
        <v>5</v>
      </c>
      <c r="B16" s="3095" t="s">
        <v>79</v>
      </c>
      <c r="C16" s="3120"/>
      <c r="D16" s="3120"/>
      <c r="E16" s="3096"/>
      <c r="F16" s="47" t="s">
        <v>4</v>
      </c>
      <c r="G16" s="898" t="str">
        <f>'XM.FILE GOC'!$E$16</f>
        <v>130 - 150</v>
      </c>
      <c r="H16" s="2222" t="str">
        <f>'XM.FILE GOC'!$F$16</f>
        <v>(140±7)</v>
      </c>
      <c r="I16" s="2214">
        <f>'XM.FILE GOC'!I16</f>
        <v>0</v>
      </c>
      <c r="J16" s="17" t="s">
        <v>8</v>
      </c>
      <c r="K16" s="27">
        <f>'XM.FILE GOC'!L16</f>
        <v>2793.14</v>
      </c>
      <c r="L16" s="18" t="s">
        <v>9</v>
      </c>
      <c r="M16" s="908"/>
      <c r="N16" s="911" t="s">
        <v>8</v>
      </c>
      <c r="O16" s="1591">
        <f>('XM.FILE GOC'!$G$16-M16)*19951/1000</f>
        <v>2793.14</v>
      </c>
      <c r="P16" s="912" t="s">
        <v>9</v>
      </c>
      <c r="Q16" s="1762">
        <f>'XM.FILE GOC'!P16</f>
        <v>0</v>
      </c>
      <c r="R16" s="951" t="s">
        <v>8</v>
      </c>
      <c r="S16" s="952">
        <f>'XM.FILE GOC'!S16</f>
        <v>2793.14</v>
      </c>
      <c r="T16" s="953" t="s">
        <v>9</v>
      </c>
      <c r="U16" s="908"/>
      <c r="V16" s="911" t="s">
        <v>8</v>
      </c>
      <c r="W16" s="1591">
        <f>('XM.FILE GOC'!$G$16-U16)*19951/1000</f>
        <v>2793.14</v>
      </c>
      <c r="X16" s="912" t="s">
        <v>9</v>
      </c>
      <c r="Y16" s="1762">
        <f>'XM.FILE GOC'!W16</f>
        <v>0</v>
      </c>
      <c r="Z16" s="951" t="s">
        <v>8</v>
      </c>
      <c r="AA16" s="952">
        <f>'XM.FILE GOC'!Z16</f>
        <v>2793.14</v>
      </c>
      <c r="AB16" s="953" t="s">
        <v>9</v>
      </c>
      <c r="AC16" s="908"/>
      <c r="AD16" s="911" t="s">
        <v>8</v>
      </c>
      <c r="AE16" s="1591">
        <f>('XM.FILE GOC'!$G$16-AC16)*19951/1000</f>
        <v>2793.14</v>
      </c>
      <c r="AF16" s="912" t="s">
        <v>9</v>
      </c>
      <c r="AG16" s="81" t="s">
        <v>40</v>
      </c>
    </row>
    <row r="17" spans="1:33" ht="48" customHeight="1">
      <c r="A17" s="3058"/>
      <c r="B17" s="3095" t="s">
        <v>57</v>
      </c>
      <c r="C17" s="3120"/>
      <c r="D17" s="3120"/>
      <c r="E17" s="3096"/>
      <c r="F17" s="47" t="s">
        <v>4</v>
      </c>
      <c r="G17" s="898" t="str">
        <f>'XM.FILE GOC'!$E$17</f>
        <v>8~12</v>
      </c>
      <c r="H17" s="2222" t="str">
        <f>'XM.FILE GOC'!$F$17</f>
        <v>(10±2)</v>
      </c>
      <c r="I17" s="2215">
        <f>'XM.FILE GOC'!I17</f>
        <v>0</v>
      </c>
      <c r="J17" s="17" t="s">
        <v>8</v>
      </c>
      <c r="K17" s="27">
        <f>'XM.FILE GOC'!L17</f>
        <v>199.51</v>
      </c>
      <c r="L17" s="18" t="s">
        <v>9</v>
      </c>
      <c r="M17" s="908"/>
      <c r="N17" s="913" t="s">
        <v>8</v>
      </c>
      <c r="O17" s="1591">
        <f>('XM.FILE GOC'!$G$17-M17)*19951/1000</f>
        <v>199.51</v>
      </c>
      <c r="P17" s="914" t="s">
        <v>46</v>
      </c>
      <c r="Q17" s="1768">
        <f>'XM.FILE GOC'!P17</f>
        <v>0</v>
      </c>
      <c r="R17" s="951" t="s">
        <v>8</v>
      </c>
      <c r="S17" s="952">
        <f>'XM.FILE GOC'!S17</f>
        <v>199.51</v>
      </c>
      <c r="T17" s="18" t="s">
        <v>9</v>
      </c>
      <c r="U17" s="908"/>
      <c r="V17" s="913" t="s">
        <v>8</v>
      </c>
      <c r="W17" s="1591">
        <f>('XM.FILE GOC'!$G$17-U17)*19951/1000</f>
        <v>199.51</v>
      </c>
      <c r="X17" s="914" t="s">
        <v>46</v>
      </c>
      <c r="Y17" s="1768">
        <f>'XM.FILE GOC'!W17</f>
        <v>0</v>
      </c>
      <c r="Z17" s="951" t="s">
        <v>8</v>
      </c>
      <c r="AA17" s="952">
        <f>'XM.FILE GOC'!Z17</f>
        <v>199.51</v>
      </c>
      <c r="AB17" s="18" t="s">
        <v>9</v>
      </c>
      <c r="AC17" s="908"/>
      <c r="AD17" s="913" t="s">
        <v>8</v>
      </c>
      <c r="AE17" s="1591">
        <f>('XM.FILE GOC'!$G$17-AC17)*19951/1000</f>
        <v>199.51</v>
      </c>
      <c r="AF17" s="914" t="s">
        <v>46</v>
      </c>
      <c r="AG17" s="81" t="s">
        <v>41</v>
      </c>
    </row>
    <row r="18" spans="1:33" ht="48" customHeight="1">
      <c r="A18" s="3057">
        <v>6</v>
      </c>
      <c r="B18" s="3097" t="s">
        <v>946</v>
      </c>
      <c r="C18" s="3098"/>
      <c r="D18" s="3098"/>
      <c r="E18" s="3099"/>
      <c r="F18" s="47" t="s">
        <v>3</v>
      </c>
      <c r="G18" s="898" t="str">
        <f>'XM.FILE GOC'!$E$18</f>
        <v xml:space="preserve">12~18 </v>
      </c>
      <c r="H18" s="2222" t="str">
        <f>'XM.FILE GOC'!$F$18</f>
        <v>(14±2)</v>
      </c>
      <c r="I18" s="2216">
        <f>'XM.FILE GOC'!I18</f>
        <v>0</v>
      </c>
      <c r="J18" s="55" t="s">
        <v>8</v>
      </c>
      <c r="K18" s="56">
        <f>'XM.FILE GOC'!L18</f>
        <v>80.5</v>
      </c>
      <c r="L18" s="57" t="s">
        <v>10</v>
      </c>
      <c r="M18" s="908"/>
      <c r="N18" s="909" t="s">
        <v>8</v>
      </c>
      <c r="O18" s="937">
        <f>('XM.FILE GOC'!$G$18-M18)*575/99</f>
        <v>81.313131313131308</v>
      </c>
      <c r="P18" s="910" t="s">
        <v>10</v>
      </c>
      <c r="Q18" s="1738">
        <f>'XM.FILE GOC'!P18</f>
        <v>0</v>
      </c>
      <c r="R18" s="59" t="s">
        <v>8</v>
      </c>
      <c r="S18" s="587">
        <f>'XM.FILE GOC'!S18</f>
        <v>80.5</v>
      </c>
      <c r="T18" s="588" t="s">
        <v>10</v>
      </c>
      <c r="U18" s="908"/>
      <c r="V18" s="909" t="s">
        <v>8</v>
      </c>
      <c r="W18" s="937">
        <f>('XM.FILE GOC'!$G$18-U18)*575/99</f>
        <v>81.313131313131308</v>
      </c>
      <c r="X18" s="910" t="s">
        <v>10</v>
      </c>
      <c r="Y18" s="1738">
        <f>'XM.FILE GOC'!W18</f>
        <v>0</v>
      </c>
      <c r="Z18" s="59" t="s">
        <v>8</v>
      </c>
      <c r="AA18" s="587">
        <f>'XM.FILE GOC'!Z18</f>
        <v>80.5</v>
      </c>
      <c r="AB18" s="588" t="s">
        <v>10</v>
      </c>
      <c r="AC18" s="908"/>
      <c r="AD18" s="909" t="s">
        <v>8</v>
      </c>
      <c r="AE18" s="937">
        <f>('XM.FILE GOC'!$G$18-AC18)*575/99</f>
        <v>81.313131313131308</v>
      </c>
      <c r="AF18" s="910" t="s">
        <v>10</v>
      </c>
      <c r="AG18" s="81" t="s">
        <v>42</v>
      </c>
    </row>
    <row r="19" spans="1:33" ht="48" customHeight="1">
      <c r="A19" s="3058"/>
      <c r="B19" s="3100"/>
      <c r="C19" s="3101"/>
      <c r="D19" s="3101"/>
      <c r="E19" s="3102"/>
      <c r="F19" s="47" t="s">
        <v>5</v>
      </c>
      <c r="G19" s="898" t="str">
        <f>'XM.FILE GOC'!$E$19</f>
        <v>1.6~2.2</v>
      </c>
      <c r="H19" s="2222" t="str">
        <f>'XM.FILE GOC'!$F$19</f>
        <v>(2±0.2 )</v>
      </c>
      <c r="I19" s="2215">
        <f>'XM.FILE GOC'!I19</f>
        <v>0</v>
      </c>
      <c r="J19" s="5"/>
      <c r="K19" s="27">
        <f>'XM.FILE GOC'!L19</f>
        <v>0</v>
      </c>
      <c r="L19" s="6"/>
      <c r="M19" s="908"/>
      <c r="N19" s="911"/>
      <c r="O19" s="1591"/>
      <c r="P19" s="912"/>
      <c r="Q19" s="1768">
        <f>'XM.FILE GOC'!P19</f>
        <v>0</v>
      </c>
      <c r="R19" s="955"/>
      <c r="S19" s="952">
        <f>'XM.FILE GOC'!S19</f>
        <v>0</v>
      </c>
      <c r="T19" s="956"/>
      <c r="U19" s="908"/>
      <c r="V19" s="911"/>
      <c r="W19" s="1591"/>
      <c r="X19" s="912"/>
      <c r="Y19" s="1768">
        <f>'XM.FILE GOC'!W19</f>
        <v>0</v>
      </c>
      <c r="Z19" s="955"/>
      <c r="AA19" s="952">
        <f>'XM.FILE GOC'!Z19</f>
        <v>0</v>
      </c>
      <c r="AB19" s="956"/>
      <c r="AC19" s="908"/>
      <c r="AD19" s="911"/>
      <c r="AE19" s="1591"/>
      <c r="AF19" s="912"/>
      <c r="AG19" s="81"/>
    </row>
    <row r="20" spans="1:33" ht="48" customHeight="1">
      <c r="A20" s="959">
        <v>7</v>
      </c>
      <c r="B20" s="3095" t="s">
        <v>58</v>
      </c>
      <c r="C20" s="3120"/>
      <c r="D20" s="3120"/>
      <c r="E20" s="3096"/>
      <c r="F20" s="960" t="s">
        <v>6</v>
      </c>
      <c r="G20" s="898" t="str">
        <f>'XM.FILE GOC'!$E$20</f>
        <v xml:space="preserve">40~50 </v>
      </c>
      <c r="H20" s="2222" t="str">
        <f>'XM.FILE GOC'!$F$20</f>
        <v>(45±5)</v>
      </c>
      <c r="I20" s="2217">
        <f>'XM.FILE GOC'!I20</f>
        <v>0</v>
      </c>
      <c r="J20" s="17" t="s">
        <v>8</v>
      </c>
      <c r="K20" s="27">
        <f>'XM.FILE GOC'!L20</f>
        <v>954.9</v>
      </c>
      <c r="L20" s="18" t="s">
        <v>10</v>
      </c>
      <c r="M20" s="915"/>
      <c r="N20" s="909" t="s">
        <v>8</v>
      </c>
      <c r="O20" s="1591">
        <f>('XM.FILE GOC'!$G$20-M20)*2122</f>
        <v>954.9</v>
      </c>
      <c r="P20" s="910" t="s">
        <v>10</v>
      </c>
      <c r="Q20" s="1743">
        <f>'XM.FILE GOC'!P20</f>
        <v>0</v>
      </c>
      <c r="R20" s="951" t="s">
        <v>8</v>
      </c>
      <c r="S20" s="952">
        <f>'XM.FILE GOC'!S20</f>
        <v>954.9</v>
      </c>
      <c r="T20" s="953" t="s">
        <v>10</v>
      </c>
      <c r="U20" s="915"/>
      <c r="V20" s="909" t="s">
        <v>8</v>
      </c>
      <c r="W20" s="1591">
        <f>('XM.FILE GOC'!$G$20-U20)*2122</f>
        <v>954.9</v>
      </c>
      <c r="X20" s="910" t="s">
        <v>10</v>
      </c>
      <c r="Y20" s="1743">
        <f>'XM.FILE GOC'!W20</f>
        <v>0</v>
      </c>
      <c r="Z20" s="951" t="s">
        <v>8</v>
      </c>
      <c r="AA20" s="952">
        <f>'XM.FILE GOC'!Z20</f>
        <v>954.9</v>
      </c>
      <c r="AB20" s="953" t="s">
        <v>10</v>
      </c>
      <c r="AC20" s="915"/>
      <c r="AD20" s="909" t="s">
        <v>8</v>
      </c>
      <c r="AE20" s="1591">
        <f>('XM.FILE GOC'!$G$20-AC20)*2122</f>
        <v>954.9</v>
      </c>
      <c r="AF20" s="910" t="s">
        <v>10</v>
      </c>
      <c r="AG20" s="81" t="s">
        <v>43</v>
      </c>
    </row>
    <row r="21" spans="1:33" ht="48" hidden="1" customHeight="1">
      <c r="A21" s="959">
        <v>8</v>
      </c>
      <c r="B21" s="3095" t="s">
        <v>59</v>
      </c>
      <c r="C21" s="3120"/>
      <c r="D21" s="3120"/>
      <c r="E21" s="3096"/>
      <c r="F21" s="960" t="s">
        <v>6</v>
      </c>
      <c r="G21" s="898" t="str">
        <f>'XM.FILE GOC'!$E$21</f>
        <v>(22±5) =17~27</v>
      </c>
      <c r="H21" s="2222" t="str">
        <f>'XM.FILE GOC'!$F$21</f>
        <v>(22±5)</v>
      </c>
      <c r="I21" s="2218">
        <f>'XM.FILE GOC'!I21</f>
        <v>0</v>
      </c>
      <c r="J21" s="59" t="s">
        <v>8</v>
      </c>
      <c r="K21" s="56">
        <f>'XM.FILE GOC'!L21</f>
        <v>134.64000000000001</v>
      </c>
      <c r="L21" s="57" t="s">
        <v>10</v>
      </c>
      <c r="M21" s="915"/>
      <c r="N21" s="909" t="s">
        <v>8</v>
      </c>
      <c r="O21" s="937">
        <f>('XM.FILE GOC'!$G$21-M21)*612</f>
        <v>134.64000000000001</v>
      </c>
      <c r="P21" s="910" t="s">
        <v>10</v>
      </c>
      <c r="Q21" s="1772">
        <f>'XM.FILE GOC'!P21</f>
        <v>0</v>
      </c>
      <c r="R21" s="59" t="s">
        <v>8</v>
      </c>
      <c r="S21" s="587">
        <f>'XM.FILE GOC'!S21</f>
        <v>134.64000000000001</v>
      </c>
      <c r="T21" s="588" t="s">
        <v>10</v>
      </c>
      <c r="U21" s="915"/>
      <c r="V21" s="909" t="s">
        <v>8</v>
      </c>
      <c r="W21" s="937">
        <f>('XM.FILE GOC'!$G$21-U21)*612</f>
        <v>134.64000000000001</v>
      </c>
      <c r="X21" s="910" t="s">
        <v>10</v>
      </c>
      <c r="Y21" s="1772">
        <f>'XM.FILE GOC'!W21</f>
        <v>0</v>
      </c>
      <c r="Z21" s="59" t="s">
        <v>8</v>
      </c>
      <c r="AA21" s="587">
        <f>'XM.FILE GOC'!Z21</f>
        <v>134.64000000000001</v>
      </c>
      <c r="AB21" s="953" t="s">
        <v>10</v>
      </c>
      <c r="AC21" s="915"/>
      <c r="AD21" s="909" t="s">
        <v>8</v>
      </c>
      <c r="AE21" s="937">
        <f>('XM.FILE GOC'!$G$21-AC21)*612</f>
        <v>134.64000000000001</v>
      </c>
      <c r="AF21" s="910" t="s">
        <v>10</v>
      </c>
      <c r="AG21" s="81" t="s">
        <v>43</v>
      </c>
    </row>
    <row r="22" spans="1:33" ht="48" hidden="1" customHeight="1">
      <c r="A22" s="959">
        <v>9</v>
      </c>
      <c r="B22" s="3095" t="s">
        <v>108</v>
      </c>
      <c r="C22" s="3120"/>
      <c r="D22" s="3120"/>
      <c r="E22" s="3096"/>
      <c r="F22" s="960" t="s">
        <v>6</v>
      </c>
      <c r="G22" s="898" t="str">
        <f>'XM.FILE GOC'!$E$22</f>
        <v>5~15</v>
      </c>
      <c r="H22" s="2222" t="str">
        <f>'XM.FILE GOC'!$F$22</f>
        <v>(30±4)</v>
      </c>
      <c r="I22" s="2218">
        <f>'XM.FILE GOC'!I22</f>
        <v>0</v>
      </c>
      <c r="J22" s="17" t="s">
        <v>8</v>
      </c>
      <c r="K22" s="27">
        <f>'XM.FILE GOC'!L22</f>
        <v>57.5</v>
      </c>
      <c r="L22" s="18" t="s">
        <v>10</v>
      </c>
      <c r="M22" s="915"/>
      <c r="N22" s="909" t="s">
        <v>8</v>
      </c>
      <c r="O22" s="1591">
        <f>('XM.FILE GOC'!$G$22-M22)*575</f>
        <v>57.5</v>
      </c>
      <c r="P22" s="910" t="s">
        <v>10</v>
      </c>
      <c r="Q22" s="1772">
        <f>'XM.FILE GOC'!P22</f>
        <v>0</v>
      </c>
      <c r="R22" s="951" t="s">
        <v>8</v>
      </c>
      <c r="S22" s="952">
        <f>'XM.FILE GOC'!S22</f>
        <v>57.5</v>
      </c>
      <c r="T22" s="953" t="s">
        <v>10</v>
      </c>
      <c r="U22" s="915"/>
      <c r="V22" s="909" t="s">
        <v>8</v>
      </c>
      <c r="W22" s="1591">
        <f>('XM.FILE GOC'!$G$22-U22)*575</f>
        <v>57.5</v>
      </c>
      <c r="X22" s="910" t="s">
        <v>10</v>
      </c>
      <c r="Y22" s="1772">
        <f>'XM.FILE GOC'!W22</f>
        <v>0</v>
      </c>
      <c r="Z22" s="951" t="s">
        <v>8</v>
      </c>
      <c r="AA22" s="952">
        <f>'XM.FILE GOC'!Z22</f>
        <v>57.5</v>
      </c>
      <c r="AB22" s="953" t="s">
        <v>10</v>
      </c>
      <c r="AC22" s="915"/>
      <c r="AD22" s="909" t="s">
        <v>8</v>
      </c>
      <c r="AE22" s="1591">
        <f>('XM.FILE GOC'!$G$22-AC22)*575</f>
        <v>57.5</v>
      </c>
      <c r="AF22" s="910" t="s">
        <v>10</v>
      </c>
      <c r="AG22" s="81" t="s">
        <v>44</v>
      </c>
    </row>
    <row r="23" spans="1:33" ht="48" customHeight="1">
      <c r="A23" s="959">
        <v>10</v>
      </c>
      <c r="B23" s="3095" t="s">
        <v>947</v>
      </c>
      <c r="C23" s="3120"/>
      <c r="D23" s="3120"/>
      <c r="E23" s="3096"/>
      <c r="F23" s="960" t="s">
        <v>3</v>
      </c>
      <c r="G23" s="898" t="str">
        <f>'XM.FILE GOC'!$E$23</f>
        <v>0.5~1.5</v>
      </c>
      <c r="H23" s="2222" t="str">
        <f>'XM.FILE GOC'!$F$23</f>
        <v>(1±0.4)</v>
      </c>
      <c r="I23" s="2219">
        <f>'XM.FILE GOC'!I23</f>
        <v>0</v>
      </c>
      <c r="J23" s="17" t="s">
        <v>8</v>
      </c>
      <c r="K23" s="44">
        <f>'XM.FILE GOC'!L23</f>
        <v>5.3998981151299033</v>
      </c>
      <c r="L23" s="18" t="s">
        <v>10</v>
      </c>
      <c r="M23" s="1579"/>
      <c r="N23" s="909" t="s">
        <v>8</v>
      </c>
      <c r="O23" s="937">
        <f>('XM.FILE GOC'!$G$23-M23)*530/65%</f>
        <v>8.1538461538461533</v>
      </c>
      <c r="P23" s="910" t="s">
        <v>10</v>
      </c>
      <c r="Q23" s="1774">
        <f>'XM.FILE GOC'!P23</f>
        <v>0</v>
      </c>
      <c r="R23" s="951" t="s">
        <v>8</v>
      </c>
      <c r="S23" s="957">
        <f>'XM.FILE GOC'!S23</f>
        <v>5.3998981151299033</v>
      </c>
      <c r="T23" s="953" t="s">
        <v>10</v>
      </c>
      <c r="U23" s="1579"/>
      <c r="V23" s="909" t="s">
        <v>8</v>
      </c>
      <c r="W23" s="937">
        <f>('XM.FILE GOC'!$G$23-U23)*530/65%</f>
        <v>8.1538461538461533</v>
      </c>
      <c r="X23" s="910" t="s">
        <v>10</v>
      </c>
      <c r="Y23" s="1774">
        <f>'XM.FILE GOC'!W23</f>
        <v>0</v>
      </c>
      <c r="Z23" s="951" t="s">
        <v>8</v>
      </c>
      <c r="AA23" s="957">
        <f>'XM.FILE GOC'!Z23</f>
        <v>5.3998981151299033</v>
      </c>
      <c r="AB23" s="953" t="s">
        <v>10</v>
      </c>
      <c r="AC23" s="1579"/>
      <c r="AD23" s="909" t="s">
        <v>8</v>
      </c>
      <c r="AE23" s="937">
        <f>('XM.FILE GOC'!$G$23-AC23)*530/65%</f>
        <v>8.1538461538461533</v>
      </c>
      <c r="AF23" s="910" t="s">
        <v>10</v>
      </c>
      <c r="AG23" s="81" t="s">
        <v>44</v>
      </c>
    </row>
    <row r="24" spans="1:33" ht="48" customHeight="1">
      <c r="A24" s="2189"/>
      <c r="B24" s="3083" t="s">
        <v>74</v>
      </c>
      <c r="C24" s="3084"/>
      <c r="D24" s="3084"/>
      <c r="E24" s="3085"/>
      <c r="F24" s="2180" t="s">
        <v>3</v>
      </c>
      <c r="G24" s="1009" t="str">
        <f>'XM.GUI MAIL'!$E$24</f>
        <v>5~10</v>
      </c>
      <c r="H24" s="2223" t="str">
        <f>'XM.GUI MAIL'!$F$24</f>
        <v>(7.5±1)</v>
      </c>
      <c r="I24" s="2220">
        <f>'XM.FILE GOC'!I24</f>
        <v>0</v>
      </c>
      <c r="J24" s="17" t="s">
        <v>8</v>
      </c>
      <c r="K24" s="27">
        <f>'XM.FILE GOC'!L24</f>
        <v>45.39473684210526</v>
      </c>
      <c r="L24" s="18" t="s">
        <v>10</v>
      </c>
      <c r="M24" s="2258"/>
      <c r="N24" s="909" t="s">
        <v>8</v>
      </c>
      <c r="O24" s="1591">
        <f>('XM.FILE GOC'!$G$24-M24)*575/95*1.13</f>
        <v>51.296052631578938</v>
      </c>
      <c r="P24" s="910" t="s">
        <v>10</v>
      </c>
      <c r="Q24" s="1840">
        <f>'XM.FILE GOC'!P24</f>
        <v>0</v>
      </c>
      <c r="R24" s="951" t="s">
        <v>8</v>
      </c>
      <c r="S24" s="952">
        <f>'XM.FILE GOC'!S24</f>
        <v>45.39473684210526</v>
      </c>
      <c r="T24" s="953" t="s">
        <v>10</v>
      </c>
      <c r="U24" s="2258"/>
      <c r="V24" s="909" t="s">
        <v>8</v>
      </c>
      <c r="W24" s="1591">
        <f>('XM.FILE GOC'!$G$24-U24)*575/95*1.13</f>
        <v>51.296052631578938</v>
      </c>
      <c r="X24" s="910" t="s">
        <v>10</v>
      </c>
      <c r="Y24" s="1840">
        <f>'XM.FILE GOC'!W24</f>
        <v>0</v>
      </c>
      <c r="Z24" s="951" t="s">
        <v>8</v>
      </c>
      <c r="AA24" s="952">
        <f>'XM.FILE GOC'!Z24</f>
        <v>45.39473684210526</v>
      </c>
      <c r="AB24" s="953" t="s">
        <v>10</v>
      </c>
      <c r="AC24" s="2258"/>
      <c r="AD24" s="909" t="s">
        <v>8</v>
      </c>
      <c r="AE24" s="1591">
        <f>('XM.FILE GOC'!$G$24-AC24)*575/95*1.13</f>
        <v>51.296052631578938</v>
      </c>
      <c r="AF24" s="910" t="s">
        <v>10</v>
      </c>
      <c r="AG24" s="2185" t="s">
        <v>1541</v>
      </c>
    </row>
    <row r="25" spans="1:33" ht="48" customHeight="1">
      <c r="A25" s="2189"/>
      <c r="B25" s="3086"/>
      <c r="C25" s="3087"/>
      <c r="D25" s="3087"/>
      <c r="E25" s="3088"/>
      <c r="F25" s="2180" t="s">
        <v>5</v>
      </c>
      <c r="G25" s="1009" t="str">
        <f>'XM.GUI MAIL'!$E$25</f>
        <v>1.8~2.2</v>
      </c>
      <c r="H25" s="2223" t="str">
        <f>'XM.GUI MAIL'!$F$25</f>
        <v>(2±0.1)</v>
      </c>
      <c r="I25" s="2251">
        <f>'XM.FILE GOC'!I25</f>
        <v>0</v>
      </c>
      <c r="J25" s="2190"/>
      <c r="K25" s="44"/>
      <c r="L25" s="2191"/>
      <c r="M25" s="916"/>
      <c r="N25" s="917"/>
      <c r="O25" s="1592"/>
      <c r="P25" s="918"/>
      <c r="Q25" s="2252">
        <f>'XM.FILE GOC'!P25</f>
        <v>0</v>
      </c>
      <c r="R25" s="951"/>
      <c r="S25" s="957"/>
      <c r="T25" s="953"/>
      <c r="U25" s="916"/>
      <c r="V25" s="917"/>
      <c r="W25" s="1592"/>
      <c r="X25" s="918"/>
      <c r="Y25" s="2252">
        <f>'XM.FILE GOC'!W25</f>
        <v>0</v>
      </c>
      <c r="Z25" s="951"/>
      <c r="AA25" s="957"/>
      <c r="AB25" s="953"/>
      <c r="AC25" s="916"/>
      <c r="AD25" s="917"/>
      <c r="AE25" s="1592"/>
      <c r="AF25" s="918"/>
      <c r="AG25" s="2185" t="s">
        <v>1542</v>
      </c>
    </row>
    <row r="26" spans="1:33" ht="48" customHeight="1">
      <c r="B26" s="2429" t="s">
        <v>73</v>
      </c>
      <c r="C26" s="2430"/>
      <c r="D26" s="2430"/>
      <c r="E26" s="2430"/>
      <c r="F26" s="2430"/>
      <c r="G26" s="2430"/>
      <c r="H26" s="2430"/>
      <c r="I26" s="2430"/>
      <c r="J26" s="2430"/>
      <c r="K26" s="2430"/>
      <c r="L26" s="2430"/>
      <c r="M26" s="2430"/>
      <c r="N26" s="2430"/>
      <c r="O26" s="2430"/>
      <c r="P26" s="2430"/>
      <c r="Q26" s="2430"/>
      <c r="R26" s="2430"/>
      <c r="S26" s="2430"/>
      <c r="T26" s="2430"/>
      <c r="U26" s="2430"/>
      <c r="V26" s="2430"/>
      <c r="W26" s="2430"/>
      <c r="X26" s="2430"/>
      <c r="Y26" s="2430"/>
      <c r="Z26" s="2430"/>
      <c r="AA26" s="2430"/>
      <c r="AB26" s="2430"/>
      <c r="AC26" s="2430"/>
      <c r="AD26" s="2430"/>
      <c r="AE26" s="2430"/>
      <c r="AF26" s="2430"/>
      <c r="AG26" s="2431"/>
    </row>
    <row r="27" spans="1:33" ht="48" customHeight="1">
      <c r="A27" s="959" t="s">
        <v>7</v>
      </c>
      <c r="B27" s="3095" t="s">
        <v>61</v>
      </c>
      <c r="C27" s="3120"/>
      <c r="D27" s="3120"/>
      <c r="E27" s="3096"/>
      <c r="F27" s="248" t="s">
        <v>63</v>
      </c>
      <c r="G27" s="2208" t="s">
        <v>1310</v>
      </c>
      <c r="H27" s="2224" t="s">
        <v>1302</v>
      </c>
      <c r="I27" s="3080" t="s">
        <v>45</v>
      </c>
      <c r="J27" s="3081"/>
      <c r="K27" s="3081" t="s">
        <v>62</v>
      </c>
      <c r="L27" s="3082"/>
      <c r="M27" s="919"/>
      <c r="N27" s="920"/>
      <c r="O27" s="920"/>
      <c r="P27" s="921"/>
      <c r="Q27" s="3111" t="s">
        <v>45</v>
      </c>
      <c r="R27" s="3079"/>
      <c r="S27" s="3079" t="s">
        <v>62</v>
      </c>
      <c r="T27" s="3079"/>
      <c r="U27" s="919"/>
      <c r="V27" s="920"/>
      <c r="W27" s="920"/>
      <c r="X27" s="921"/>
      <c r="Y27" s="3079" t="s">
        <v>45</v>
      </c>
      <c r="Z27" s="3079"/>
      <c r="AA27" s="3079" t="s">
        <v>62</v>
      </c>
      <c r="AB27" s="3079"/>
      <c r="AC27" s="919"/>
      <c r="AD27" s="920"/>
      <c r="AE27" s="920"/>
      <c r="AF27" s="921"/>
      <c r="AG27" s="80"/>
    </row>
    <row r="28" spans="1:33" ht="48" customHeight="1">
      <c r="A28" s="959">
        <v>1</v>
      </c>
      <c r="B28" s="3095" t="s">
        <v>65</v>
      </c>
      <c r="C28" s="3120"/>
      <c r="D28" s="3120"/>
      <c r="E28" s="3096"/>
      <c r="F28" s="247" t="s">
        <v>195</v>
      </c>
      <c r="G28" s="898" t="str">
        <f>'XM.FILE GOC'!$E$28</f>
        <v>50~70</v>
      </c>
      <c r="H28" s="2222" t="str">
        <f>'XM.FILE GOC'!$F$28</f>
        <v>(60±5)</v>
      </c>
      <c r="I28" s="3113">
        <f>'XM.FILE GOC'!I28</f>
        <v>0</v>
      </c>
      <c r="J28" s="3112"/>
      <c r="K28" s="3112">
        <f>'XM.FILE GOC'!L28</f>
        <v>0</v>
      </c>
      <c r="L28" s="3112"/>
      <c r="M28" s="922"/>
      <c r="N28" s="923"/>
      <c r="O28" s="923"/>
      <c r="P28" s="924"/>
      <c r="Q28" s="3112">
        <f>'XM.FILE GOC'!P28</f>
        <v>0</v>
      </c>
      <c r="R28" s="3112"/>
      <c r="S28" s="3112">
        <f>'XM.FILE GOC'!S28</f>
        <v>0</v>
      </c>
      <c r="T28" s="3112"/>
      <c r="U28" s="922"/>
      <c r="V28" s="923"/>
      <c r="W28" s="923"/>
      <c r="X28" s="924"/>
      <c r="Y28" s="3112">
        <f>'XM.FILE GOC'!W28</f>
        <v>0</v>
      </c>
      <c r="Z28" s="3112"/>
      <c r="AA28" s="3112">
        <f>'XM.FILE GOC'!Z28</f>
        <v>0</v>
      </c>
      <c r="AB28" s="3112"/>
      <c r="AC28" s="922"/>
      <c r="AD28" s="923"/>
      <c r="AE28" s="923"/>
      <c r="AF28" s="924"/>
      <c r="AG28" s="81"/>
    </row>
    <row r="29" spans="1:33" ht="48" customHeight="1">
      <c r="A29" s="959">
        <v>2</v>
      </c>
      <c r="B29" s="3095" t="s">
        <v>66</v>
      </c>
      <c r="C29" s="3120" t="s">
        <v>66</v>
      </c>
      <c r="D29" s="3120" t="s">
        <v>66</v>
      </c>
      <c r="E29" s="3096" t="s">
        <v>66</v>
      </c>
      <c r="F29" s="247" t="s">
        <v>195</v>
      </c>
      <c r="G29" s="898" t="str">
        <f>'XM.FILE GOC'!$E$29</f>
        <v>50~70</v>
      </c>
      <c r="H29" s="2222" t="str">
        <f>'XM.FILE GOC'!$F$29</f>
        <v>(60±5)</v>
      </c>
      <c r="I29" s="3113">
        <f>'XM.FILE GOC'!I29</f>
        <v>0</v>
      </c>
      <c r="J29" s="3112"/>
      <c r="K29" s="3112">
        <f>'XM.FILE GOC'!L29</f>
        <v>0</v>
      </c>
      <c r="L29" s="3112"/>
      <c r="M29" s="922"/>
      <c r="N29" s="923"/>
      <c r="O29" s="923"/>
      <c r="P29" s="924"/>
      <c r="Q29" s="3112">
        <f>'XM.FILE GOC'!P29</f>
        <v>0</v>
      </c>
      <c r="R29" s="3112"/>
      <c r="S29" s="3112">
        <f>'XM.FILE GOC'!S29</f>
        <v>0</v>
      </c>
      <c r="T29" s="3112"/>
      <c r="U29" s="922"/>
      <c r="V29" s="923"/>
      <c r="W29" s="923"/>
      <c r="X29" s="924"/>
      <c r="Y29" s="3112">
        <f>'XM.FILE GOC'!W29</f>
        <v>0</v>
      </c>
      <c r="Z29" s="3112"/>
      <c r="AA29" s="3112">
        <f>'XM.FILE GOC'!Z29</f>
        <v>0</v>
      </c>
      <c r="AB29" s="3112"/>
      <c r="AC29" s="922"/>
      <c r="AD29" s="923"/>
      <c r="AE29" s="923"/>
      <c r="AF29" s="924"/>
      <c r="AG29" s="81"/>
    </row>
    <row r="30" spans="1:33" ht="48" customHeight="1">
      <c r="A30" s="959">
        <v>3</v>
      </c>
      <c r="B30" s="3095" t="s">
        <v>68</v>
      </c>
      <c r="C30" s="3120" t="s">
        <v>68</v>
      </c>
      <c r="D30" s="3120" t="s">
        <v>68</v>
      </c>
      <c r="E30" s="3096" t="s">
        <v>68</v>
      </c>
      <c r="F30" s="247" t="s">
        <v>195</v>
      </c>
      <c r="G30" s="898" t="str">
        <f>'XM.FILE GOC'!$E$30</f>
        <v>40~60</v>
      </c>
      <c r="H30" s="2222" t="str">
        <f>'XM.FILE GOC'!$F$30</f>
        <v>(50±5)</v>
      </c>
      <c r="I30" s="3032">
        <f>'XM.FILE GOC'!I30</f>
        <v>0</v>
      </c>
      <c r="J30" s="3026"/>
      <c r="K30" s="3033">
        <f>'XM.FILE GOC'!L30</f>
        <v>0</v>
      </c>
      <c r="L30" s="3026"/>
      <c r="M30" s="922"/>
      <c r="N30" s="923"/>
      <c r="O30" s="923"/>
      <c r="P30" s="924"/>
      <c r="Q30" s="3033">
        <f>'XM.FILE GOC'!P30</f>
        <v>0</v>
      </c>
      <c r="R30" s="3026"/>
      <c r="S30" s="3033">
        <f>'XM.FILE GOC'!S30</f>
        <v>0</v>
      </c>
      <c r="T30" s="3026"/>
      <c r="U30" s="922"/>
      <c r="V30" s="923"/>
      <c r="W30" s="923"/>
      <c r="X30" s="924"/>
      <c r="Y30" s="3033">
        <f>'XM.FILE GOC'!W30</f>
        <v>0</v>
      </c>
      <c r="Z30" s="3026"/>
      <c r="AA30" s="3033">
        <f>'XM.FILE GOC'!Z30</f>
        <v>0</v>
      </c>
      <c r="AB30" s="3026"/>
      <c r="AC30" s="922"/>
      <c r="AD30" s="923"/>
      <c r="AE30" s="923"/>
      <c r="AF30" s="924"/>
      <c r="AG30" s="81"/>
    </row>
    <row r="31" spans="1:33" ht="48" customHeight="1">
      <c r="A31" s="959">
        <v>4</v>
      </c>
      <c r="B31" s="3095" t="s">
        <v>67</v>
      </c>
      <c r="C31" s="3120" t="s">
        <v>67</v>
      </c>
      <c r="D31" s="3120" t="s">
        <v>67</v>
      </c>
      <c r="E31" s="3096" t="s">
        <v>67</v>
      </c>
      <c r="F31" s="247" t="s">
        <v>195</v>
      </c>
      <c r="G31" s="898" t="str">
        <f>'XM.FILE GOC'!$E$31</f>
        <v>40~60</v>
      </c>
      <c r="H31" s="2222" t="str">
        <f>'XM.FILE GOC'!$F$31</f>
        <v>(50±5)</v>
      </c>
      <c r="I31" s="3032">
        <f>'XM.FILE GOC'!I31</f>
        <v>0</v>
      </c>
      <c r="J31" s="3026"/>
      <c r="K31" s="3033">
        <f>'XM.FILE GOC'!L31</f>
        <v>0</v>
      </c>
      <c r="L31" s="3026"/>
      <c r="M31" s="922"/>
      <c r="N31" s="923"/>
      <c r="O31" s="923"/>
      <c r="P31" s="924"/>
      <c r="Q31" s="3033">
        <f>'XM.FILE GOC'!P31</f>
        <v>0</v>
      </c>
      <c r="R31" s="3026"/>
      <c r="S31" s="3033">
        <f>'XM.FILE GOC'!S31</f>
        <v>0</v>
      </c>
      <c r="T31" s="3026"/>
      <c r="U31" s="922"/>
      <c r="V31" s="923"/>
      <c r="W31" s="923"/>
      <c r="X31" s="924"/>
      <c r="Y31" s="3033">
        <f>'XM.FILE GOC'!W31</f>
        <v>0</v>
      </c>
      <c r="Z31" s="3026"/>
      <c r="AA31" s="3033">
        <f>'XM.FILE GOC'!Z31</f>
        <v>0</v>
      </c>
      <c r="AB31" s="3026"/>
      <c r="AC31" s="922"/>
      <c r="AD31" s="923"/>
      <c r="AE31" s="923"/>
      <c r="AF31" s="924"/>
      <c r="AG31" s="81"/>
    </row>
    <row r="32" spans="1:33" ht="48" customHeight="1">
      <c r="A32" s="959">
        <v>5</v>
      </c>
      <c r="B32" s="3095" t="s">
        <v>69</v>
      </c>
      <c r="C32" s="3120" t="s">
        <v>69</v>
      </c>
      <c r="D32" s="3120" t="s">
        <v>69</v>
      </c>
      <c r="E32" s="3096" t="s">
        <v>69</v>
      </c>
      <c r="F32" s="247" t="s">
        <v>195</v>
      </c>
      <c r="G32" s="898" t="str">
        <f>'XM.FILE GOC'!$E$32</f>
        <v>20~35</v>
      </c>
      <c r="H32" s="2222" t="str">
        <f>'XM.FILE GOC'!$F$32</f>
        <v>(30±4)</v>
      </c>
      <c r="I32" s="3113">
        <f>'XM.FILE GOC'!I32</f>
        <v>0</v>
      </c>
      <c r="J32" s="3112"/>
      <c r="K32" s="3112">
        <f>'XM.FILE GOC'!L32</f>
        <v>0</v>
      </c>
      <c r="L32" s="3112"/>
      <c r="M32" s="922"/>
      <c r="N32" s="923"/>
      <c r="O32" s="923"/>
      <c r="P32" s="924"/>
      <c r="Q32" s="3112">
        <f>'XM.FILE GOC'!P32</f>
        <v>0</v>
      </c>
      <c r="R32" s="3112"/>
      <c r="S32" s="3112">
        <f>'XM.FILE GOC'!S32</f>
        <v>0</v>
      </c>
      <c r="T32" s="3112"/>
      <c r="U32" s="922"/>
      <c r="V32" s="923"/>
      <c r="W32" s="923"/>
      <c r="X32" s="924"/>
      <c r="Y32" s="3112">
        <f>'XM.FILE GOC'!W32</f>
        <v>0</v>
      </c>
      <c r="Z32" s="3112"/>
      <c r="AA32" s="3112">
        <f>'XM.FILE GOC'!Z32</f>
        <v>0</v>
      </c>
      <c r="AB32" s="3112"/>
      <c r="AC32" s="922"/>
      <c r="AD32" s="923"/>
      <c r="AE32" s="923"/>
      <c r="AF32" s="924"/>
      <c r="AG32" s="81"/>
    </row>
    <row r="33" spans="1:33" ht="48" customHeight="1">
      <c r="A33" s="959">
        <v>6</v>
      </c>
      <c r="B33" s="3095" t="s">
        <v>948</v>
      </c>
      <c r="C33" s="3120" t="s">
        <v>948</v>
      </c>
      <c r="D33" s="3120" t="s">
        <v>948</v>
      </c>
      <c r="E33" s="3096" t="s">
        <v>948</v>
      </c>
      <c r="F33" s="247" t="s">
        <v>195</v>
      </c>
      <c r="G33" s="898" t="str">
        <f>'XM.FILE GOC'!$E$33</f>
        <v>30~40</v>
      </c>
      <c r="H33" s="2222" t="str">
        <f>'XM.FILE GOC'!$F$33</f>
        <v>(34±3)</v>
      </c>
      <c r="I33" s="3113">
        <f>'XM.FILE GOC'!I33</f>
        <v>0</v>
      </c>
      <c r="J33" s="3112"/>
      <c r="K33" s="3112">
        <f>'XM.FILE GOC'!L33</f>
        <v>0</v>
      </c>
      <c r="L33" s="3112"/>
      <c r="M33" s="922"/>
      <c r="N33" s="923"/>
      <c r="O33" s="923"/>
      <c r="P33" s="924"/>
      <c r="Q33" s="3112">
        <f>'XM.FILE GOC'!P33</f>
        <v>0</v>
      </c>
      <c r="R33" s="3112"/>
      <c r="S33" s="3112">
        <f>'XM.FILE GOC'!S33</f>
        <v>0</v>
      </c>
      <c r="T33" s="3112"/>
      <c r="U33" s="922"/>
      <c r="V33" s="923"/>
      <c r="W33" s="923"/>
      <c r="X33" s="924"/>
      <c r="Y33" s="3112">
        <f>'XM.FILE GOC'!W33</f>
        <v>0</v>
      </c>
      <c r="Z33" s="3112"/>
      <c r="AA33" s="3112">
        <f>'XM.FILE GOC'!Z33</f>
        <v>0</v>
      </c>
      <c r="AB33" s="3112"/>
      <c r="AC33" s="922"/>
      <c r="AD33" s="923"/>
      <c r="AE33" s="923"/>
      <c r="AF33" s="924"/>
      <c r="AG33" s="81"/>
    </row>
    <row r="34" spans="1:33" ht="48" customHeight="1">
      <c r="A34" s="959">
        <v>7</v>
      </c>
      <c r="B34" s="3095" t="s">
        <v>70</v>
      </c>
      <c r="C34" s="3120" t="s">
        <v>70</v>
      </c>
      <c r="D34" s="3120" t="s">
        <v>70</v>
      </c>
      <c r="E34" s="3096" t="s">
        <v>70</v>
      </c>
      <c r="F34" s="247" t="s">
        <v>195</v>
      </c>
      <c r="G34" s="898" t="str">
        <f>'XM.FILE GOC'!$E$34</f>
        <v>50~70</v>
      </c>
      <c r="H34" s="2222" t="str">
        <f>'XM.FILE GOC'!$F$34</f>
        <v>(60±10)</v>
      </c>
      <c r="I34" s="3113">
        <f>'XM.FILE GOC'!I34</f>
        <v>0</v>
      </c>
      <c r="J34" s="3112"/>
      <c r="K34" s="3112">
        <f>'XM.FILE GOC'!L34</f>
        <v>0</v>
      </c>
      <c r="L34" s="3112"/>
      <c r="M34" s="922"/>
      <c r="N34" s="923"/>
      <c r="O34" s="923"/>
      <c r="P34" s="924"/>
      <c r="Q34" s="3112">
        <f>'XM.FILE GOC'!P34</f>
        <v>0</v>
      </c>
      <c r="R34" s="3112"/>
      <c r="S34" s="3112">
        <f>'XM.FILE GOC'!S34</f>
        <v>0</v>
      </c>
      <c r="T34" s="3112"/>
      <c r="U34" s="922"/>
      <c r="V34" s="923"/>
      <c r="W34" s="923"/>
      <c r="X34" s="924"/>
      <c r="Y34" s="3112">
        <f>'XM.FILE GOC'!W34</f>
        <v>0</v>
      </c>
      <c r="Z34" s="3112"/>
      <c r="AA34" s="3112">
        <f>'XM.FILE GOC'!Z34</f>
        <v>0</v>
      </c>
      <c r="AB34" s="3112"/>
      <c r="AC34" s="922"/>
      <c r="AD34" s="923"/>
      <c r="AE34" s="923"/>
      <c r="AF34" s="924"/>
      <c r="AG34" s="81"/>
    </row>
    <row r="35" spans="1:33" ht="48" customHeight="1">
      <c r="A35" s="959">
        <v>8</v>
      </c>
      <c r="B35" s="3130" t="s">
        <v>71</v>
      </c>
      <c r="C35" s="3131" t="s">
        <v>71</v>
      </c>
      <c r="D35" s="3131" t="s">
        <v>71</v>
      </c>
      <c r="E35" s="3132" t="s">
        <v>71</v>
      </c>
      <c r="F35" s="247" t="s">
        <v>195</v>
      </c>
      <c r="G35" s="898" t="str">
        <f>'XM.FILE GOC'!$E$35</f>
        <v>80~100</v>
      </c>
      <c r="H35" s="2222" t="str">
        <f>'XM.FILE GOC'!$F$35</f>
        <v>(90±5)</v>
      </c>
      <c r="I35" s="3080" t="str">
        <f>'XM.FILE GOC'!I35</f>
        <v>\</v>
      </c>
      <c r="J35" s="3081"/>
      <c r="K35" s="3112">
        <f>'XM.FILE GOC'!L35</f>
        <v>0</v>
      </c>
      <c r="L35" s="3112"/>
      <c r="M35" s="925"/>
      <c r="N35" s="926"/>
      <c r="O35" s="926"/>
      <c r="P35" s="927"/>
      <c r="Q35" s="3081" t="str">
        <f>'XM.FILE GOC'!P35</f>
        <v>\</v>
      </c>
      <c r="R35" s="3081"/>
      <c r="S35" s="3112">
        <f>'XM.FILE GOC'!S35</f>
        <v>0</v>
      </c>
      <c r="T35" s="3112"/>
      <c r="U35" s="925"/>
      <c r="V35" s="926"/>
      <c r="W35" s="926"/>
      <c r="X35" s="927"/>
      <c r="Y35" s="3081" t="str">
        <f>'XM.FILE GOC'!W35</f>
        <v>\</v>
      </c>
      <c r="Z35" s="3081"/>
      <c r="AA35" s="3112">
        <f>'XM.FILE GOC'!Z35</f>
        <v>0</v>
      </c>
      <c r="AB35" s="3112"/>
      <c r="AC35" s="925"/>
      <c r="AD35" s="926"/>
      <c r="AE35" s="926"/>
      <c r="AF35" s="927"/>
      <c r="AG35" s="81"/>
    </row>
    <row r="36" spans="1:33" ht="41.25" customHeight="1">
      <c r="B36" s="2429" t="s">
        <v>196</v>
      </c>
      <c r="C36" s="2430"/>
      <c r="D36" s="2430"/>
      <c r="E36" s="2430"/>
      <c r="F36" s="2430"/>
      <c r="G36" s="2430"/>
      <c r="H36" s="2430"/>
      <c r="I36" s="2430"/>
      <c r="J36" s="2430"/>
      <c r="K36" s="2430"/>
      <c r="L36" s="2430"/>
      <c r="M36" s="2430"/>
      <c r="N36" s="2430"/>
      <c r="O36" s="2430"/>
      <c r="P36" s="2430"/>
      <c r="Q36" s="2430"/>
      <c r="R36" s="2430"/>
      <c r="S36" s="2430"/>
      <c r="T36" s="2430"/>
      <c r="U36" s="2430"/>
      <c r="V36" s="2430"/>
      <c r="W36" s="2430"/>
      <c r="X36" s="2430"/>
      <c r="Y36" s="2430"/>
      <c r="Z36" s="2430"/>
      <c r="AA36" s="2430"/>
      <c r="AB36" s="2430"/>
      <c r="AC36" s="2430"/>
      <c r="AD36" s="2430"/>
      <c r="AE36" s="2430"/>
      <c r="AF36" s="2431"/>
      <c r="AG36" s="2429"/>
    </row>
    <row r="37" spans="1:33" ht="52.5" customHeight="1">
      <c r="A37" s="959" t="s">
        <v>7</v>
      </c>
      <c r="B37" s="3095" t="s">
        <v>92</v>
      </c>
      <c r="C37" s="3120"/>
      <c r="D37" s="3120"/>
      <c r="E37" s="3096"/>
      <c r="F37" s="578" t="s">
        <v>93</v>
      </c>
      <c r="G37" s="978" t="s">
        <v>1310</v>
      </c>
      <c r="H37" s="2224" t="s">
        <v>1302</v>
      </c>
      <c r="I37" s="3116" t="s">
        <v>111</v>
      </c>
      <c r="J37" s="3116"/>
      <c r="K37" s="3116"/>
      <c r="L37" s="3116"/>
      <c r="M37" s="919"/>
      <c r="N37" s="920"/>
      <c r="O37" s="920"/>
      <c r="P37" s="921"/>
      <c r="Q37" s="3115" t="s">
        <v>111</v>
      </c>
      <c r="R37" s="3115"/>
      <c r="S37" s="3115"/>
      <c r="T37" s="3111"/>
      <c r="U37" s="919"/>
      <c r="V37" s="920"/>
      <c r="W37" s="920"/>
      <c r="X37" s="921"/>
      <c r="Y37" s="3114" t="s">
        <v>111</v>
      </c>
      <c r="Z37" s="3115"/>
      <c r="AA37" s="3115"/>
      <c r="AB37" s="3111"/>
      <c r="AC37" s="919"/>
      <c r="AD37" s="920"/>
      <c r="AE37" s="920"/>
      <c r="AF37" s="921"/>
      <c r="AG37" s="80"/>
    </row>
    <row r="38" spans="1:33" ht="56.25" customHeight="1">
      <c r="A38" s="959">
        <v>1</v>
      </c>
      <c r="B38" s="3135" t="s">
        <v>1599</v>
      </c>
      <c r="C38" s="3136"/>
      <c r="D38" s="3136"/>
      <c r="E38" s="3137"/>
      <c r="F38" s="961" t="s">
        <v>48</v>
      </c>
      <c r="G38" s="898" t="str">
        <f>'XM.FILE GOC'!$E$37</f>
        <v>300-360</v>
      </c>
      <c r="H38" s="2222" t="str">
        <f>'XM.FILE GOC'!$F$37</f>
        <v>300-360</v>
      </c>
      <c r="I38" s="3048">
        <f>'XM.FILE GOC'!I37</f>
        <v>0</v>
      </c>
      <c r="J38" s="3127"/>
      <c r="K38" s="3127"/>
      <c r="L38" s="3046"/>
      <c r="M38" s="928"/>
      <c r="N38" s="905"/>
      <c r="O38" s="905"/>
      <c r="P38" s="929"/>
      <c r="Q38" s="3125">
        <f>'XM.FILE GOC'!P37</f>
        <v>0</v>
      </c>
      <c r="R38" s="3126"/>
      <c r="S38" s="3126"/>
      <c r="T38" s="3126"/>
      <c r="U38" s="928"/>
      <c r="V38" s="905"/>
      <c r="W38" s="905"/>
      <c r="X38" s="929"/>
      <c r="Y38" s="3126">
        <f>'XM.FILE GOC'!W37</f>
        <v>0</v>
      </c>
      <c r="Z38" s="3126"/>
      <c r="AA38" s="3126"/>
      <c r="AB38" s="3126"/>
      <c r="AC38" s="928"/>
      <c r="AD38" s="905"/>
      <c r="AE38" s="905"/>
      <c r="AF38" s="929"/>
      <c r="AG38" s="81"/>
    </row>
    <row r="39" spans="1:33" ht="56.25" customHeight="1">
      <c r="A39" s="959">
        <v>2</v>
      </c>
      <c r="B39" s="3135" t="s">
        <v>1597</v>
      </c>
      <c r="C39" s="3136"/>
      <c r="D39" s="3136"/>
      <c r="E39" s="3137"/>
      <c r="F39" s="961" t="s">
        <v>48</v>
      </c>
      <c r="G39" s="898" t="str">
        <f>'XM.FILE GOC'!$E$38</f>
        <v>30-50</v>
      </c>
      <c r="H39" s="2222" t="str">
        <f>'XM.FILE GOC'!$F$38</f>
        <v>30-50</v>
      </c>
      <c r="I39" s="3048">
        <f>'XM.FILE GOC'!I38</f>
        <v>0</v>
      </c>
      <c r="J39" s="3127"/>
      <c r="K39" s="3127"/>
      <c r="L39" s="3046"/>
      <c r="M39" s="930"/>
      <c r="N39" s="931"/>
      <c r="O39" s="931"/>
      <c r="P39" s="932"/>
      <c r="Q39" s="3125">
        <f>'XM.FILE GOC'!P38</f>
        <v>0</v>
      </c>
      <c r="R39" s="3126"/>
      <c r="S39" s="3126"/>
      <c r="T39" s="3126"/>
      <c r="U39" s="930"/>
      <c r="V39" s="931"/>
      <c r="W39" s="931"/>
      <c r="X39" s="932"/>
      <c r="Y39" s="3126">
        <f>'XM.FILE GOC'!W38</f>
        <v>0</v>
      </c>
      <c r="Z39" s="3126"/>
      <c r="AA39" s="3126"/>
      <c r="AB39" s="3126"/>
      <c r="AC39" s="930"/>
      <c r="AD39" s="931"/>
      <c r="AE39" s="931"/>
      <c r="AF39" s="932"/>
      <c r="AG39" s="81"/>
    </row>
    <row r="40" spans="1:33" ht="34.5" customHeight="1">
      <c r="A40" s="2261"/>
      <c r="B40" s="2262"/>
      <c r="C40" s="2262"/>
      <c r="D40" s="2262"/>
      <c r="E40" s="2262"/>
      <c r="F40" s="2262"/>
      <c r="G40" s="2262"/>
      <c r="H40" s="2262"/>
      <c r="I40" s="2262"/>
      <c r="J40" s="2262"/>
      <c r="K40" s="2262"/>
      <c r="L40" s="2262"/>
      <c r="M40" s="2262"/>
      <c r="N40" s="2262"/>
      <c r="O40" s="2262"/>
      <c r="P40" s="2262"/>
      <c r="Q40" s="2262"/>
      <c r="R40" s="2262"/>
      <c r="S40" s="2262"/>
      <c r="T40" s="2262"/>
      <c r="U40" s="2262"/>
      <c r="V40" s="2262"/>
      <c r="W40" s="2262"/>
      <c r="X40" s="2262"/>
      <c r="Y40" s="2262"/>
      <c r="Z40" s="2262"/>
      <c r="AA40" s="2262"/>
      <c r="AB40" s="2262"/>
      <c r="AC40" s="2262"/>
      <c r="AD40" s="2262"/>
      <c r="AE40" s="2262"/>
      <c r="AF40" s="2262"/>
      <c r="AG40" s="2262"/>
    </row>
    <row r="41" spans="1:33" ht="40.5" customHeight="1">
      <c r="B41" s="2432" t="s">
        <v>130</v>
      </c>
      <c r="C41" s="2432"/>
      <c r="D41" s="2432"/>
      <c r="E41" s="2432"/>
      <c r="F41" s="2432"/>
      <c r="G41" s="2432"/>
      <c r="H41" s="2432"/>
      <c r="I41" s="2432"/>
      <c r="J41" s="2432"/>
      <c r="K41" s="2432"/>
      <c r="L41" s="2432"/>
      <c r="M41" s="2432"/>
      <c r="N41" s="2432"/>
      <c r="O41" s="2432"/>
      <c r="P41" s="2432"/>
      <c r="Q41" s="2432"/>
      <c r="R41" s="2432"/>
      <c r="S41" s="2432"/>
      <c r="T41" s="2432"/>
      <c r="U41" s="2432"/>
      <c r="V41" s="2432"/>
      <c r="W41" s="2432"/>
      <c r="X41" s="2432"/>
      <c r="Y41" s="2432"/>
      <c r="Z41" s="2432"/>
      <c r="AA41" s="2433"/>
      <c r="AB41" s="2433"/>
      <c r="AC41" s="2434"/>
      <c r="AD41" s="934"/>
      <c r="AE41" s="934"/>
      <c r="AF41" s="934"/>
      <c r="AG41" s="903"/>
    </row>
    <row r="42" spans="1:33" ht="60.75" customHeight="1">
      <c r="B42" s="2435" t="s">
        <v>219</v>
      </c>
      <c r="C42" s="2435"/>
      <c r="D42" s="2435"/>
      <c r="E42" s="2435"/>
      <c r="F42" s="2435"/>
      <c r="G42" s="2435"/>
      <c r="H42" s="2435"/>
      <c r="I42" s="2435"/>
      <c r="J42" s="2435"/>
      <c r="K42" s="2435"/>
      <c r="L42" s="2435"/>
      <c r="M42" s="2435"/>
      <c r="N42" s="2435"/>
      <c r="O42" s="2435"/>
      <c r="P42" s="2435"/>
      <c r="Q42" s="2435"/>
      <c r="R42" s="2435"/>
      <c r="S42" s="2435"/>
      <c r="T42" s="2435"/>
      <c r="U42" s="2435"/>
      <c r="V42" s="2435"/>
      <c r="W42" s="2435"/>
      <c r="X42" s="2435"/>
      <c r="Y42" s="2435"/>
      <c r="Z42" s="2435"/>
      <c r="AA42" s="2435"/>
      <c r="AB42" s="2435"/>
      <c r="AC42" s="2436"/>
      <c r="AD42" s="3121" t="s">
        <v>88</v>
      </c>
      <c r="AE42" s="3121"/>
      <c r="AF42" s="3122" t="s">
        <v>89</v>
      </c>
      <c r="AG42" s="3123"/>
    </row>
    <row r="43" spans="1:33" ht="45" customHeight="1">
      <c r="B43" s="3103" t="s">
        <v>213</v>
      </c>
      <c r="C43" s="3103"/>
      <c r="D43" s="3103"/>
      <c r="E43" s="3103"/>
      <c r="F43" s="1392"/>
      <c r="G43" s="1394" t="s">
        <v>1624</v>
      </c>
      <c r="H43" s="1819" t="str">
        <f>MENU!$AC$9</f>
        <v>Thứ 4,</v>
      </c>
      <c r="I43" s="3089" t="str">
        <f>MENU!$AD$9</f>
        <v>2024/05/22</v>
      </c>
      <c r="J43" s="3090"/>
      <c r="K43" s="3090"/>
      <c r="L43" s="3090"/>
      <c r="M43" s="906"/>
      <c r="N43" s="906"/>
      <c r="O43" s="906"/>
      <c r="P43" s="906"/>
      <c r="Q43" s="949"/>
      <c r="R43" s="949"/>
      <c r="S43" s="949"/>
      <c r="T43" s="949"/>
      <c r="U43" s="906"/>
      <c r="V43" s="906"/>
      <c r="W43" s="906"/>
      <c r="X43" s="906"/>
      <c r="Y43" s="949"/>
      <c r="Z43" s="949"/>
      <c r="AD43" s="3124" t="str">
        <f>MENU!AE7</f>
        <v>L.Yen</v>
      </c>
      <c r="AE43" s="3124"/>
      <c r="AF43" s="3128" t="s">
        <v>11</v>
      </c>
      <c r="AG43" s="3129"/>
    </row>
    <row r="44" spans="1:33" s="16" customFormat="1" ht="45" customHeight="1">
      <c r="A44" s="3057" t="s">
        <v>7</v>
      </c>
      <c r="B44" s="3097" t="s">
        <v>76</v>
      </c>
      <c r="C44" s="3098"/>
      <c r="D44" s="3098"/>
      <c r="E44" s="3099"/>
      <c r="F44" s="3133" t="s">
        <v>124</v>
      </c>
      <c r="G44" s="3059" t="s">
        <v>1310</v>
      </c>
      <c r="H44" s="3109" t="s">
        <v>1302</v>
      </c>
      <c r="I44" s="3117">
        <v>0.80208333333333337</v>
      </c>
      <c r="J44" s="3062"/>
      <c r="K44" s="3062"/>
      <c r="L44" s="3063"/>
      <c r="M44" s="3073" t="s">
        <v>941</v>
      </c>
      <c r="N44" s="3074"/>
      <c r="O44" s="3074"/>
      <c r="P44" s="3075"/>
      <c r="Q44" s="3064">
        <v>0.96875</v>
      </c>
      <c r="R44" s="3065"/>
      <c r="S44" s="3065"/>
      <c r="T44" s="3066"/>
      <c r="U44" s="3073" t="s">
        <v>941</v>
      </c>
      <c r="V44" s="3074"/>
      <c r="W44" s="3074"/>
      <c r="X44" s="3075"/>
      <c r="Y44" s="3064">
        <v>0.13541666666666666</v>
      </c>
      <c r="Z44" s="3065"/>
      <c r="AA44" s="3065"/>
      <c r="AB44" s="3066"/>
      <c r="AC44" s="3073" t="s">
        <v>944</v>
      </c>
      <c r="AD44" s="3074"/>
      <c r="AE44" s="3074"/>
      <c r="AF44" s="3075"/>
      <c r="AG44" s="82" t="s">
        <v>90</v>
      </c>
    </row>
    <row r="45" spans="1:33" s="16" customFormat="1" ht="45" customHeight="1">
      <c r="A45" s="3058"/>
      <c r="B45" s="3100"/>
      <c r="C45" s="3101"/>
      <c r="D45" s="3101"/>
      <c r="E45" s="3102"/>
      <c r="F45" s="3134"/>
      <c r="G45" s="3060"/>
      <c r="H45" s="3110"/>
      <c r="I45" s="950" t="s">
        <v>129</v>
      </c>
      <c r="J45" s="3067" t="s">
        <v>1</v>
      </c>
      <c r="K45" s="3068"/>
      <c r="L45" s="3069"/>
      <c r="M45" s="907" t="s">
        <v>942</v>
      </c>
      <c r="N45" s="3076" t="s">
        <v>1</v>
      </c>
      <c r="O45" s="3076"/>
      <c r="P45" s="3077"/>
      <c r="Q45" s="950" t="s">
        <v>129</v>
      </c>
      <c r="R45" s="3070" t="s">
        <v>1</v>
      </c>
      <c r="S45" s="3071"/>
      <c r="T45" s="3072"/>
      <c r="U45" s="907" t="s">
        <v>942</v>
      </c>
      <c r="V45" s="3076" t="s">
        <v>1</v>
      </c>
      <c r="W45" s="3076"/>
      <c r="X45" s="3077"/>
      <c r="Y45" s="950" t="s">
        <v>129</v>
      </c>
      <c r="Z45" s="3070" t="s">
        <v>1</v>
      </c>
      <c r="AA45" s="3071"/>
      <c r="AB45" s="3072"/>
      <c r="AC45" s="907" t="s">
        <v>945</v>
      </c>
      <c r="AD45" s="3076" t="s">
        <v>1</v>
      </c>
      <c r="AE45" s="3076"/>
      <c r="AF45" s="3077"/>
      <c r="AG45" s="4" t="s">
        <v>91</v>
      </c>
    </row>
    <row r="46" spans="1:33" ht="48" customHeight="1">
      <c r="A46" s="3057">
        <v>1</v>
      </c>
      <c r="B46" s="3097" t="s">
        <v>131</v>
      </c>
      <c r="C46" s="3104"/>
      <c r="D46" s="3093" t="s">
        <v>100</v>
      </c>
      <c r="E46" s="3094"/>
      <c r="F46" s="47" t="s">
        <v>4</v>
      </c>
      <c r="G46" s="898" t="str">
        <f>'XM.FILE GOC'!$E$6</f>
        <v>20~40</v>
      </c>
      <c r="H46" s="2222" t="str">
        <f>'XM.FILE GOC'!$F$6</f>
        <v>(30±5)</v>
      </c>
      <c r="I46" s="1429">
        <f>'XM.FILE GOC'!AD6</f>
        <v>0</v>
      </c>
      <c r="J46" s="17" t="s">
        <v>8</v>
      </c>
      <c r="K46" s="27">
        <f>'XM.FILE GOC'!AG6</f>
        <v>80.790000000000006</v>
      </c>
      <c r="L46" s="18" t="s">
        <v>9</v>
      </c>
      <c r="M46" s="908"/>
      <c r="N46" s="909" t="s">
        <v>8</v>
      </c>
      <c r="O46" s="1591">
        <f>('XM.FILE GOC'!$G$6-M46)*2693/1000</f>
        <v>80.790000000000006</v>
      </c>
      <c r="P46" s="910" t="s">
        <v>9</v>
      </c>
      <c r="Q46" s="1429">
        <f>'XM.FILE GOC'!AK6</f>
        <v>22</v>
      </c>
      <c r="R46" s="951" t="s">
        <v>8</v>
      </c>
      <c r="S46" s="952">
        <f>'XM.FILE GOC'!AN6</f>
        <v>21.544</v>
      </c>
      <c r="T46" s="953" t="s">
        <v>9</v>
      </c>
      <c r="U46" s="908"/>
      <c r="V46" s="909" t="s">
        <v>8</v>
      </c>
      <c r="W46" s="1591">
        <f>('XM.FILE GOC'!$G$6-U46)*2693/1000</f>
        <v>80.790000000000006</v>
      </c>
      <c r="X46" s="910" t="s">
        <v>9</v>
      </c>
      <c r="Y46" s="1429">
        <f>'XM.FILE GOC'!AR6</f>
        <v>29.2</v>
      </c>
      <c r="Z46" s="951" t="s">
        <v>8</v>
      </c>
      <c r="AA46" s="952">
        <f>'XM.FILE GOC'!AU6</f>
        <v>2.1544000000000021</v>
      </c>
      <c r="AB46" s="953" t="s">
        <v>9</v>
      </c>
      <c r="AC46" s="908"/>
      <c r="AD46" s="909" t="s">
        <v>8</v>
      </c>
      <c r="AE46" s="1591">
        <f>('XM.FILE GOC'!$G$6-AC46)*2693/1000</f>
        <v>80.790000000000006</v>
      </c>
      <c r="AF46" s="910" t="s">
        <v>9</v>
      </c>
      <c r="AG46" s="81" t="s">
        <v>39</v>
      </c>
    </row>
    <row r="47" spans="1:33" ht="48" customHeight="1">
      <c r="A47" s="3078"/>
      <c r="B47" s="3105"/>
      <c r="C47" s="3106"/>
      <c r="D47" s="3095" t="s">
        <v>101</v>
      </c>
      <c r="E47" s="3096"/>
      <c r="F47" s="47" t="s">
        <v>55</v>
      </c>
      <c r="G47" s="898" t="s">
        <v>102</v>
      </c>
      <c r="H47" s="2222"/>
      <c r="I47" s="1683"/>
      <c r="J47" s="55" t="s">
        <v>8</v>
      </c>
      <c r="K47" s="58">
        <f>K46/25*840/1000</f>
        <v>2.7145440000000005</v>
      </c>
      <c r="L47" s="57" t="s">
        <v>10</v>
      </c>
      <c r="M47" s="908"/>
      <c r="N47" s="911" t="s">
        <v>8</v>
      </c>
      <c r="O47" s="1593">
        <f>O46/25*840/1000</f>
        <v>2.7145440000000005</v>
      </c>
      <c r="P47" s="912" t="s">
        <v>10</v>
      </c>
      <c r="Q47" s="1683"/>
      <c r="R47" s="59" t="s">
        <v>8</v>
      </c>
      <c r="S47" s="954">
        <f>S46/25*840/1000</f>
        <v>0.72387839999999992</v>
      </c>
      <c r="T47" s="588" t="s">
        <v>10</v>
      </c>
      <c r="U47" s="908"/>
      <c r="V47" s="911" t="s">
        <v>8</v>
      </c>
      <c r="W47" s="1593">
        <f>W46/25*840/1000</f>
        <v>2.7145440000000005</v>
      </c>
      <c r="X47" s="912" t="s">
        <v>10</v>
      </c>
      <c r="Y47" s="1683"/>
      <c r="Z47" s="59" t="s">
        <v>8</v>
      </c>
      <c r="AA47" s="954">
        <f>AA46/25*840/1000</f>
        <v>7.2387840000000064E-2</v>
      </c>
      <c r="AB47" s="588" t="s">
        <v>10</v>
      </c>
      <c r="AC47" s="908"/>
      <c r="AD47" s="911" t="s">
        <v>8</v>
      </c>
      <c r="AE47" s="1593">
        <f>AE46/25*840/1000</f>
        <v>2.7145440000000005</v>
      </c>
      <c r="AF47" s="912" t="s">
        <v>10</v>
      </c>
      <c r="AG47" s="103"/>
    </row>
    <row r="48" spans="1:33" ht="48" customHeight="1">
      <c r="A48" s="3058"/>
      <c r="B48" s="3107"/>
      <c r="C48" s="3108"/>
      <c r="D48" s="3095" t="s">
        <v>103</v>
      </c>
      <c r="E48" s="3096"/>
      <c r="F48" s="47" t="s">
        <v>55</v>
      </c>
      <c r="G48" s="898" t="s">
        <v>102</v>
      </c>
      <c r="H48" s="2222"/>
      <c r="I48" s="1683"/>
      <c r="J48" s="55" t="s">
        <v>8</v>
      </c>
      <c r="K48" s="58">
        <f>K47*10</f>
        <v>27.145440000000004</v>
      </c>
      <c r="L48" s="57" t="s">
        <v>10</v>
      </c>
      <c r="M48" s="908"/>
      <c r="N48" s="909" t="s">
        <v>8</v>
      </c>
      <c r="O48" s="1593">
        <f>O47*10</f>
        <v>27.145440000000004</v>
      </c>
      <c r="P48" s="910" t="s">
        <v>10</v>
      </c>
      <c r="Q48" s="1683"/>
      <c r="R48" s="59" t="s">
        <v>8</v>
      </c>
      <c r="S48" s="954">
        <f>S47*10</f>
        <v>7.238783999999999</v>
      </c>
      <c r="T48" s="588" t="s">
        <v>10</v>
      </c>
      <c r="U48" s="908"/>
      <c r="V48" s="909" t="s">
        <v>8</v>
      </c>
      <c r="W48" s="1593">
        <f>W47*10</f>
        <v>27.145440000000004</v>
      </c>
      <c r="X48" s="910" t="s">
        <v>10</v>
      </c>
      <c r="Y48" s="1683"/>
      <c r="Z48" s="59" t="s">
        <v>8</v>
      </c>
      <c r="AA48" s="954">
        <f>AA47*10</f>
        <v>0.7238784000000007</v>
      </c>
      <c r="AB48" s="588" t="s">
        <v>10</v>
      </c>
      <c r="AC48" s="908"/>
      <c r="AD48" s="909" t="s">
        <v>8</v>
      </c>
      <c r="AE48" s="1593">
        <f>AE47*10</f>
        <v>27.145440000000004</v>
      </c>
      <c r="AF48" s="910" t="s">
        <v>10</v>
      </c>
      <c r="AG48" s="81"/>
    </row>
    <row r="49" spans="1:33" ht="48" customHeight="1">
      <c r="A49" s="3057">
        <v>2</v>
      </c>
      <c r="B49" s="3097" t="s">
        <v>132</v>
      </c>
      <c r="C49" s="3104"/>
      <c r="D49" s="3093" t="s">
        <v>100</v>
      </c>
      <c r="E49" s="3094"/>
      <c r="F49" s="47" t="s">
        <v>4</v>
      </c>
      <c r="G49" s="898" t="str">
        <f>'XM.FILE GOC'!$E$9</f>
        <v>20~40</v>
      </c>
      <c r="H49" s="2222" t="str">
        <f>'XM.FILE GOC'!$F$9</f>
        <v>(30±5)</v>
      </c>
      <c r="I49" s="1429">
        <f>'XM.FILE GOC'!AD9</f>
        <v>0</v>
      </c>
      <c r="J49" s="17" t="s">
        <v>8</v>
      </c>
      <c r="K49" s="27">
        <f>'XM.FILE GOC'!AG9</f>
        <v>99.15</v>
      </c>
      <c r="L49" s="18" t="s">
        <v>9</v>
      </c>
      <c r="M49" s="908"/>
      <c r="N49" s="911" t="s">
        <v>8</v>
      </c>
      <c r="O49" s="1591">
        <f>('XM.FILE GOC'!$G$9-M49)*3305/1000</f>
        <v>99.15</v>
      </c>
      <c r="P49" s="912" t="s">
        <v>9</v>
      </c>
      <c r="Q49" s="1429">
        <f>'XM.FILE GOC'!AK9</f>
        <v>23.2</v>
      </c>
      <c r="R49" s="951" t="s">
        <v>8</v>
      </c>
      <c r="S49" s="952">
        <f>'XM.FILE GOC'!AN9</f>
        <v>22.474000000000004</v>
      </c>
      <c r="T49" s="953" t="s">
        <v>9</v>
      </c>
      <c r="U49" s="908"/>
      <c r="V49" s="911" t="s">
        <v>8</v>
      </c>
      <c r="W49" s="1591">
        <f>('XM.FILE GOC'!$G$9-U49)*3305/1000</f>
        <v>99.15</v>
      </c>
      <c r="X49" s="912" t="s">
        <v>9</v>
      </c>
      <c r="Y49" s="1429">
        <f>'XM.FILE GOC'!AR9</f>
        <v>28.8</v>
      </c>
      <c r="Z49" s="951" t="s">
        <v>8</v>
      </c>
      <c r="AA49" s="952">
        <f>'XM.FILE GOC'!AU9</f>
        <v>3.9659999999999975</v>
      </c>
      <c r="AB49" s="953" t="s">
        <v>9</v>
      </c>
      <c r="AC49" s="908"/>
      <c r="AD49" s="911" t="s">
        <v>8</v>
      </c>
      <c r="AE49" s="1591">
        <f>('XM.FILE GOC'!$G$9-AC49)*3305/1000</f>
        <v>99.15</v>
      </c>
      <c r="AF49" s="912" t="s">
        <v>9</v>
      </c>
      <c r="AG49" s="81" t="s">
        <v>39</v>
      </c>
    </row>
    <row r="50" spans="1:33" ht="48" customHeight="1">
      <c r="A50" s="3078"/>
      <c r="B50" s="3105"/>
      <c r="C50" s="3106"/>
      <c r="D50" s="3095" t="s">
        <v>101</v>
      </c>
      <c r="E50" s="3096"/>
      <c r="F50" s="47" t="s">
        <v>55</v>
      </c>
      <c r="G50" s="898" t="s">
        <v>102</v>
      </c>
      <c r="H50" s="2222"/>
      <c r="I50" s="1683"/>
      <c r="J50" s="55" t="s">
        <v>8</v>
      </c>
      <c r="K50" s="58">
        <f>K49/25*840/1000</f>
        <v>3.3314400000000002</v>
      </c>
      <c r="L50" s="57" t="s">
        <v>10</v>
      </c>
      <c r="M50" s="908"/>
      <c r="N50" s="909" t="s">
        <v>8</v>
      </c>
      <c r="O50" s="1593">
        <f>O49/25*840/1000</f>
        <v>3.3314400000000002</v>
      </c>
      <c r="P50" s="910" t="s">
        <v>10</v>
      </c>
      <c r="Q50" s="1683"/>
      <c r="R50" s="59" t="s">
        <v>8</v>
      </c>
      <c r="S50" s="954">
        <f>S49/25*840/1000</f>
        <v>0.7551264000000002</v>
      </c>
      <c r="T50" s="588" t="s">
        <v>10</v>
      </c>
      <c r="U50" s="908"/>
      <c r="V50" s="911" t="s">
        <v>8</v>
      </c>
      <c r="W50" s="1593">
        <f>W49/25*840/1000</f>
        <v>3.3314400000000002</v>
      </c>
      <c r="X50" s="912" t="s">
        <v>10</v>
      </c>
      <c r="Y50" s="1683"/>
      <c r="Z50" s="59" t="s">
        <v>8</v>
      </c>
      <c r="AA50" s="954">
        <f>AA49/25*840/1000</f>
        <v>0.13325759999999992</v>
      </c>
      <c r="AB50" s="588" t="s">
        <v>10</v>
      </c>
      <c r="AC50" s="908"/>
      <c r="AD50" s="911" t="s">
        <v>8</v>
      </c>
      <c r="AE50" s="1593">
        <f>AE49/25*840/1000</f>
        <v>3.3314400000000002</v>
      </c>
      <c r="AF50" s="912" t="s">
        <v>10</v>
      </c>
      <c r="AG50" s="103"/>
    </row>
    <row r="51" spans="1:33" ht="48" customHeight="1">
      <c r="A51" s="3058"/>
      <c r="B51" s="3107"/>
      <c r="C51" s="3108"/>
      <c r="D51" s="3095" t="s">
        <v>103</v>
      </c>
      <c r="E51" s="3096"/>
      <c r="F51" s="47" t="s">
        <v>55</v>
      </c>
      <c r="G51" s="898" t="s">
        <v>102</v>
      </c>
      <c r="H51" s="2222"/>
      <c r="I51" s="1683"/>
      <c r="J51" s="55" t="s">
        <v>8</v>
      </c>
      <c r="K51" s="58">
        <f>K50*10</f>
        <v>33.314399999999999</v>
      </c>
      <c r="L51" s="57" t="s">
        <v>10</v>
      </c>
      <c r="M51" s="908"/>
      <c r="N51" s="911" t="s">
        <v>8</v>
      </c>
      <c r="O51" s="1593">
        <f>O50*10</f>
        <v>33.314399999999999</v>
      </c>
      <c r="P51" s="912" t="s">
        <v>10</v>
      </c>
      <c r="Q51" s="1683"/>
      <c r="R51" s="59" t="s">
        <v>8</v>
      </c>
      <c r="S51" s="954">
        <f>S50*10</f>
        <v>7.5512640000000015</v>
      </c>
      <c r="T51" s="588" t="s">
        <v>10</v>
      </c>
      <c r="U51" s="908"/>
      <c r="V51" s="909" t="s">
        <v>8</v>
      </c>
      <c r="W51" s="1593">
        <f>W50*10</f>
        <v>33.314399999999999</v>
      </c>
      <c r="X51" s="910" t="s">
        <v>10</v>
      </c>
      <c r="Y51" s="1683"/>
      <c r="Z51" s="59" t="s">
        <v>8</v>
      </c>
      <c r="AA51" s="954">
        <f>AA50*10</f>
        <v>1.3325759999999991</v>
      </c>
      <c r="AB51" s="588" t="s">
        <v>10</v>
      </c>
      <c r="AC51" s="908"/>
      <c r="AD51" s="909" t="s">
        <v>8</v>
      </c>
      <c r="AE51" s="1593">
        <f>AE50*10</f>
        <v>33.314399999999999</v>
      </c>
      <c r="AF51" s="910" t="s">
        <v>10</v>
      </c>
      <c r="AG51" s="81"/>
    </row>
    <row r="52" spans="1:33" ht="48" customHeight="1">
      <c r="A52" s="3057">
        <v>3</v>
      </c>
      <c r="B52" s="3091" t="s">
        <v>133</v>
      </c>
      <c r="C52" s="3092"/>
      <c r="D52" s="3093" t="s">
        <v>100</v>
      </c>
      <c r="E52" s="3094"/>
      <c r="F52" s="47" t="s">
        <v>4</v>
      </c>
      <c r="G52" s="898" t="str">
        <f>'XM.FILE GOC'!$E$12</f>
        <v>60~80</v>
      </c>
      <c r="H52" s="2222" t="str">
        <f>'XM.FILE GOC'!$F$12</f>
        <v>(70±10)</v>
      </c>
      <c r="I52" s="1407">
        <f>'XM.FILE GOC'!AD12</f>
        <v>0</v>
      </c>
      <c r="J52" s="17" t="s">
        <v>8</v>
      </c>
      <c r="K52" s="27">
        <f>'XM.FILE GOC'!AG12</f>
        <v>80.92</v>
      </c>
      <c r="L52" s="18" t="s">
        <v>9</v>
      </c>
      <c r="M52" s="908"/>
      <c r="N52" s="909" t="s">
        <v>8</v>
      </c>
      <c r="O52" s="1591">
        <f>('XM.FILE GOC'!$G$12-M52)*1156/1000</f>
        <v>80.92</v>
      </c>
      <c r="P52" s="910" t="s">
        <v>9</v>
      </c>
      <c r="Q52" s="1407">
        <f>'XM.FILE GOC'!AK12</f>
        <v>70.400000000000006</v>
      </c>
      <c r="R52" s="951" t="s">
        <v>8</v>
      </c>
      <c r="S52" s="952">
        <f>'XM.FILE GOC'!AN12</f>
        <v>0</v>
      </c>
      <c r="T52" s="953" t="s">
        <v>9</v>
      </c>
      <c r="U52" s="908"/>
      <c r="V52" s="909" t="s">
        <v>8</v>
      </c>
      <c r="W52" s="1591">
        <f>('XM.FILE GOC'!$G$12-U52)*1156/1000</f>
        <v>80.92</v>
      </c>
      <c r="X52" s="910" t="s">
        <v>9</v>
      </c>
      <c r="Y52" s="1407">
        <f>'XM.FILE GOC'!AR12</f>
        <v>71.2</v>
      </c>
      <c r="Z52" s="951" t="s">
        <v>8</v>
      </c>
      <c r="AA52" s="952">
        <f>'XM.FILE GOC'!AU12</f>
        <v>0</v>
      </c>
      <c r="AB52" s="953" t="s">
        <v>9</v>
      </c>
      <c r="AC52" s="908"/>
      <c r="AD52" s="909" t="s">
        <v>8</v>
      </c>
      <c r="AE52" s="1591">
        <f>('XM.FILE GOC'!$G$12-AC52)*1156/1000</f>
        <v>80.92</v>
      </c>
      <c r="AF52" s="910" t="s">
        <v>9</v>
      </c>
      <c r="AG52" s="81" t="s">
        <v>39</v>
      </c>
    </row>
    <row r="53" spans="1:33" ht="48" customHeight="1">
      <c r="A53" s="3058"/>
      <c r="B53" s="3092"/>
      <c r="C53" s="3092"/>
      <c r="D53" s="3095" t="s">
        <v>104</v>
      </c>
      <c r="E53" s="3096"/>
      <c r="F53" s="47" t="s">
        <v>55</v>
      </c>
      <c r="G53" s="898" t="s">
        <v>102</v>
      </c>
      <c r="H53" s="2222"/>
      <c r="I53" s="1680"/>
      <c r="J53" s="55" t="s">
        <v>8</v>
      </c>
      <c r="K53" s="58">
        <f>K52/25*7.5</f>
        <v>24.276</v>
      </c>
      <c r="L53" s="57" t="s">
        <v>10</v>
      </c>
      <c r="M53" s="908"/>
      <c r="N53" s="911" t="s">
        <v>8</v>
      </c>
      <c r="O53" s="1593">
        <f>O52/25*7.5</f>
        <v>24.276</v>
      </c>
      <c r="P53" s="912" t="s">
        <v>10</v>
      </c>
      <c r="Q53" s="1680"/>
      <c r="R53" s="59" t="s">
        <v>8</v>
      </c>
      <c r="S53" s="954">
        <f>S52/25*7.5</f>
        <v>0</v>
      </c>
      <c r="T53" s="588" t="s">
        <v>10</v>
      </c>
      <c r="U53" s="908"/>
      <c r="V53" s="911" t="s">
        <v>8</v>
      </c>
      <c r="W53" s="1593">
        <f>W52/25*7.5</f>
        <v>24.276</v>
      </c>
      <c r="X53" s="912" t="s">
        <v>10</v>
      </c>
      <c r="Y53" s="1680"/>
      <c r="Z53" s="59" t="s">
        <v>8</v>
      </c>
      <c r="AA53" s="954">
        <f>AA52/25*7.5</f>
        <v>0</v>
      </c>
      <c r="AB53" s="588" t="s">
        <v>10</v>
      </c>
      <c r="AC53" s="908"/>
      <c r="AD53" s="911" t="s">
        <v>8</v>
      </c>
      <c r="AE53" s="1593">
        <f>AE52/25*7.5</f>
        <v>24.276</v>
      </c>
      <c r="AF53" s="912" t="s">
        <v>10</v>
      </c>
      <c r="AG53" s="81"/>
    </row>
    <row r="54" spans="1:33" ht="48" customHeight="1">
      <c r="A54" s="3057">
        <v>4</v>
      </c>
      <c r="B54" s="3091" t="s">
        <v>134</v>
      </c>
      <c r="C54" s="3092"/>
      <c r="D54" s="3093" t="s">
        <v>100</v>
      </c>
      <c r="E54" s="3094"/>
      <c r="F54" s="47" t="s">
        <v>4</v>
      </c>
      <c r="G54" s="898" t="str">
        <f>'XM.FILE GOC'!$E$14</f>
        <v>60~80</v>
      </c>
      <c r="H54" s="2222" t="str">
        <f>'XM.FILE GOC'!$F$14</f>
        <v>(70±10)</v>
      </c>
      <c r="I54" s="1407">
        <f>'XM.FILE GOC'!AD14</f>
        <v>0</v>
      </c>
      <c r="J54" s="17" t="s">
        <v>8</v>
      </c>
      <c r="K54" s="27">
        <f>'XM.FILE GOC'!AG14</f>
        <v>102.13</v>
      </c>
      <c r="L54" s="18" t="s">
        <v>9</v>
      </c>
      <c r="M54" s="908"/>
      <c r="N54" s="909" t="s">
        <v>8</v>
      </c>
      <c r="O54" s="1591">
        <f>('XM.FILE GOC'!$G$14-M54)*1459/1000</f>
        <v>102.13</v>
      </c>
      <c r="P54" s="910" t="s">
        <v>9</v>
      </c>
      <c r="Q54" s="1407">
        <f>'XM.FILE GOC'!AK14</f>
        <v>74</v>
      </c>
      <c r="R54" s="951" t="s">
        <v>8</v>
      </c>
      <c r="S54" s="952">
        <f>'XM.FILE GOC'!AN14</f>
        <v>0</v>
      </c>
      <c r="T54" s="953" t="s">
        <v>9</v>
      </c>
      <c r="U54" s="908"/>
      <c r="V54" s="909" t="s">
        <v>8</v>
      </c>
      <c r="W54" s="1591">
        <f>('XM.FILE GOC'!$G$14-U54)*1459/1000</f>
        <v>102.13</v>
      </c>
      <c r="X54" s="910" t="s">
        <v>9</v>
      </c>
      <c r="Y54" s="1407">
        <f>'XM.FILE GOC'!AR14</f>
        <v>73.2</v>
      </c>
      <c r="Z54" s="951" t="s">
        <v>8</v>
      </c>
      <c r="AA54" s="952">
        <f>'XM.FILE GOC'!AU14</f>
        <v>0</v>
      </c>
      <c r="AB54" s="953" t="s">
        <v>9</v>
      </c>
      <c r="AC54" s="908"/>
      <c r="AD54" s="909" t="s">
        <v>8</v>
      </c>
      <c r="AE54" s="1591">
        <f>('XM.FILE GOC'!$G$14-AC54)*1459/1000</f>
        <v>102.13</v>
      </c>
      <c r="AF54" s="910" t="s">
        <v>9</v>
      </c>
      <c r="AG54" s="81" t="s">
        <v>39</v>
      </c>
    </row>
    <row r="55" spans="1:33" ht="48" customHeight="1">
      <c r="A55" s="3058"/>
      <c r="B55" s="3092"/>
      <c r="C55" s="3092"/>
      <c r="D55" s="3095" t="s">
        <v>104</v>
      </c>
      <c r="E55" s="3096"/>
      <c r="F55" s="47" t="s">
        <v>55</v>
      </c>
      <c r="G55" s="898" t="s">
        <v>102</v>
      </c>
      <c r="H55" s="2222"/>
      <c r="I55" s="1683"/>
      <c r="J55" s="55" t="s">
        <v>8</v>
      </c>
      <c r="K55" s="58">
        <f>K54/25*7.5</f>
        <v>30.638999999999996</v>
      </c>
      <c r="L55" s="57" t="s">
        <v>10</v>
      </c>
      <c r="M55" s="908"/>
      <c r="N55" s="909" t="s">
        <v>8</v>
      </c>
      <c r="O55" s="1593">
        <f>O54/25*7.5</f>
        <v>30.638999999999996</v>
      </c>
      <c r="P55" s="910" t="s">
        <v>10</v>
      </c>
      <c r="Q55" s="1683"/>
      <c r="R55" s="59" t="s">
        <v>8</v>
      </c>
      <c r="S55" s="954">
        <f>S54/25*7.5</f>
        <v>0</v>
      </c>
      <c r="T55" s="588" t="s">
        <v>10</v>
      </c>
      <c r="U55" s="908"/>
      <c r="V55" s="911" t="s">
        <v>8</v>
      </c>
      <c r="W55" s="1593">
        <f>W54/25*7.5</f>
        <v>30.638999999999996</v>
      </c>
      <c r="X55" s="912" t="s">
        <v>10</v>
      </c>
      <c r="Y55" s="1683"/>
      <c r="Z55" s="59" t="s">
        <v>8</v>
      </c>
      <c r="AA55" s="954">
        <f>AA54/25*7.5</f>
        <v>0</v>
      </c>
      <c r="AB55" s="588" t="s">
        <v>10</v>
      </c>
      <c r="AC55" s="908"/>
      <c r="AD55" s="911" t="s">
        <v>8</v>
      </c>
      <c r="AE55" s="1593">
        <f>AE54/25*7.5</f>
        <v>30.638999999999996</v>
      </c>
      <c r="AF55" s="912" t="s">
        <v>10</v>
      </c>
      <c r="AG55" s="81"/>
    </row>
    <row r="56" spans="1:33" ht="48" customHeight="1">
      <c r="A56" s="3057">
        <v>5</v>
      </c>
      <c r="B56" s="3095" t="s">
        <v>79</v>
      </c>
      <c r="C56" s="3120"/>
      <c r="D56" s="3120"/>
      <c r="E56" s="3096"/>
      <c r="F56" s="47" t="s">
        <v>4</v>
      </c>
      <c r="G56" s="898" t="str">
        <f>'XM.FILE GOC'!$E$16</f>
        <v>130 - 150</v>
      </c>
      <c r="H56" s="2222" t="str">
        <f>'XM.FILE GOC'!$F$16</f>
        <v>(140±7)</v>
      </c>
      <c r="I56" s="1762">
        <f>'XM.FILE GOC'!AD16</f>
        <v>0</v>
      </c>
      <c r="J56" s="17" t="s">
        <v>8</v>
      </c>
      <c r="K56" s="27">
        <f>'XM.FILE GOC'!AG16</f>
        <v>2793.14</v>
      </c>
      <c r="L56" s="18" t="s">
        <v>9</v>
      </c>
      <c r="M56" s="908"/>
      <c r="N56" s="911" t="s">
        <v>8</v>
      </c>
      <c r="O56" s="1591">
        <f>('XM.FILE GOC'!$G$16-M56)*19951/1000</f>
        <v>2793.14</v>
      </c>
      <c r="P56" s="912" t="s">
        <v>9</v>
      </c>
      <c r="Q56" s="1762">
        <f>'XM.FILE GOC'!AK16</f>
        <v>141.6</v>
      </c>
      <c r="R56" s="951" t="s">
        <v>8</v>
      </c>
      <c r="S56" s="952">
        <f>'XM.FILE GOC'!AN16</f>
        <v>0</v>
      </c>
      <c r="T56" s="953" t="s">
        <v>9</v>
      </c>
      <c r="U56" s="908">
        <v>140</v>
      </c>
      <c r="V56" s="911" t="s">
        <v>8</v>
      </c>
      <c r="W56" s="1591">
        <f>('XM.FILE GOC'!$G$16-U56)*19951/1000</f>
        <v>0</v>
      </c>
      <c r="X56" s="912" t="s">
        <v>9</v>
      </c>
      <c r="Y56" s="1762">
        <f>'XM.FILE GOC'!AR16</f>
        <v>142.4</v>
      </c>
      <c r="Z56" s="951" t="s">
        <v>8</v>
      </c>
      <c r="AA56" s="952">
        <f>'XM.FILE GOC'!AU16</f>
        <v>0</v>
      </c>
      <c r="AB56" s="953" t="s">
        <v>9</v>
      </c>
      <c r="AC56" s="908"/>
      <c r="AD56" s="911" t="s">
        <v>8</v>
      </c>
      <c r="AE56" s="1591">
        <f>('XM.FILE GOC'!$G$16-AC56)*19951/1000</f>
        <v>2793.14</v>
      </c>
      <c r="AF56" s="912" t="s">
        <v>9</v>
      </c>
      <c r="AG56" s="81" t="s">
        <v>40</v>
      </c>
    </row>
    <row r="57" spans="1:33" ht="48" customHeight="1">
      <c r="A57" s="3058"/>
      <c r="B57" s="3095" t="s">
        <v>57</v>
      </c>
      <c r="C57" s="3120"/>
      <c r="D57" s="3120"/>
      <c r="E57" s="3096"/>
      <c r="F57" s="47" t="s">
        <v>4</v>
      </c>
      <c r="G57" s="898" t="str">
        <f>'XM.FILE GOC'!$E$17</f>
        <v>8~12</v>
      </c>
      <c r="H57" s="2222" t="str">
        <f>'XM.FILE GOC'!$F$17</f>
        <v>(10±2)</v>
      </c>
      <c r="I57" s="1768">
        <f>'XM.FILE GOC'!AD17</f>
        <v>0</v>
      </c>
      <c r="J57" s="17" t="s">
        <v>8</v>
      </c>
      <c r="K57" s="27">
        <f>'XM.FILE GOC'!AG17</f>
        <v>199.51</v>
      </c>
      <c r="L57" s="18" t="s">
        <v>9</v>
      </c>
      <c r="M57" s="908"/>
      <c r="N57" s="913" t="s">
        <v>8</v>
      </c>
      <c r="O57" s="1591">
        <f>('XM.FILE GOC'!$G$17-M57)*19951/1000</f>
        <v>199.51</v>
      </c>
      <c r="P57" s="914" t="s">
        <v>9</v>
      </c>
      <c r="Q57" s="1768">
        <f>'XM.FILE GOC'!AK17</f>
        <v>11.57</v>
      </c>
      <c r="R57" s="951" t="s">
        <v>8</v>
      </c>
      <c r="S57" s="952">
        <f>'XM.FILE GOC'!AN17</f>
        <v>0</v>
      </c>
      <c r="T57" s="18" t="s">
        <v>9</v>
      </c>
      <c r="U57" s="908"/>
      <c r="V57" s="913" t="s">
        <v>8</v>
      </c>
      <c r="W57" s="1591">
        <f>('XM.FILE GOC'!$G$17-U57)*19951/1000</f>
        <v>199.51</v>
      </c>
      <c r="X57" s="914" t="s">
        <v>9</v>
      </c>
      <c r="Y57" s="1768">
        <f>'XM.FILE GOC'!AR17</f>
        <v>11.440000000000001</v>
      </c>
      <c r="Z57" s="951" t="s">
        <v>8</v>
      </c>
      <c r="AA57" s="952">
        <f>'XM.FILE GOC'!AU17</f>
        <v>0</v>
      </c>
      <c r="AB57" s="18" t="s">
        <v>9</v>
      </c>
      <c r="AC57" s="908"/>
      <c r="AD57" s="913" t="s">
        <v>8</v>
      </c>
      <c r="AE57" s="1591">
        <f>('XM.FILE GOC'!$G$17-AC57)*19951/1000</f>
        <v>199.51</v>
      </c>
      <c r="AF57" s="18" t="s">
        <v>9</v>
      </c>
      <c r="AG57" s="81" t="s">
        <v>41</v>
      </c>
    </row>
    <row r="58" spans="1:33" ht="48" customHeight="1">
      <c r="A58" s="3057">
        <v>6</v>
      </c>
      <c r="B58" s="3097" t="s">
        <v>946</v>
      </c>
      <c r="C58" s="3098"/>
      <c r="D58" s="3098"/>
      <c r="E58" s="3099"/>
      <c r="F58" s="47" t="s">
        <v>3</v>
      </c>
      <c r="G58" s="898" t="str">
        <f>'XM.FILE GOC'!$E$18</f>
        <v xml:space="preserve">12~18 </v>
      </c>
      <c r="H58" s="2222" t="str">
        <f>'XM.FILE GOC'!$F$18</f>
        <v>(14±2)</v>
      </c>
      <c r="I58" s="1738">
        <f>'XM.FILE GOC'!AD18</f>
        <v>0</v>
      </c>
      <c r="J58" s="55" t="s">
        <v>8</v>
      </c>
      <c r="K58" s="56">
        <f>'XM.FILE GOC'!AG18</f>
        <v>80.5</v>
      </c>
      <c r="L58" s="57" t="s">
        <v>10</v>
      </c>
      <c r="M58" s="908"/>
      <c r="N58" s="909" t="s">
        <v>8</v>
      </c>
      <c r="O58" s="937">
        <f>('XM.FILE GOC'!$G$18-M58)*575/99</f>
        <v>81.313131313131308</v>
      </c>
      <c r="P58" s="910" t="s">
        <v>10</v>
      </c>
      <c r="Q58" s="1738">
        <f>'XM.FILE GOC'!AK18</f>
        <v>16.978417266187048</v>
      </c>
      <c r="R58" s="59" t="s">
        <v>8</v>
      </c>
      <c r="S58" s="587">
        <f>'XM.FILE GOC'!AN18</f>
        <v>0</v>
      </c>
      <c r="T58" s="588" t="s">
        <v>10</v>
      </c>
      <c r="U58" s="908"/>
      <c r="V58" s="909" t="s">
        <v>8</v>
      </c>
      <c r="W58" s="937">
        <f>('XM.FILE GOC'!$G$18-U58)*575/99</f>
        <v>81.313131313131308</v>
      </c>
      <c r="X58" s="910" t="s">
        <v>10</v>
      </c>
      <c r="Y58" s="1738">
        <f>'XM.FILE GOC'!AR18</f>
        <v>16.546762589928058</v>
      </c>
      <c r="Z58" s="59" t="s">
        <v>8</v>
      </c>
      <c r="AA58" s="587">
        <f>'XM.FILE GOC'!AU18</f>
        <v>0</v>
      </c>
      <c r="AB58" s="588" t="s">
        <v>10</v>
      </c>
      <c r="AC58" s="908"/>
      <c r="AD58" s="909" t="s">
        <v>8</v>
      </c>
      <c r="AE58" s="937">
        <f>('XM.FILE GOC'!$G$18-AC58)*575/99</f>
        <v>81.313131313131308</v>
      </c>
      <c r="AF58" s="910" t="s">
        <v>10</v>
      </c>
      <c r="AG58" s="81" t="s">
        <v>42</v>
      </c>
    </row>
    <row r="59" spans="1:33" ht="48" customHeight="1">
      <c r="A59" s="3058"/>
      <c r="B59" s="3100"/>
      <c r="C59" s="3101"/>
      <c r="D59" s="3101"/>
      <c r="E59" s="3102"/>
      <c r="F59" s="47" t="s">
        <v>5</v>
      </c>
      <c r="G59" s="898" t="str">
        <f>'XM.FILE GOC'!$E$19</f>
        <v>1.6~2.2</v>
      </c>
      <c r="H59" s="2222" t="str">
        <f>'XM.FILE GOC'!$F$19</f>
        <v>(2±0.2 )</v>
      </c>
      <c r="I59" s="1768">
        <f>'XM.FILE GOC'!AD19</f>
        <v>0</v>
      </c>
      <c r="J59" s="5"/>
      <c r="K59" s="27">
        <f>'XM.FILE GOC'!AG19</f>
        <v>0</v>
      </c>
      <c r="L59" s="6"/>
      <c r="M59" s="908"/>
      <c r="N59" s="911"/>
      <c r="O59" s="1591"/>
      <c r="P59" s="912"/>
      <c r="Q59" s="1768">
        <f>'XM.FILE GOC'!AK19</f>
        <v>1.48</v>
      </c>
      <c r="R59" s="955"/>
      <c r="S59" s="952">
        <f>'XM.FILE GOC'!AN19</f>
        <v>0</v>
      </c>
      <c r="T59" s="956"/>
      <c r="U59" s="908"/>
      <c r="V59" s="911"/>
      <c r="W59" s="1591"/>
      <c r="X59" s="912"/>
      <c r="Y59" s="1768">
        <f>'XM.FILE GOC'!AR19</f>
        <v>1.64</v>
      </c>
      <c r="Z59" s="955"/>
      <c r="AA59" s="952">
        <f>'XM.FILE GOC'!AU19</f>
        <v>0</v>
      </c>
      <c r="AB59" s="956"/>
      <c r="AC59" s="908"/>
      <c r="AD59" s="911"/>
      <c r="AE59" s="1591"/>
      <c r="AF59" s="912"/>
      <c r="AG59" s="81"/>
    </row>
    <row r="60" spans="1:33" ht="48" customHeight="1">
      <c r="A60" s="959">
        <v>7</v>
      </c>
      <c r="B60" s="3095" t="s">
        <v>58</v>
      </c>
      <c r="C60" s="3120"/>
      <c r="D60" s="3120"/>
      <c r="E60" s="3096"/>
      <c r="F60" s="960" t="s">
        <v>6</v>
      </c>
      <c r="G60" s="898" t="str">
        <f>'XM.FILE GOC'!$E$20</f>
        <v xml:space="preserve">40~50 </v>
      </c>
      <c r="H60" s="2222" t="str">
        <f>'XM.FILE GOC'!$F$20</f>
        <v>(45±5)</v>
      </c>
      <c r="I60" s="1743">
        <f>'XM.FILE GOC'!AD20</f>
        <v>0</v>
      </c>
      <c r="J60" s="17" t="s">
        <v>8</v>
      </c>
      <c r="K60" s="27">
        <f>'XM.FILE GOC'!AG20</f>
        <v>954.9</v>
      </c>
      <c r="L60" s="18" t="s">
        <v>10</v>
      </c>
      <c r="M60" s="915"/>
      <c r="N60" s="909" t="s">
        <v>8</v>
      </c>
      <c r="O60" s="1591">
        <f>('XM.FILE GOC'!$G$20-M60)*2122</f>
        <v>954.9</v>
      </c>
      <c r="P60" s="910" t="s">
        <v>10</v>
      </c>
      <c r="Q60" s="1743">
        <f>'XM.FILE GOC'!AK20</f>
        <v>0.3878125</v>
      </c>
      <c r="R60" s="951" t="s">
        <v>8</v>
      </c>
      <c r="S60" s="952">
        <f>'XM.FILE GOC'!AN20</f>
        <v>131.96187500000002</v>
      </c>
      <c r="T60" s="953" t="s">
        <v>10</v>
      </c>
      <c r="U60" s="915"/>
      <c r="V60" s="909" t="s">
        <v>8</v>
      </c>
      <c r="W60" s="1591">
        <f>('XM.FILE GOC'!$G$20-U60)*2122</f>
        <v>954.9</v>
      </c>
      <c r="X60" s="910" t="s">
        <v>10</v>
      </c>
      <c r="Y60" s="1743">
        <f>'XM.FILE GOC'!AR20</f>
        <v>0.45624999999999999</v>
      </c>
      <c r="Z60" s="951" t="s">
        <v>8</v>
      </c>
      <c r="AA60" s="952">
        <f>'XM.FILE GOC'!AU20</f>
        <v>0</v>
      </c>
      <c r="AB60" s="953" t="s">
        <v>10</v>
      </c>
      <c r="AC60" s="915"/>
      <c r="AD60" s="909" t="s">
        <v>8</v>
      </c>
      <c r="AE60" s="1591">
        <f>('XM.FILE GOC'!$G$20-AC60)*2122</f>
        <v>954.9</v>
      </c>
      <c r="AF60" s="910" t="s">
        <v>10</v>
      </c>
      <c r="AG60" s="81" t="s">
        <v>43</v>
      </c>
    </row>
    <row r="61" spans="1:33" ht="48" hidden="1" customHeight="1">
      <c r="A61" s="959">
        <v>8</v>
      </c>
      <c r="B61" s="3095" t="s">
        <v>59</v>
      </c>
      <c r="C61" s="3120"/>
      <c r="D61" s="3120"/>
      <c r="E61" s="3096"/>
      <c r="F61" s="960" t="s">
        <v>6</v>
      </c>
      <c r="G61" s="898" t="str">
        <f>'XM.FILE GOC'!$E$21</f>
        <v>(22±5) =17~27</v>
      </c>
      <c r="H61" s="2222" t="str">
        <f>'XM.FILE GOC'!$F$21</f>
        <v>(22±5)</v>
      </c>
      <c r="I61" s="1772">
        <f>'XM.FILE GOC'!AD21</f>
        <v>0</v>
      </c>
      <c r="J61" s="59" t="s">
        <v>8</v>
      </c>
      <c r="K61" s="56">
        <f>'XM.FILE GOC'!AG21</f>
        <v>134.64000000000001</v>
      </c>
      <c r="L61" s="57" t="s">
        <v>10</v>
      </c>
      <c r="M61" s="915"/>
      <c r="N61" s="909" t="s">
        <v>8</v>
      </c>
      <c r="O61" s="937">
        <f>('XM.FILE GOC'!$G$21-M61)*612</f>
        <v>134.64000000000001</v>
      </c>
      <c r="P61" s="910" t="s">
        <v>10</v>
      </c>
      <c r="Q61" s="1772">
        <f>'XM.FILE GOC'!AK21</f>
        <v>0</v>
      </c>
      <c r="R61" s="59" t="s">
        <v>8</v>
      </c>
      <c r="S61" s="587">
        <f>'XM.FILE GOC'!AN21</f>
        <v>134.64000000000001</v>
      </c>
      <c r="T61" s="588" t="s">
        <v>10</v>
      </c>
      <c r="U61" s="915"/>
      <c r="V61" s="909" t="s">
        <v>8</v>
      </c>
      <c r="W61" s="937">
        <f>('XM.FILE GOC'!$G$21-U61)*612</f>
        <v>134.64000000000001</v>
      </c>
      <c r="X61" s="910" t="s">
        <v>10</v>
      </c>
      <c r="Y61" s="1772">
        <f>'XM.FILE GOC'!AR21</f>
        <v>0</v>
      </c>
      <c r="Z61" s="951" t="s">
        <v>8</v>
      </c>
      <c r="AA61" s="587">
        <f>'XM.FILE GOC'!AU21</f>
        <v>134.64000000000001</v>
      </c>
      <c r="AB61" s="953" t="s">
        <v>10</v>
      </c>
      <c r="AC61" s="915"/>
      <c r="AD61" s="909" t="s">
        <v>8</v>
      </c>
      <c r="AE61" s="937">
        <f>('XM.FILE GOC'!$G$21-AC61)*612</f>
        <v>134.64000000000001</v>
      </c>
      <c r="AF61" s="910" t="s">
        <v>10</v>
      </c>
      <c r="AG61" s="81" t="s">
        <v>43</v>
      </c>
    </row>
    <row r="62" spans="1:33" ht="48" hidden="1" customHeight="1">
      <c r="A62" s="959">
        <v>9</v>
      </c>
      <c r="B62" s="3095" t="s">
        <v>108</v>
      </c>
      <c r="C62" s="3120"/>
      <c r="D62" s="3120"/>
      <c r="E62" s="3096"/>
      <c r="F62" s="960" t="s">
        <v>6</v>
      </c>
      <c r="G62" s="898" t="str">
        <f>'XM.FILE GOC'!$E$22</f>
        <v>5~15</v>
      </c>
      <c r="H62" s="2222" t="str">
        <f>'XM.FILE GOC'!$F$22</f>
        <v>(30±4)</v>
      </c>
      <c r="I62" s="1772">
        <f>'XM.FILE GOC'!AD22</f>
        <v>0</v>
      </c>
      <c r="J62" s="17" t="s">
        <v>8</v>
      </c>
      <c r="K62" s="27">
        <f>'XM.FILE GOC'!AG22</f>
        <v>57.5</v>
      </c>
      <c r="L62" s="18" t="s">
        <v>10</v>
      </c>
      <c r="M62" s="915"/>
      <c r="N62" s="909" t="s">
        <v>8</v>
      </c>
      <c r="O62" s="1591">
        <f>('XM.FILE GOC'!$G$22-M62)*575</f>
        <v>57.5</v>
      </c>
      <c r="P62" s="910" t="s">
        <v>10</v>
      </c>
      <c r="Q62" s="1772">
        <f>'XM.FILE GOC'!AK22</f>
        <v>0</v>
      </c>
      <c r="R62" s="951" t="s">
        <v>8</v>
      </c>
      <c r="S62" s="952">
        <f>'XM.FILE GOC'!AN22</f>
        <v>57.5</v>
      </c>
      <c r="T62" s="953" t="s">
        <v>10</v>
      </c>
      <c r="U62" s="915"/>
      <c r="V62" s="909" t="s">
        <v>8</v>
      </c>
      <c r="W62" s="1591">
        <f>('XM.FILE GOC'!$G$22-U62)*575</f>
        <v>57.5</v>
      </c>
      <c r="X62" s="910" t="s">
        <v>10</v>
      </c>
      <c r="Y62" s="1772">
        <f>'XM.FILE GOC'!AR22</f>
        <v>0</v>
      </c>
      <c r="Z62" s="951" t="s">
        <v>8</v>
      </c>
      <c r="AA62" s="952">
        <f>'XM.FILE GOC'!AU22</f>
        <v>57.5</v>
      </c>
      <c r="AB62" s="953" t="s">
        <v>10</v>
      </c>
      <c r="AC62" s="915"/>
      <c r="AD62" s="909" t="s">
        <v>8</v>
      </c>
      <c r="AE62" s="1591">
        <f>('XM.FILE GOC'!$G$22-AC62)*575</f>
        <v>57.5</v>
      </c>
      <c r="AF62" s="910" t="s">
        <v>10</v>
      </c>
      <c r="AG62" s="81" t="s">
        <v>44</v>
      </c>
    </row>
    <row r="63" spans="1:33" ht="48" customHeight="1">
      <c r="A63" s="959">
        <v>10</v>
      </c>
      <c r="B63" s="3095" t="s">
        <v>947</v>
      </c>
      <c r="C63" s="3120"/>
      <c r="D63" s="3120"/>
      <c r="E63" s="3096"/>
      <c r="F63" s="960" t="s">
        <v>3</v>
      </c>
      <c r="G63" s="898" t="str">
        <f>'XM.FILE GOC'!$E$23</f>
        <v>0.5~1.5</v>
      </c>
      <c r="H63" s="2222" t="str">
        <f>'XM.FILE GOC'!$F$23</f>
        <v>(1±0.4)</v>
      </c>
      <c r="I63" s="1774">
        <f>'XM.FILE GOC'!AD23</f>
        <v>0</v>
      </c>
      <c r="J63" s="17" t="s">
        <v>8</v>
      </c>
      <c r="K63" s="44">
        <f>'XM.FILE GOC'!AG23</f>
        <v>5.3998981151299033</v>
      </c>
      <c r="L63" s="18" t="s">
        <v>10</v>
      </c>
      <c r="M63" s="1579"/>
      <c r="N63" s="909" t="s">
        <v>8</v>
      </c>
      <c r="O63" s="937">
        <f>('XM.FILE GOC'!$G$23-M63)*530/65%</f>
        <v>8.1538461538461533</v>
      </c>
      <c r="P63" s="910" t="s">
        <v>10</v>
      </c>
      <c r="Q63" s="1774" t="str">
        <f>'XM.FILE GOC'!AK23</f>
        <v>chưa pha</v>
      </c>
      <c r="R63" s="951" t="s">
        <v>8</v>
      </c>
      <c r="S63" s="957">
        <f>'XM.FILE GOC'!AN23</f>
        <v>0</v>
      </c>
      <c r="T63" s="953" t="s">
        <v>10</v>
      </c>
      <c r="U63" s="1579"/>
      <c r="V63" s="909" t="s">
        <v>8</v>
      </c>
      <c r="W63" s="937">
        <f>('XM.FILE GOC'!$G$23-U63)*530/65%</f>
        <v>8.1538461538461533</v>
      </c>
      <c r="X63" s="910" t="s">
        <v>10</v>
      </c>
      <c r="Y63" s="1774">
        <f>'XM.FILE GOC'!AR23</f>
        <v>1.0331999999999999E-2</v>
      </c>
      <c r="Z63" s="951" t="s">
        <v>8</v>
      </c>
      <c r="AA63" s="957">
        <f>'XM.FILE GOC'!AU23</f>
        <v>0</v>
      </c>
      <c r="AB63" s="953" t="s">
        <v>10</v>
      </c>
      <c r="AC63" s="1579"/>
      <c r="AD63" s="909" t="s">
        <v>8</v>
      </c>
      <c r="AE63" s="937">
        <f>('XM.FILE GOC'!$G$23-AC63)*530/65%</f>
        <v>8.1538461538461533</v>
      </c>
      <c r="AF63" s="910" t="s">
        <v>10</v>
      </c>
      <c r="AG63" s="81" t="s">
        <v>44</v>
      </c>
    </row>
    <row r="64" spans="1:33" ht="48" customHeight="1">
      <c r="A64" s="2189"/>
      <c r="B64" s="3083" t="s">
        <v>74</v>
      </c>
      <c r="C64" s="3084"/>
      <c r="D64" s="3084"/>
      <c r="E64" s="3085"/>
      <c r="F64" s="2180" t="s">
        <v>3</v>
      </c>
      <c r="G64" s="1009" t="str">
        <f>'XM.GUI MAIL'!$E$24</f>
        <v>5~10</v>
      </c>
      <c r="H64" s="2223" t="str">
        <f>'XM.GUI MAIL'!$F$24</f>
        <v>(7.5±1)</v>
      </c>
      <c r="I64" s="1840">
        <f>'XM.FILE GOC'!AD24</f>
        <v>0</v>
      </c>
      <c r="J64" s="17" t="s">
        <v>8</v>
      </c>
      <c r="K64" s="27">
        <f>'XM.FILE GOC'!AG24</f>
        <v>45.39473684210526</v>
      </c>
      <c r="L64" s="18" t="s">
        <v>10</v>
      </c>
      <c r="M64" s="2258"/>
      <c r="N64" s="909" t="s">
        <v>8</v>
      </c>
      <c r="O64" s="1591">
        <f>('XM.FILE GOC'!$G$24-M64)*575/95*1.13</f>
        <v>51.296052631578938</v>
      </c>
      <c r="P64" s="910" t="s">
        <v>10</v>
      </c>
      <c r="Q64" s="1840">
        <f>'XM.FILE GOC'!AK24</f>
        <v>10.128205128205128</v>
      </c>
      <c r="R64" s="951" t="s">
        <v>8</v>
      </c>
      <c r="S64" s="952">
        <f>'XM.FILE GOC'!AN24</f>
        <v>0</v>
      </c>
      <c r="T64" s="953" t="s">
        <v>10</v>
      </c>
      <c r="U64" s="2258"/>
      <c r="V64" s="909" t="s">
        <v>8</v>
      </c>
      <c r="W64" s="1591">
        <f>('XM.FILE GOC'!$G$24-U64)*575/95*1.13</f>
        <v>51.296052631578938</v>
      </c>
      <c r="X64" s="910" t="s">
        <v>10</v>
      </c>
      <c r="Y64" s="1840" t="str">
        <f>'XM.FILE GOC'!AR24</f>
        <v>ko xi</v>
      </c>
      <c r="Z64" s="951" t="s">
        <v>8</v>
      </c>
      <c r="AA64" s="952">
        <f>'XM.FILE GOC'!AU24</f>
        <v>0</v>
      </c>
      <c r="AB64" s="953" t="s">
        <v>10</v>
      </c>
      <c r="AC64" s="2258"/>
      <c r="AD64" s="909" t="s">
        <v>8</v>
      </c>
      <c r="AE64" s="1591">
        <f>('XM.FILE GOC'!$G$24-AC64)*575/95*1.13</f>
        <v>51.296052631578938</v>
      </c>
      <c r="AF64" s="910" t="s">
        <v>10</v>
      </c>
      <c r="AG64" s="2181"/>
    </row>
    <row r="65" spans="1:56" ht="48" customHeight="1">
      <c r="A65" s="2189"/>
      <c r="B65" s="3086"/>
      <c r="C65" s="3087"/>
      <c r="D65" s="3087"/>
      <c r="E65" s="3088"/>
      <c r="F65" s="2180" t="s">
        <v>5</v>
      </c>
      <c r="G65" s="1009" t="str">
        <f>'XM.GUI MAIL'!$E$25</f>
        <v>1.8~2.2</v>
      </c>
      <c r="H65" s="2223" t="str">
        <f>'XM.GUI MAIL'!$F$25</f>
        <v>(2±0.1)</v>
      </c>
      <c r="I65" s="2251">
        <f>'XM.FILE GOC'!AD25</f>
        <v>0</v>
      </c>
      <c r="J65" s="2190"/>
      <c r="K65" s="44"/>
      <c r="L65" s="2191"/>
      <c r="M65" s="916"/>
      <c r="N65" s="917"/>
      <c r="O65" s="1592"/>
      <c r="P65" s="918"/>
      <c r="Q65" s="2252">
        <f>'XM.FILE GOC'!AK25</f>
        <v>2.57</v>
      </c>
      <c r="R65" s="951"/>
      <c r="S65" s="957"/>
      <c r="T65" s="953"/>
      <c r="U65" s="916"/>
      <c r="V65" s="917"/>
      <c r="W65" s="1592"/>
      <c r="X65" s="918"/>
      <c r="Y65" s="2252" t="str">
        <f>'XM.FILE GOC'!AR25</f>
        <v>ko xi</v>
      </c>
      <c r="Z65" s="951"/>
      <c r="AA65" s="957"/>
      <c r="AB65" s="953"/>
      <c r="AC65" s="916"/>
      <c r="AD65" s="917"/>
      <c r="AE65" s="1592"/>
      <c r="AF65" s="918"/>
      <c r="AG65" s="2181"/>
    </row>
    <row r="66" spans="1:56" ht="48" customHeight="1">
      <c r="B66" s="2429" t="s">
        <v>73</v>
      </c>
      <c r="C66" s="2430"/>
      <c r="D66" s="2430"/>
      <c r="E66" s="2430"/>
      <c r="F66" s="2430"/>
      <c r="G66" s="2430"/>
      <c r="H66" s="2430"/>
      <c r="I66" s="2430"/>
      <c r="J66" s="2430"/>
      <c r="K66" s="2430"/>
      <c r="L66" s="2430"/>
      <c r="M66" s="2430"/>
      <c r="N66" s="2430"/>
      <c r="O66" s="2430"/>
      <c r="P66" s="2430"/>
      <c r="Q66" s="2430"/>
      <c r="R66" s="2430"/>
      <c r="S66" s="2430"/>
      <c r="T66" s="2430"/>
      <c r="U66" s="2430"/>
      <c r="V66" s="2430"/>
      <c r="W66" s="2430"/>
      <c r="X66" s="2430"/>
      <c r="Y66" s="2430"/>
      <c r="Z66" s="2430"/>
      <c r="AA66" s="2430"/>
      <c r="AB66" s="2430"/>
      <c r="AC66" s="2430"/>
      <c r="AD66" s="2430"/>
      <c r="AE66" s="2431"/>
      <c r="AF66" s="2429"/>
      <c r="AG66" s="2429"/>
    </row>
    <row r="67" spans="1:56" ht="48" customHeight="1">
      <c r="A67" s="959" t="s">
        <v>7</v>
      </c>
      <c r="B67" s="3095" t="s">
        <v>61</v>
      </c>
      <c r="C67" s="3120"/>
      <c r="D67" s="3120"/>
      <c r="E67" s="3096"/>
      <c r="F67" s="248" t="s">
        <v>63</v>
      </c>
      <c r="G67" s="978" t="s">
        <v>1310</v>
      </c>
      <c r="H67" s="2224" t="s">
        <v>1302</v>
      </c>
      <c r="I67" s="3081" t="s">
        <v>45</v>
      </c>
      <c r="J67" s="3081"/>
      <c r="K67" s="3081" t="s">
        <v>62</v>
      </c>
      <c r="L67" s="3081"/>
      <c r="M67" s="919"/>
      <c r="N67" s="920"/>
      <c r="O67" s="920"/>
      <c r="P67" s="921"/>
      <c r="Q67" s="3079" t="s">
        <v>45</v>
      </c>
      <c r="R67" s="3079"/>
      <c r="S67" s="3079" t="s">
        <v>62</v>
      </c>
      <c r="T67" s="3079"/>
      <c r="U67" s="919"/>
      <c r="V67" s="920"/>
      <c r="W67" s="920"/>
      <c r="X67" s="921"/>
      <c r="Y67" s="3079" t="s">
        <v>45</v>
      </c>
      <c r="Z67" s="3079"/>
      <c r="AA67" s="3079" t="s">
        <v>62</v>
      </c>
      <c r="AB67" s="3079"/>
      <c r="AC67" s="919"/>
      <c r="AD67" s="920"/>
      <c r="AE67" s="920"/>
      <c r="AF67" s="921"/>
      <c r="AG67" s="80"/>
    </row>
    <row r="68" spans="1:56" ht="48" customHeight="1">
      <c r="A68" s="959">
        <v>1</v>
      </c>
      <c r="B68" s="3095" t="s">
        <v>65</v>
      </c>
      <c r="C68" s="3120"/>
      <c r="D68" s="3120"/>
      <c r="E68" s="3096"/>
      <c r="F68" s="247" t="s">
        <v>195</v>
      </c>
      <c r="G68" s="898" t="str">
        <f>'XM.FILE GOC'!$E$28</f>
        <v>50~70</v>
      </c>
      <c r="H68" s="2222" t="str">
        <f>'XM.FILE GOC'!$F$28</f>
        <v>(60±5)</v>
      </c>
      <c r="I68" s="3112">
        <f>'XM.FILE GOC'!AD28</f>
        <v>0</v>
      </c>
      <c r="J68" s="3112"/>
      <c r="K68" s="3112">
        <f>'XM.FILE GOC'!AG28</f>
        <v>0</v>
      </c>
      <c r="L68" s="3112"/>
      <c r="M68" s="922"/>
      <c r="N68" s="923"/>
      <c r="O68" s="923"/>
      <c r="P68" s="924"/>
      <c r="Q68" s="3112">
        <f>'XM.FILE GOC'!AK28</f>
        <v>64</v>
      </c>
      <c r="R68" s="3112"/>
      <c r="S68" s="3112">
        <f>'XM.FILE GOC'!AN28</f>
        <v>63</v>
      </c>
      <c r="T68" s="3112"/>
      <c r="U68" s="922"/>
      <c r="V68" s="923"/>
      <c r="W68" s="923"/>
      <c r="X68" s="924"/>
      <c r="Y68" s="3112">
        <f>'XM.FILE GOC'!AR28</f>
        <v>64</v>
      </c>
      <c r="Z68" s="3112"/>
      <c r="AA68" s="3112">
        <f>'XM.FILE GOC'!AU28</f>
        <v>63</v>
      </c>
      <c r="AB68" s="3112"/>
      <c r="AC68" s="922"/>
      <c r="AD68" s="923"/>
      <c r="AE68" s="923"/>
      <c r="AF68" s="924"/>
      <c r="AG68" s="81"/>
    </row>
    <row r="69" spans="1:56" ht="48" customHeight="1">
      <c r="A69" s="959">
        <v>2</v>
      </c>
      <c r="B69" s="3095" t="s">
        <v>66</v>
      </c>
      <c r="C69" s="3120" t="s">
        <v>66</v>
      </c>
      <c r="D69" s="3120" t="s">
        <v>66</v>
      </c>
      <c r="E69" s="3096" t="s">
        <v>66</v>
      </c>
      <c r="F69" s="247" t="s">
        <v>195</v>
      </c>
      <c r="G69" s="898" t="str">
        <f>'XM.FILE GOC'!$E$29</f>
        <v>50~70</v>
      </c>
      <c r="H69" s="2222" t="str">
        <f>'XM.FILE GOC'!$F$29</f>
        <v>(60±5)</v>
      </c>
      <c r="I69" s="3112">
        <f>'XM.FILE GOC'!AD29</f>
        <v>0</v>
      </c>
      <c r="J69" s="3112"/>
      <c r="K69" s="3112">
        <f>'XM.FILE GOC'!AG29</f>
        <v>0</v>
      </c>
      <c r="L69" s="3112"/>
      <c r="M69" s="922"/>
      <c r="N69" s="923"/>
      <c r="O69" s="923"/>
      <c r="P69" s="924"/>
      <c r="Q69" s="3112">
        <f>'XM.FILE GOC'!AK29</f>
        <v>64</v>
      </c>
      <c r="R69" s="3112"/>
      <c r="S69" s="3112">
        <f>'XM.FILE GOC'!AN29</f>
        <v>63</v>
      </c>
      <c r="T69" s="3112"/>
      <c r="U69" s="922"/>
      <c r="V69" s="923"/>
      <c r="W69" s="923"/>
      <c r="X69" s="924"/>
      <c r="Y69" s="3112">
        <f>'XM.FILE GOC'!AR29</f>
        <v>63</v>
      </c>
      <c r="Z69" s="3112"/>
      <c r="AA69" s="3112">
        <f>'XM.FILE GOC'!AU29</f>
        <v>62</v>
      </c>
      <c r="AB69" s="3112"/>
      <c r="AC69" s="922"/>
      <c r="AD69" s="923"/>
      <c r="AE69" s="923"/>
      <c r="AF69" s="924"/>
      <c r="AG69" s="81"/>
    </row>
    <row r="70" spans="1:56" ht="48" customHeight="1">
      <c r="A70" s="959">
        <v>3</v>
      </c>
      <c r="B70" s="3095" t="s">
        <v>68</v>
      </c>
      <c r="C70" s="3120" t="s">
        <v>68</v>
      </c>
      <c r="D70" s="3120" t="s">
        <v>68</v>
      </c>
      <c r="E70" s="3096" t="s">
        <v>68</v>
      </c>
      <c r="F70" s="247" t="s">
        <v>195</v>
      </c>
      <c r="G70" s="898" t="str">
        <f>'XM.FILE GOC'!$E$30</f>
        <v>40~60</v>
      </c>
      <c r="H70" s="2222" t="str">
        <f>'XM.FILE GOC'!$F$30</f>
        <v>(50±5)</v>
      </c>
      <c r="I70" s="3033">
        <f>'XM.FILE GOC'!AD30</f>
        <v>0</v>
      </c>
      <c r="J70" s="3026"/>
      <c r="K70" s="3033">
        <f>'XM.FILE GOC'!AG30</f>
        <v>0</v>
      </c>
      <c r="L70" s="3026"/>
      <c r="M70" s="922"/>
      <c r="N70" s="923"/>
      <c r="O70" s="923"/>
      <c r="P70" s="924"/>
      <c r="Q70" s="3033">
        <f>'XM.FILE GOC'!AK30</f>
        <v>53</v>
      </c>
      <c r="R70" s="3026"/>
      <c r="S70" s="3033">
        <f>'XM.FILE GOC'!AN30</f>
        <v>52</v>
      </c>
      <c r="T70" s="3026"/>
      <c r="U70" s="922"/>
      <c r="V70" s="923"/>
      <c r="W70" s="923"/>
      <c r="X70" s="924"/>
      <c r="Y70" s="3033">
        <f>'XM.FILE GOC'!AR30</f>
        <v>55</v>
      </c>
      <c r="Z70" s="3026"/>
      <c r="AA70" s="3033">
        <f>'XM.FILE GOC'!AU30</f>
        <v>54</v>
      </c>
      <c r="AB70" s="3026"/>
      <c r="AC70" s="922"/>
      <c r="AD70" s="923"/>
      <c r="AE70" s="923"/>
      <c r="AF70" s="924"/>
      <c r="AG70" s="81"/>
    </row>
    <row r="71" spans="1:56" ht="48" customHeight="1">
      <c r="A71" s="959">
        <v>4</v>
      </c>
      <c r="B71" s="3095" t="s">
        <v>67</v>
      </c>
      <c r="C71" s="3120" t="s">
        <v>67</v>
      </c>
      <c r="D71" s="3120" t="s">
        <v>67</v>
      </c>
      <c r="E71" s="3096" t="s">
        <v>67</v>
      </c>
      <c r="F71" s="247" t="s">
        <v>195</v>
      </c>
      <c r="G71" s="898" t="str">
        <f>'XM.FILE GOC'!$E$31</f>
        <v>40~60</v>
      </c>
      <c r="H71" s="2222" t="str">
        <f>'XM.FILE GOC'!$F$31</f>
        <v>(50±5)</v>
      </c>
      <c r="I71" s="3033">
        <f>'XM.FILE GOC'!AD31</f>
        <v>0</v>
      </c>
      <c r="J71" s="3026"/>
      <c r="K71" s="3033">
        <f>'XM.FILE GOC'!AG31</f>
        <v>0</v>
      </c>
      <c r="L71" s="3026"/>
      <c r="M71" s="922"/>
      <c r="N71" s="923"/>
      <c r="O71" s="923"/>
      <c r="P71" s="924"/>
      <c r="Q71" s="3033">
        <f>'XM.FILE GOC'!AK31</f>
        <v>52</v>
      </c>
      <c r="R71" s="3026"/>
      <c r="S71" s="3033">
        <f>'XM.FILE GOC'!AN31</f>
        <v>51</v>
      </c>
      <c r="T71" s="3026"/>
      <c r="U71" s="922"/>
      <c r="V71" s="923"/>
      <c r="W71" s="923"/>
      <c r="X71" s="924"/>
      <c r="Y71" s="3033">
        <f>'XM.FILE GOC'!AR31</f>
        <v>53</v>
      </c>
      <c r="Z71" s="3026"/>
      <c r="AA71" s="3033">
        <f>'XM.FILE GOC'!AU31</f>
        <v>52</v>
      </c>
      <c r="AB71" s="3026"/>
      <c r="AC71" s="922"/>
      <c r="AD71" s="923"/>
      <c r="AE71" s="923"/>
      <c r="AF71" s="924"/>
      <c r="AG71" s="81"/>
    </row>
    <row r="72" spans="1:56" ht="48" customHeight="1">
      <c r="A72" s="959">
        <v>5</v>
      </c>
      <c r="B72" s="3095" t="s">
        <v>69</v>
      </c>
      <c r="C72" s="3120" t="s">
        <v>69</v>
      </c>
      <c r="D72" s="3120" t="s">
        <v>69</v>
      </c>
      <c r="E72" s="3096" t="s">
        <v>69</v>
      </c>
      <c r="F72" s="247" t="s">
        <v>195</v>
      </c>
      <c r="G72" s="898" t="str">
        <f>'XM.FILE GOC'!$E$32</f>
        <v>20~35</v>
      </c>
      <c r="H72" s="2222" t="str">
        <f>'XM.FILE GOC'!$F$32</f>
        <v>(30±4)</v>
      </c>
      <c r="I72" s="3112">
        <f>'XM.FILE GOC'!AD32</f>
        <v>0</v>
      </c>
      <c r="J72" s="3112"/>
      <c r="K72" s="3112">
        <f>'XM.FILE GOC'!AG32</f>
        <v>0</v>
      </c>
      <c r="L72" s="3112"/>
      <c r="M72" s="922"/>
      <c r="N72" s="923"/>
      <c r="O72" s="923"/>
      <c r="P72" s="924"/>
      <c r="Q72" s="3112">
        <f>'XM.FILE GOC'!AK32</f>
        <v>28</v>
      </c>
      <c r="R72" s="3112"/>
      <c r="S72" s="3112">
        <f>'XM.FILE GOC'!AN32</f>
        <v>27</v>
      </c>
      <c r="T72" s="3112"/>
      <c r="U72" s="922"/>
      <c r="V72" s="923"/>
      <c r="W72" s="923"/>
      <c r="X72" s="924"/>
      <c r="Y72" s="3112">
        <f>'XM.FILE GOC'!AR32</f>
        <v>28</v>
      </c>
      <c r="Z72" s="3112"/>
      <c r="AA72" s="3112">
        <f>'XM.FILE GOC'!AU32</f>
        <v>27</v>
      </c>
      <c r="AB72" s="3112"/>
      <c r="AC72" s="922"/>
      <c r="AD72" s="923"/>
      <c r="AE72" s="923"/>
      <c r="AF72" s="924"/>
      <c r="AG72" s="81"/>
    </row>
    <row r="73" spans="1:56" ht="48" customHeight="1">
      <c r="A73" s="959">
        <v>6</v>
      </c>
      <c r="B73" s="3095" t="s">
        <v>948</v>
      </c>
      <c r="C73" s="3120" t="s">
        <v>948</v>
      </c>
      <c r="D73" s="3120" t="s">
        <v>948</v>
      </c>
      <c r="E73" s="3096" t="s">
        <v>948</v>
      </c>
      <c r="F73" s="247" t="s">
        <v>195</v>
      </c>
      <c r="G73" s="898" t="str">
        <f>'XM.FILE GOC'!$E$33</f>
        <v>30~40</v>
      </c>
      <c r="H73" s="2222" t="str">
        <f>'XM.FILE GOC'!$F$33</f>
        <v>(34±3)</v>
      </c>
      <c r="I73" s="3112">
        <f>'XM.FILE GOC'!AD33</f>
        <v>0</v>
      </c>
      <c r="J73" s="3112"/>
      <c r="K73" s="3112">
        <f>'XM.FILE GOC'!AG33</f>
        <v>0</v>
      </c>
      <c r="L73" s="3112"/>
      <c r="M73" s="922"/>
      <c r="N73" s="923"/>
      <c r="O73" s="923"/>
      <c r="P73" s="924"/>
      <c r="Q73" s="3112">
        <f>'XM.FILE GOC'!AK33</f>
        <v>37</v>
      </c>
      <c r="R73" s="3112"/>
      <c r="S73" s="3112">
        <f>'XM.FILE GOC'!AN33</f>
        <v>36</v>
      </c>
      <c r="T73" s="3112"/>
      <c r="U73" s="922"/>
      <c r="V73" s="923"/>
      <c r="W73" s="923"/>
      <c r="X73" s="924"/>
      <c r="Y73" s="3112">
        <f>'XM.FILE GOC'!AR33</f>
        <v>37</v>
      </c>
      <c r="Z73" s="3112"/>
      <c r="AA73" s="3112">
        <f>'XM.FILE GOC'!AU33</f>
        <v>36</v>
      </c>
      <c r="AB73" s="3112"/>
      <c r="AC73" s="922"/>
      <c r="AD73" s="923"/>
      <c r="AE73" s="923"/>
      <c r="AF73" s="924"/>
      <c r="AG73" s="81"/>
    </row>
    <row r="74" spans="1:56" ht="48" customHeight="1">
      <c r="A74" s="959">
        <v>7</v>
      </c>
      <c r="B74" s="3095" t="s">
        <v>70</v>
      </c>
      <c r="C74" s="3120" t="s">
        <v>70</v>
      </c>
      <c r="D74" s="3120" t="s">
        <v>70</v>
      </c>
      <c r="E74" s="3096" t="s">
        <v>70</v>
      </c>
      <c r="F74" s="247" t="s">
        <v>195</v>
      </c>
      <c r="G74" s="898" t="str">
        <f>'XM.FILE GOC'!$E$34</f>
        <v>50~70</v>
      </c>
      <c r="H74" s="2222" t="str">
        <f>'XM.FILE GOC'!$F$34</f>
        <v>(60±10)</v>
      </c>
      <c r="I74" s="3112">
        <f>'XM.FILE GOC'!AD34</f>
        <v>0</v>
      </c>
      <c r="J74" s="3112"/>
      <c r="K74" s="3112">
        <f>'XM.FILE GOC'!AG34</f>
        <v>0</v>
      </c>
      <c r="L74" s="3112"/>
      <c r="M74" s="922"/>
      <c r="N74" s="923"/>
      <c r="O74" s="923"/>
      <c r="P74" s="924"/>
      <c r="Q74" s="3112">
        <f>'XM.FILE GOC'!AK34</f>
        <v>32</v>
      </c>
      <c r="R74" s="3112"/>
      <c r="S74" s="3112">
        <f>'XM.FILE GOC'!AN34</f>
        <v>31</v>
      </c>
      <c r="T74" s="3112"/>
      <c r="U74" s="922"/>
      <c r="V74" s="923"/>
      <c r="W74" s="923"/>
      <c r="X74" s="924"/>
      <c r="Y74" s="3112">
        <f>'XM.FILE GOC'!AR34</f>
        <v>46</v>
      </c>
      <c r="Z74" s="3112"/>
      <c r="AA74" s="3112">
        <f>'XM.FILE GOC'!AU34</f>
        <v>45</v>
      </c>
      <c r="AB74" s="3112"/>
      <c r="AC74" s="922"/>
      <c r="AD74" s="923"/>
      <c r="AE74" s="923"/>
      <c r="AF74" s="924"/>
      <c r="AG74" s="81"/>
      <c r="AP74" s="923"/>
      <c r="AQ74" s="923"/>
      <c r="AR74" s="924"/>
      <c r="AS74" s="3046"/>
      <c r="AT74" s="3047"/>
      <c r="AU74" s="3046"/>
      <c r="AV74" s="3047"/>
      <c r="AW74" s="1387"/>
      <c r="AX74" s="923"/>
      <c r="AY74" s="923"/>
      <c r="AZ74" s="924"/>
      <c r="BA74" s="3046"/>
      <c r="BB74" s="3047"/>
      <c r="BC74" s="3046"/>
      <c r="BD74" s="3047"/>
    </row>
    <row r="75" spans="1:56" ht="48" customHeight="1">
      <c r="A75" s="959">
        <v>8</v>
      </c>
      <c r="B75" s="3130" t="s">
        <v>71</v>
      </c>
      <c r="C75" s="3131" t="s">
        <v>71</v>
      </c>
      <c r="D75" s="3131" t="s">
        <v>71</v>
      </c>
      <c r="E75" s="3132" t="s">
        <v>71</v>
      </c>
      <c r="F75" s="247" t="s">
        <v>195</v>
      </c>
      <c r="G75" s="898" t="str">
        <f>'XM.FILE GOC'!$E$35</f>
        <v>80~100</v>
      </c>
      <c r="H75" s="2222" t="str">
        <f>'XM.FILE GOC'!$F$35</f>
        <v>(90±5)</v>
      </c>
      <c r="I75" s="3081" t="str">
        <f>'XM.FILE GOC'!AD35</f>
        <v>\</v>
      </c>
      <c r="J75" s="3081"/>
      <c r="K75" s="3112">
        <f>'XM.FILE GOC'!AG35</f>
        <v>0</v>
      </c>
      <c r="L75" s="3112"/>
      <c r="M75" s="925"/>
      <c r="N75" s="926"/>
      <c r="O75" s="926"/>
      <c r="P75" s="927"/>
      <c r="Q75" s="3081" t="str">
        <f>'XM.FILE GOC'!AK35</f>
        <v>\</v>
      </c>
      <c r="R75" s="3081"/>
      <c r="S75" s="3112" t="str">
        <f>'XM.FILE GOC'!AN35</f>
        <v>chưa mo máy</v>
      </c>
      <c r="T75" s="3112"/>
      <c r="U75" s="925"/>
      <c r="V75" s="926"/>
      <c r="W75" s="926"/>
      <c r="X75" s="927"/>
      <c r="Y75" s="3081" t="str">
        <f>'XM.FILE GOC'!AR35</f>
        <v>\</v>
      </c>
      <c r="Z75" s="3081"/>
      <c r="AA75" s="3112">
        <f>'XM.FILE GOC'!AU35</f>
        <v>87</v>
      </c>
      <c r="AB75" s="3112"/>
      <c r="AC75" s="925"/>
      <c r="AD75" s="926"/>
      <c r="AE75" s="926"/>
      <c r="AF75" s="927"/>
      <c r="AG75" s="81"/>
    </row>
    <row r="76" spans="1:56" ht="48" customHeight="1">
      <c r="B76" s="2429" t="s">
        <v>75</v>
      </c>
      <c r="C76" s="2430"/>
      <c r="D76" s="2430"/>
      <c r="E76" s="2430"/>
      <c r="F76" s="2430"/>
      <c r="G76" s="2430"/>
      <c r="H76" s="2430"/>
      <c r="I76" s="2430"/>
      <c r="J76" s="2430"/>
      <c r="K76" s="2430"/>
      <c r="L76" s="2430"/>
      <c r="M76" s="2430"/>
      <c r="N76" s="2430"/>
      <c r="O76" s="2430"/>
      <c r="P76" s="2430"/>
      <c r="Q76" s="2430"/>
      <c r="R76" s="2430"/>
      <c r="S76" s="2430"/>
      <c r="T76" s="2430"/>
      <c r="U76" s="2430"/>
      <c r="V76" s="2430"/>
      <c r="W76" s="2430"/>
      <c r="X76" s="2430"/>
      <c r="Y76" s="2430"/>
      <c r="Z76" s="2430"/>
      <c r="AA76" s="2430"/>
      <c r="AB76" s="2430"/>
      <c r="AC76" s="2430"/>
      <c r="AD76" s="2431"/>
      <c r="AE76" s="2429"/>
      <c r="AF76" s="2429"/>
      <c r="AG76" s="2429"/>
    </row>
    <row r="77" spans="1:56" ht="48" customHeight="1">
      <c r="A77" s="959" t="s">
        <v>7</v>
      </c>
      <c r="B77" s="3095" t="s">
        <v>92</v>
      </c>
      <c r="C77" s="3120"/>
      <c r="D77" s="3120"/>
      <c r="E77" s="3096"/>
      <c r="F77" s="578" t="s">
        <v>93</v>
      </c>
      <c r="G77" s="978" t="s">
        <v>1310</v>
      </c>
      <c r="H77" s="2224" t="s">
        <v>1302</v>
      </c>
      <c r="I77" s="3082" t="s">
        <v>111</v>
      </c>
      <c r="J77" s="3116"/>
      <c r="K77" s="3116"/>
      <c r="L77" s="3080"/>
      <c r="M77" s="919"/>
      <c r="N77" s="920"/>
      <c r="O77" s="920"/>
      <c r="P77" s="921"/>
      <c r="Q77" s="3114" t="s">
        <v>111</v>
      </c>
      <c r="R77" s="3115"/>
      <c r="S77" s="3115"/>
      <c r="T77" s="3111"/>
      <c r="U77" s="919"/>
      <c r="V77" s="920"/>
      <c r="W77" s="920"/>
      <c r="X77" s="921"/>
      <c r="Y77" s="3114" t="s">
        <v>111</v>
      </c>
      <c r="Z77" s="3115"/>
      <c r="AA77" s="3115"/>
      <c r="AB77" s="3111"/>
      <c r="AC77" s="919"/>
      <c r="AD77" s="920"/>
      <c r="AE77" s="920"/>
      <c r="AF77" s="921"/>
      <c r="AG77" s="80"/>
    </row>
    <row r="78" spans="1:56" ht="48" customHeight="1">
      <c r="A78" s="959">
        <v>1</v>
      </c>
      <c r="B78" s="3135" t="s">
        <v>1599</v>
      </c>
      <c r="C78" s="3136"/>
      <c r="D78" s="3136"/>
      <c r="E78" s="3137"/>
      <c r="F78" s="961" t="s">
        <v>48</v>
      </c>
      <c r="G78" s="898" t="str">
        <f>'XM.FILE GOC'!$E$37</f>
        <v>300-360</v>
      </c>
      <c r="H78" s="2222" t="str">
        <f>'XM.FILE GOC'!$F$37</f>
        <v>300-360</v>
      </c>
      <c r="I78" s="3046">
        <f>'XM.FILE GOC'!AD37</f>
        <v>0</v>
      </c>
      <c r="J78" s="3047"/>
      <c r="K78" s="3047"/>
      <c r="L78" s="3047"/>
      <c r="M78" s="928"/>
      <c r="N78" s="905"/>
      <c r="O78" s="905"/>
      <c r="P78" s="929"/>
      <c r="Q78" s="3118" t="str">
        <f>'XM.FILE GOC'!AK37</f>
        <v>chưa có hâng ko bơm</v>
      </c>
      <c r="R78" s="3119"/>
      <c r="S78" s="3119"/>
      <c r="T78" s="3119"/>
      <c r="U78" s="928"/>
      <c r="V78" s="905"/>
      <c r="W78" s="905"/>
      <c r="X78" s="929"/>
      <c r="Y78" s="3118" t="str">
        <f>'XM.FILE GOC'!AR37</f>
        <v>chưa có hâng ko bơm</v>
      </c>
      <c r="Z78" s="3119"/>
      <c r="AA78" s="3119"/>
      <c r="AB78" s="3119"/>
      <c r="AC78" s="928"/>
      <c r="AD78" s="905"/>
      <c r="AE78" s="905"/>
      <c r="AF78" s="929"/>
      <c r="AG78" s="81"/>
    </row>
    <row r="79" spans="1:56" ht="48" customHeight="1">
      <c r="A79" s="959">
        <v>2</v>
      </c>
      <c r="B79" s="3135" t="s">
        <v>1597</v>
      </c>
      <c r="C79" s="3136"/>
      <c r="D79" s="3136"/>
      <c r="E79" s="3137"/>
      <c r="F79" s="961" t="s">
        <v>48</v>
      </c>
      <c r="G79" s="898" t="str">
        <f>'XM.FILE GOC'!$E$38</f>
        <v>30-50</v>
      </c>
      <c r="H79" s="2222" t="str">
        <f>'XM.FILE GOC'!$F$38</f>
        <v>30-50</v>
      </c>
      <c r="I79" s="3046">
        <f>'XM.FILE GOC'!AD38</f>
        <v>0</v>
      </c>
      <c r="J79" s="3047"/>
      <c r="K79" s="3047"/>
      <c r="L79" s="3047"/>
      <c r="M79" s="930"/>
      <c r="N79" s="931"/>
      <c r="O79" s="931"/>
      <c r="P79" s="932"/>
      <c r="Q79" s="3118" t="str">
        <f>'XM.FILE GOC'!AK38</f>
        <v>chưa có hâng ko bơm</v>
      </c>
      <c r="R79" s="3119"/>
      <c r="S79" s="3119"/>
      <c r="T79" s="3119"/>
      <c r="U79" s="930"/>
      <c r="V79" s="931"/>
      <c r="W79" s="931"/>
      <c r="X79" s="932"/>
      <c r="Y79" s="3118" t="str">
        <f>'XM.FILE GOC'!AR38</f>
        <v>chưa có hâng ko bơm</v>
      </c>
      <c r="Z79" s="3119"/>
      <c r="AA79" s="3119"/>
      <c r="AB79" s="3119"/>
      <c r="AC79" s="930"/>
      <c r="AD79" s="931"/>
      <c r="AE79" s="931"/>
      <c r="AF79" s="932"/>
      <c r="AG79" s="81"/>
    </row>
  </sheetData>
  <sheetProtection selectLockedCells="1"/>
  <mergeCells count="256">
    <mergeCell ref="AA31:AB31"/>
    <mergeCell ref="Y32:Z32"/>
    <mergeCell ref="AA32:AB32"/>
    <mergeCell ref="K30:L30"/>
    <mergeCell ref="K28:L28"/>
    <mergeCell ref="Y28:Z28"/>
    <mergeCell ref="Q35:R35"/>
    <mergeCell ref="S35:T35"/>
    <mergeCell ref="Y30:Z30"/>
    <mergeCell ref="AA35:AB35"/>
    <mergeCell ref="AA28:AB28"/>
    <mergeCell ref="AA33:AB33"/>
    <mergeCell ref="K29:L29"/>
    <mergeCell ref="Q29:R29"/>
    <mergeCell ref="S29:T29"/>
    <mergeCell ref="AC4:AF4"/>
    <mergeCell ref="V5:X5"/>
    <mergeCell ref="AD5:AF5"/>
    <mergeCell ref="AD2:AE2"/>
    <mergeCell ref="AD3:AE3"/>
    <mergeCell ref="AF2:AG2"/>
    <mergeCell ref="AF3:AG3"/>
    <mergeCell ref="U4:X4"/>
    <mergeCell ref="AA30:AB30"/>
    <mergeCell ref="Y29:Z29"/>
    <mergeCell ref="AA29:AB29"/>
    <mergeCell ref="B77:E77"/>
    <mergeCell ref="B78:E78"/>
    <mergeCell ref="B79:E79"/>
    <mergeCell ref="B37:E37"/>
    <mergeCell ref="B38:E38"/>
    <mergeCell ref="B39:E39"/>
    <mergeCell ref="B27:E27"/>
    <mergeCell ref="B28:E28"/>
    <mergeCell ref="B29:E29"/>
    <mergeCell ref="B30:E30"/>
    <mergeCell ref="B31:E31"/>
    <mergeCell ref="B32:E32"/>
    <mergeCell ref="B33:E33"/>
    <mergeCell ref="B34:E34"/>
    <mergeCell ref="B35:E35"/>
    <mergeCell ref="B67:E67"/>
    <mergeCell ref="B68:E68"/>
    <mergeCell ref="B69:E69"/>
    <mergeCell ref="B70:E70"/>
    <mergeCell ref="B71:E71"/>
    <mergeCell ref="B72:E72"/>
    <mergeCell ref="B73:E73"/>
    <mergeCell ref="B64:E65"/>
    <mergeCell ref="B74:E74"/>
    <mergeCell ref="AF43:AG43"/>
    <mergeCell ref="B75:E75"/>
    <mergeCell ref="Q69:R69"/>
    <mergeCell ref="F4:F5"/>
    <mergeCell ref="B44:E45"/>
    <mergeCell ref="F44:F45"/>
    <mergeCell ref="B46:C48"/>
    <mergeCell ref="B49:C51"/>
    <mergeCell ref="B54:C55"/>
    <mergeCell ref="D54:E54"/>
    <mergeCell ref="D55:E55"/>
    <mergeCell ref="B56:E56"/>
    <mergeCell ref="B16:E16"/>
    <mergeCell ref="B17:E17"/>
    <mergeCell ref="B18:E19"/>
    <mergeCell ref="B20:E20"/>
    <mergeCell ref="B21:E21"/>
    <mergeCell ref="B22:E22"/>
    <mergeCell ref="B23:E23"/>
    <mergeCell ref="D46:E46"/>
    <mergeCell ref="B43:E43"/>
    <mergeCell ref="Q34:R34"/>
    <mergeCell ref="I69:J69"/>
    <mergeCell ref="K69:L69"/>
    <mergeCell ref="Y44:AB44"/>
    <mergeCell ref="J45:L45"/>
    <mergeCell ref="R45:T45"/>
    <mergeCell ref="Z45:AB45"/>
    <mergeCell ref="Q68:R68"/>
    <mergeCell ref="S68:T68"/>
    <mergeCell ref="Y68:Z68"/>
    <mergeCell ref="AA68:AB68"/>
    <mergeCell ref="I67:J67"/>
    <mergeCell ref="K67:L67"/>
    <mergeCell ref="AA67:AB67"/>
    <mergeCell ref="Q67:R67"/>
    <mergeCell ref="S67:T67"/>
    <mergeCell ref="Y67:Z67"/>
    <mergeCell ref="A49:A51"/>
    <mergeCell ref="A52:A53"/>
    <mergeCell ref="A44:A45"/>
    <mergeCell ref="G44:G45"/>
    <mergeCell ref="D47:E47"/>
    <mergeCell ref="Q38:T38"/>
    <mergeCell ref="Q39:T39"/>
    <mergeCell ref="Y38:AB38"/>
    <mergeCell ref="Y39:AB39"/>
    <mergeCell ref="D51:E51"/>
    <mergeCell ref="B52:C53"/>
    <mergeCell ref="D52:E52"/>
    <mergeCell ref="D53:E53"/>
    <mergeCell ref="I38:L38"/>
    <mergeCell ref="I39:L39"/>
    <mergeCell ref="M44:P44"/>
    <mergeCell ref="N45:P45"/>
    <mergeCell ref="U44:X44"/>
    <mergeCell ref="V45:X45"/>
    <mergeCell ref="A46:A48"/>
    <mergeCell ref="D48:E48"/>
    <mergeCell ref="H44:H45"/>
    <mergeCell ref="D49:E49"/>
    <mergeCell ref="D50:E50"/>
    <mergeCell ref="AD42:AE42"/>
    <mergeCell ref="AF42:AG42"/>
    <mergeCell ref="Q77:T77"/>
    <mergeCell ref="Y77:AB77"/>
    <mergeCell ref="I77:L77"/>
    <mergeCell ref="Q72:R72"/>
    <mergeCell ref="K73:L73"/>
    <mergeCell ref="I70:J70"/>
    <mergeCell ref="K70:L70"/>
    <mergeCell ref="I71:J71"/>
    <mergeCell ref="K71:L71"/>
    <mergeCell ref="Q70:R70"/>
    <mergeCell ref="S70:T70"/>
    <mergeCell ref="Q71:R71"/>
    <mergeCell ref="S71:T71"/>
    <mergeCell ref="Q73:R73"/>
    <mergeCell ref="S73:T73"/>
    <mergeCell ref="I73:J73"/>
    <mergeCell ref="S72:T72"/>
    <mergeCell ref="Y74:Z74"/>
    <mergeCell ref="AA74:AB74"/>
    <mergeCell ref="AC44:AF44"/>
    <mergeCell ref="AD45:AF45"/>
    <mergeCell ref="AD43:AE43"/>
    <mergeCell ref="A54:A55"/>
    <mergeCell ref="A56:A57"/>
    <mergeCell ref="A58:A59"/>
    <mergeCell ref="B60:E60"/>
    <mergeCell ref="B61:E61"/>
    <mergeCell ref="B57:E57"/>
    <mergeCell ref="B58:E59"/>
    <mergeCell ref="B62:E62"/>
    <mergeCell ref="B63:E63"/>
    <mergeCell ref="I79:L79"/>
    <mergeCell ref="I72:J72"/>
    <mergeCell ref="AA75:AB75"/>
    <mergeCell ref="AA73:AB73"/>
    <mergeCell ref="Q79:T79"/>
    <mergeCell ref="S74:T74"/>
    <mergeCell ref="I78:L78"/>
    <mergeCell ref="Y73:Z73"/>
    <mergeCell ref="K72:L72"/>
    <mergeCell ref="I74:J74"/>
    <mergeCell ref="K74:L74"/>
    <mergeCell ref="I75:J75"/>
    <mergeCell ref="K75:L75"/>
    <mergeCell ref="Q75:R75"/>
    <mergeCell ref="S75:T75"/>
    <mergeCell ref="Y75:Z75"/>
    <mergeCell ref="AA72:AB72"/>
    <mergeCell ref="Y72:Z72"/>
    <mergeCell ref="Y79:AB79"/>
    <mergeCell ref="Q78:T78"/>
    <mergeCell ref="Y78:AB78"/>
    <mergeCell ref="Y37:AB37"/>
    <mergeCell ref="Q74:R74"/>
    <mergeCell ref="I37:L37"/>
    <mergeCell ref="I34:J34"/>
    <mergeCell ref="K34:L34"/>
    <mergeCell ref="S34:T34"/>
    <mergeCell ref="Y34:Z34"/>
    <mergeCell ref="AA34:AB34"/>
    <mergeCell ref="I35:J35"/>
    <mergeCell ref="K35:L35"/>
    <mergeCell ref="Y35:Z35"/>
    <mergeCell ref="Q37:T37"/>
    <mergeCell ref="S69:T69"/>
    <mergeCell ref="Y69:Z69"/>
    <mergeCell ref="AA69:AB69"/>
    <mergeCell ref="Y70:Z70"/>
    <mergeCell ref="AA70:AB70"/>
    <mergeCell ref="Y71:Z71"/>
    <mergeCell ref="AA71:AB71"/>
    <mergeCell ref="I68:J68"/>
    <mergeCell ref="K68:L68"/>
    <mergeCell ref="I43:L43"/>
    <mergeCell ref="I44:L44"/>
    <mergeCell ref="Q44:T44"/>
    <mergeCell ref="Q27:R27"/>
    <mergeCell ref="S27:T27"/>
    <mergeCell ref="Y27:Z27"/>
    <mergeCell ref="Q33:R33"/>
    <mergeCell ref="S33:T33"/>
    <mergeCell ref="I31:J31"/>
    <mergeCell ref="K31:L31"/>
    <mergeCell ref="I32:J32"/>
    <mergeCell ref="Q32:R32"/>
    <mergeCell ref="S32:T32"/>
    <mergeCell ref="K32:L32"/>
    <mergeCell ref="I30:J30"/>
    <mergeCell ref="S31:T31"/>
    <mergeCell ref="Q30:R30"/>
    <mergeCell ref="S30:T30"/>
    <mergeCell ref="Q31:R31"/>
    <mergeCell ref="Q28:R28"/>
    <mergeCell ref="S28:T28"/>
    <mergeCell ref="I28:J28"/>
    <mergeCell ref="I33:J33"/>
    <mergeCell ref="K33:L33"/>
    <mergeCell ref="Y33:Z33"/>
    <mergeCell ref="Y31:Z31"/>
    <mergeCell ref="I29:J29"/>
    <mergeCell ref="I3:L3"/>
    <mergeCell ref="B12:C13"/>
    <mergeCell ref="D12:E12"/>
    <mergeCell ref="D13:E13"/>
    <mergeCell ref="B14:C15"/>
    <mergeCell ref="D14:E14"/>
    <mergeCell ref="D15:E15"/>
    <mergeCell ref="B4:E5"/>
    <mergeCell ref="B3:E3"/>
    <mergeCell ref="B6:C8"/>
    <mergeCell ref="D6:E6"/>
    <mergeCell ref="D7:E7"/>
    <mergeCell ref="D8:E8"/>
    <mergeCell ref="B9:C11"/>
    <mergeCell ref="D9:E9"/>
    <mergeCell ref="D10:E10"/>
    <mergeCell ref="D11:E11"/>
    <mergeCell ref="H4:H5"/>
    <mergeCell ref="AS74:AT74"/>
    <mergeCell ref="AU74:AV74"/>
    <mergeCell ref="BA74:BB74"/>
    <mergeCell ref="BC74:BD74"/>
    <mergeCell ref="A4:A5"/>
    <mergeCell ref="G4:G5"/>
    <mergeCell ref="A14:A15"/>
    <mergeCell ref="I4:L4"/>
    <mergeCell ref="Q4:T4"/>
    <mergeCell ref="Y4:AB4"/>
    <mergeCell ref="J5:L5"/>
    <mergeCell ref="R5:T5"/>
    <mergeCell ref="Z5:AB5"/>
    <mergeCell ref="M4:P4"/>
    <mergeCell ref="N5:P5"/>
    <mergeCell ref="A6:A8"/>
    <mergeCell ref="A9:A11"/>
    <mergeCell ref="A12:A13"/>
    <mergeCell ref="AA27:AB27"/>
    <mergeCell ref="A16:A17"/>
    <mergeCell ref="I27:J27"/>
    <mergeCell ref="K27:L27"/>
    <mergeCell ref="A18:A19"/>
    <mergeCell ref="B24:E25"/>
  </mergeCells>
  <phoneticPr fontId="7" type="noConversion"/>
  <conditionalFormatting sqref="I78 Q78 Y78 I38 Q38 Y38">
    <cfRule type="expression" dxfId="3332" priority="1881">
      <formula>I38&lt;300</formula>
    </cfRule>
    <cfRule type="expression" dxfId="3331" priority="1882">
      <formula>I38&gt;360</formula>
    </cfRule>
  </conditionalFormatting>
  <conditionalFormatting sqref="I79 Q79 Y79 Y39 I39 Q39">
    <cfRule type="expression" dxfId="3330" priority="1879">
      <formula>I39&lt;30</formula>
    </cfRule>
    <cfRule type="expression" dxfId="3329" priority="1880">
      <formula>I39&gt;50</formula>
    </cfRule>
  </conditionalFormatting>
  <conditionalFormatting sqref="AS74 AU74 BA74 BC74">
    <cfRule type="expression" dxfId="3328" priority="1445">
      <formula>AS74&lt;20</formula>
    </cfRule>
    <cfRule type="expression" dxfId="3327" priority="1446">
      <formula>AS74&gt;35</formula>
    </cfRule>
  </conditionalFormatting>
  <conditionalFormatting sqref="I32:L32 Q32:T32 Y32:AB32 I72:L72 Q72:T72 Y72:AB72">
    <cfRule type="cellIs" dxfId="3326" priority="573" operator="between">
      <formula>20</formula>
      <formula>25.9</formula>
    </cfRule>
    <cfRule type="cellIs" dxfId="3325" priority="574" operator="between">
      <formula>34.1</formula>
      <formula>35</formula>
    </cfRule>
    <cfRule type="expression" dxfId="3324" priority="575">
      <formula>I32&lt;20</formula>
    </cfRule>
    <cfRule type="expression" dxfId="3323" priority="576">
      <formula>I32&gt;35</formula>
    </cfRule>
  </conditionalFormatting>
  <conditionalFormatting sqref="I28:L29 Q28:T29 Y28:AB29 I68:L69 Q68:T69 Y68:AB69">
    <cfRule type="cellIs" dxfId="3322" priority="569" operator="between">
      <formula>50</formula>
      <formula>54.9</formula>
    </cfRule>
    <cfRule type="cellIs" dxfId="3321" priority="570" operator="between">
      <formula>65.1</formula>
      <formula>70</formula>
    </cfRule>
    <cfRule type="expression" dxfId="3320" priority="571">
      <formula>I28&lt;50</formula>
    </cfRule>
    <cfRule type="expression" dxfId="3319" priority="572">
      <formula>I28&gt;70</formula>
    </cfRule>
  </conditionalFormatting>
  <conditionalFormatting sqref="K73 K33 I33 S33 Q33 AA33 Y33 I73 S73 Q73 AA73 Y73">
    <cfRule type="cellIs" dxfId="3318" priority="560" operator="between">
      <formula>30</formula>
      <formula>30.9</formula>
    </cfRule>
    <cfRule type="cellIs" dxfId="3317" priority="561" operator="between">
      <formula>37.1</formula>
      <formula>40</formula>
    </cfRule>
    <cfRule type="expression" dxfId="3316" priority="562">
      <formula>I33&lt;30</formula>
    </cfRule>
    <cfRule type="expression" dxfId="3315" priority="563">
      <formula>I33&gt;40</formula>
    </cfRule>
  </conditionalFormatting>
  <conditionalFormatting sqref="K75 K35 S35 AA35 S75 AA75">
    <cfRule type="cellIs" dxfId="3314" priority="556" operator="between">
      <formula>80</formula>
      <formula>84.9</formula>
    </cfRule>
    <cfRule type="cellIs" dxfId="3313" priority="557" operator="between">
      <formula>95.1</formula>
      <formula>100</formula>
    </cfRule>
    <cfRule type="expression" dxfId="3312" priority="558">
      <formula>K35&lt;80</formula>
    </cfRule>
    <cfRule type="expression" dxfId="3311" priority="559">
      <formula>K35&gt;100</formula>
    </cfRule>
  </conditionalFormatting>
  <conditionalFormatting sqref="K74 K34 I34 S34 Q34 AA34 Y34 I74 S74 Q74 AA74 Y74">
    <cfRule type="expression" dxfId="3310" priority="554">
      <formula>I34&lt;50</formula>
    </cfRule>
    <cfRule type="expression" dxfId="3309" priority="555">
      <formula>I34&gt;70</formula>
    </cfRule>
  </conditionalFormatting>
  <conditionalFormatting sqref="I16 Q16 Y16 I56 Q56 Y56">
    <cfRule type="cellIs" dxfId="3308" priority="321" operator="between">
      <formula>130</formula>
      <formula>132.99</formula>
    </cfRule>
    <cfRule type="cellIs" dxfId="3307" priority="322" operator="between">
      <formula>147.1</formula>
      <formula>150</formula>
    </cfRule>
    <cfRule type="expression" dxfId="3306" priority="323">
      <formula>I16&lt;130</formula>
    </cfRule>
    <cfRule type="expression" dxfId="3305" priority="324">
      <formula>I16&gt;150</formula>
    </cfRule>
  </conditionalFormatting>
  <conditionalFormatting sqref="I17 Q17 Y17 I57 Q57 Y57">
    <cfRule type="expression" dxfId="3304" priority="319">
      <formula>I17&lt;8</formula>
    </cfRule>
    <cfRule type="expression" dxfId="3303" priority="320">
      <formula>I17&gt;12</formula>
    </cfRule>
  </conditionalFormatting>
  <conditionalFormatting sqref="I19 Q19 Y19 I59 Q59 Y59">
    <cfRule type="cellIs" dxfId="3302" priority="316" operator="between">
      <formula>1.6</formula>
      <formula>1.799</formula>
    </cfRule>
    <cfRule type="expression" dxfId="3301" priority="317">
      <formula>I19&lt;1.6</formula>
    </cfRule>
    <cfRule type="expression" dxfId="3300" priority="318">
      <formula>I19&gt;2.2</formula>
    </cfRule>
  </conditionalFormatting>
  <conditionalFormatting sqref="I21 Q21 Y21 I61 Q61 Y61">
    <cfRule type="cellIs" dxfId="3299" priority="312" operator="between">
      <formula>15%</formula>
      <formula>16.99%</formula>
    </cfRule>
    <cfRule type="cellIs" dxfId="3298" priority="313" operator="between">
      <formula>27.01%</formula>
      <formula>30%</formula>
    </cfRule>
    <cfRule type="expression" dxfId="3297" priority="314">
      <formula>I21&lt;15%</formula>
    </cfRule>
    <cfRule type="expression" dxfId="3296" priority="315">
      <formula>I21&gt;30%</formula>
    </cfRule>
  </conditionalFormatting>
  <conditionalFormatting sqref="I22 Q22 Y22 I62 Q62 Y62">
    <cfRule type="cellIs" dxfId="3295" priority="308" operator="between">
      <formula>5%</formula>
      <formula>6.99%</formula>
    </cfRule>
    <cfRule type="cellIs" dxfId="3294" priority="309" operator="between">
      <formula>12.99%</formula>
      <formula>15%</formula>
    </cfRule>
    <cfRule type="expression" dxfId="3293" priority="310">
      <formula>I22&lt;5%</formula>
    </cfRule>
    <cfRule type="expression" dxfId="3292" priority="311">
      <formula>I22&gt;15%</formula>
    </cfRule>
  </conditionalFormatting>
  <conditionalFormatting sqref="I6 I9 Q6 Q9 Y6 Y9 I46 I49 Q46 Q49 Y46 Y49">
    <cfRule type="cellIs" dxfId="3291" priority="304" operator="between">
      <formula>20</formula>
      <formula>24.99</formula>
    </cfRule>
    <cfRule type="cellIs" dxfId="3290" priority="305" operator="between">
      <formula>35.1</formula>
      <formula>40</formula>
    </cfRule>
    <cfRule type="expression" dxfId="3289" priority="306">
      <formula>I6&lt;20</formula>
    </cfRule>
    <cfRule type="expression" dxfId="3288" priority="307">
      <formula>I6&gt;40</formula>
    </cfRule>
  </conditionalFormatting>
  <conditionalFormatting sqref="I12 I14 Q12 Q14 Y12 Y14 I52 I54 Q52 Q54 Y52 Y54">
    <cfRule type="expression" dxfId="3287" priority="302" stopIfTrue="1">
      <formula>I12&gt;80</formula>
    </cfRule>
    <cfRule type="expression" dxfId="3286" priority="303" stopIfTrue="1">
      <formula>I12&lt;60</formula>
    </cfRule>
  </conditionalFormatting>
  <conditionalFormatting sqref="I20 Q20 Y20 I60 Q60 Y60">
    <cfRule type="cellIs" dxfId="3285" priority="298" operator="between">
      <formula>30%</formula>
      <formula>39.99%</formula>
    </cfRule>
    <cfRule type="cellIs" dxfId="3284" priority="299" operator="between">
      <formula>50.01%</formula>
      <formula>60%</formula>
    </cfRule>
    <cfRule type="expression" dxfId="3283" priority="300">
      <formula>I20&lt;30%</formula>
    </cfRule>
    <cfRule type="expression" dxfId="3282" priority="301">
      <formula>I20&gt;60%</formula>
    </cfRule>
  </conditionalFormatting>
  <conditionalFormatting sqref="I18 Q18 Y18 I58 Q58 Y58">
    <cfRule type="cellIs" dxfId="3281" priority="295" operator="between">
      <formula>16.1</formula>
      <formula>18</formula>
    </cfRule>
    <cfRule type="expression" dxfId="3280" priority="296">
      <formula>I18&lt;12</formula>
    </cfRule>
    <cfRule type="expression" dxfId="3279" priority="297">
      <formula>I18&gt;18</formula>
    </cfRule>
  </conditionalFormatting>
  <conditionalFormatting sqref="I23 Q23 Y23 I63 Q63 Y63">
    <cfRule type="cellIs" dxfId="3278" priority="291" operator="between">
      <formula>0.5%</formula>
      <formula>0.599%</formula>
    </cfRule>
    <cfRule type="cellIs" dxfId="3277" priority="292" operator="between">
      <formula>1.41%</formula>
      <formula>1.5%</formula>
    </cfRule>
    <cfRule type="expression" dxfId="3276" priority="293">
      <formula>I23&lt;0.5%</formula>
    </cfRule>
    <cfRule type="expression" dxfId="3275" priority="294">
      <formula>I23&gt;1.5%</formula>
    </cfRule>
  </conditionalFormatting>
  <conditionalFormatting sqref="I64 Q64 Y64 I24 Q24 Y24">
    <cfRule type="cellIs" dxfId="3274" priority="117" operator="between">
      <formula>5</formula>
      <formula>6.49</formula>
    </cfRule>
    <cfRule type="cellIs" dxfId="3273" priority="118" operator="between">
      <formula>8.51</formula>
      <formula>10</formula>
    </cfRule>
    <cfRule type="expression" dxfId="3272" priority="119">
      <formula>I24&lt;5</formula>
    </cfRule>
    <cfRule type="expression" dxfId="3271" priority="120">
      <formula>I24&gt;10</formula>
    </cfRule>
  </conditionalFormatting>
  <conditionalFormatting sqref="I70:I71 K70:K71 Q70:Q71 S70:S71 Y70:Y71 AA70:AA71 I30:I31 K30:K31 Q30:Q31 S30:S31 Y30:Y31 AA30:AA31">
    <cfRule type="expression" dxfId="3270" priority="71">
      <formula>I30&lt;45</formula>
    </cfRule>
    <cfRule type="expression" dxfId="3269" priority="72">
      <formula>I30&gt;55</formula>
    </cfRule>
  </conditionalFormatting>
  <conditionalFormatting sqref="I65 Q65 Y65 I25 Q25 Y25">
    <cfRule type="cellIs" dxfId="3268" priority="21" operator="between">
      <formula>1.8</formula>
      <formula>1.899</formula>
    </cfRule>
    <cfRule type="cellIs" dxfId="3267" priority="22" operator="between">
      <formula>2.11</formula>
      <formula>2.2</formula>
    </cfRule>
    <cfRule type="expression" dxfId="3266" priority="23">
      <formula>I25&lt;1.8</formula>
    </cfRule>
    <cfRule type="expression" dxfId="3265" priority="24">
      <formula>I25&gt;2.2</formula>
    </cfRule>
  </conditionalFormatting>
  <pageMargins left="0.28999999999999998" right="0" top="0.13" bottom="0" header="0" footer="0"/>
  <pageSetup paperSize="9" scale="4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4.xml><?xml version="1.0" encoding="utf-8"?>
<worksheet xmlns="http://schemas.openxmlformats.org/spreadsheetml/2006/main" xmlns:r="http://schemas.openxmlformats.org/officeDocument/2006/relationships">
  <sheetPr codeName="Sheet5">
    <tabColor rgb="FFFFC000"/>
  </sheetPr>
  <dimension ref="A1:AG75"/>
  <sheetViews>
    <sheetView view="pageBreakPreview" topLeftCell="A59" zoomScale="55" zoomScaleNormal="55" zoomScaleSheetLayoutView="55" workbookViewId="0">
      <selection activeCell="AE60" sqref="AE60"/>
    </sheetView>
  </sheetViews>
  <sheetFormatPr defaultRowHeight="15"/>
  <cols>
    <col min="1" max="1" width="3.625" style="245" customWidth="1"/>
    <col min="2" max="2" width="8.5" style="599" customWidth="1"/>
    <col min="3" max="3" width="3.625" style="599" customWidth="1"/>
    <col min="4" max="4" width="2.875" style="599" customWidth="1"/>
    <col min="5" max="5" width="6.25" style="599" customWidth="1"/>
    <col min="6" max="6" width="7.25" style="245" customWidth="1"/>
    <col min="7" max="7" width="14.875" style="600" customWidth="1"/>
    <col min="8" max="8" width="10.875" style="600" customWidth="1"/>
    <col min="9" max="9" width="7.875" style="245" customWidth="1"/>
    <col min="10" max="10" width="3.125" style="245" customWidth="1"/>
    <col min="11" max="11" width="8" style="245" customWidth="1"/>
    <col min="12" max="12" width="4.5" style="245" customWidth="1"/>
    <col min="13" max="13" width="7.125" style="246" customWidth="1"/>
    <col min="14" max="14" width="4.5" style="246" customWidth="1"/>
    <col min="15" max="15" width="7" style="246" customWidth="1"/>
    <col min="16" max="16" width="4.5" style="246" customWidth="1"/>
    <col min="17" max="17" width="7.375" style="245" customWidth="1"/>
    <col min="18" max="18" width="3.25" style="245" customWidth="1"/>
    <col min="19" max="19" width="8.125" style="245" customWidth="1"/>
    <col min="20" max="20" width="4.25" style="245" customWidth="1"/>
    <col min="21" max="21" width="7.5" style="246" customWidth="1"/>
    <col min="22" max="22" width="4.25" style="246" customWidth="1"/>
    <col min="23" max="23" width="7" style="246" customWidth="1"/>
    <col min="24" max="24" width="3.75" style="246" customWidth="1"/>
    <col min="25" max="25" width="7.625" style="245" customWidth="1"/>
    <col min="26" max="26" width="3.25" style="245" customWidth="1"/>
    <col min="27" max="27" width="7.75" style="245" customWidth="1"/>
    <col min="28" max="28" width="4.5" style="245" customWidth="1"/>
    <col min="29" max="29" width="7.25" style="246" customWidth="1"/>
    <col min="30" max="30" width="3.625" style="246" customWidth="1"/>
    <col min="31" max="31" width="7.125" style="246" customWidth="1"/>
    <col min="32" max="32" width="4.5" style="246" customWidth="1"/>
    <col min="33" max="33" width="12.25" style="19" customWidth="1"/>
    <col min="34" max="16384" width="9" style="19"/>
  </cols>
  <sheetData>
    <row r="1" spans="1:33" ht="28.5" customHeight="1">
      <c r="B1" s="2437" t="s">
        <v>130</v>
      </c>
      <c r="C1" s="2437"/>
      <c r="D1" s="2437"/>
      <c r="E1" s="2437"/>
      <c r="F1" s="2437"/>
      <c r="G1" s="2437"/>
      <c r="H1" s="2437"/>
      <c r="I1" s="2437"/>
      <c r="J1" s="2437"/>
      <c r="K1" s="2437"/>
      <c r="L1" s="2437"/>
      <c r="M1" s="2437"/>
      <c r="N1" s="2437"/>
      <c r="O1" s="2437"/>
      <c r="P1" s="2437"/>
      <c r="Q1" s="2437"/>
      <c r="R1" s="2437"/>
      <c r="S1" s="2437"/>
      <c r="T1" s="2437"/>
      <c r="U1" s="2437"/>
      <c r="V1" s="2437"/>
      <c r="W1" s="2437"/>
      <c r="X1" s="2437"/>
      <c r="Y1" s="2437"/>
      <c r="Z1" s="2437"/>
      <c r="AA1" s="2438"/>
      <c r="AB1" s="2438"/>
      <c r="AC1" s="2439"/>
      <c r="AD1" s="940"/>
      <c r="AE1" s="940"/>
      <c r="AF1" s="940"/>
      <c r="AG1" s="904"/>
    </row>
    <row r="2" spans="1:33" ht="46.5" customHeight="1">
      <c r="B2" s="2435" t="s">
        <v>218</v>
      </c>
      <c r="C2" s="2435"/>
      <c r="D2" s="2435"/>
      <c r="E2" s="2435"/>
      <c r="F2" s="2435"/>
      <c r="G2" s="2435"/>
      <c r="H2" s="2435"/>
      <c r="I2" s="2435"/>
      <c r="J2" s="2435"/>
      <c r="K2" s="2435"/>
      <c r="L2" s="2435"/>
      <c r="M2" s="2435"/>
      <c r="N2" s="2435"/>
      <c r="O2" s="2435"/>
      <c r="P2" s="2435"/>
      <c r="Q2" s="2435"/>
      <c r="R2" s="2435"/>
      <c r="S2" s="2435"/>
      <c r="T2" s="2435"/>
      <c r="U2" s="2435"/>
      <c r="V2" s="2435"/>
      <c r="W2" s="2435"/>
      <c r="X2" s="2435"/>
      <c r="Y2" s="2435"/>
      <c r="Z2" s="2435"/>
      <c r="AA2" s="2440"/>
      <c r="AB2" s="2440"/>
      <c r="AC2" s="2441"/>
      <c r="AD2" s="3121" t="s">
        <v>88</v>
      </c>
      <c r="AE2" s="3121"/>
      <c r="AF2" s="3122" t="s">
        <v>89</v>
      </c>
      <c r="AG2" s="3123"/>
    </row>
    <row r="3" spans="1:33" ht="45.75" customHeight="1">
      <c r="A3" s="963"/>
      <c r="B3" s="3103" t="s">
        <v>214</v>
      </c>
      <c r="C3" s="3103"/>
      <c r="D3" s="581"/>
      <c r="E3" s="582"/>
      <c r="F3" s="964"/>
      <c r="G3" s="1394" t="s">
        <v>1623</v>
      </c>
      <c r="H3" s="1819" t="str">
        <f>MENU!$AC$9</f>
        <v>Thứ 4,</v>
      </c>
      <c r="I3" s="3089" t="str">
        <f>MENU!$AD$9</f>
        <v>2024/05/22</v>
      </c>
      <c r="J3" s="3152"/>
      <c r="K3" s="3152"/>
      <c r="L3" s="3152"/>
      <c r="M3" s="936"/>
      <c r="N3" s="936"/>
      <c r="O3" s="936"/>
      <c r="P3" s="936"/>
      <c r="Q3" s="583"/>
      <c r="R3" s="966"/>
      <c r="S3" s="966"/>
      <c r="Z3" s="967"/>
      <c r="AA3" s="3150"/>
      <c r="AB3" s="3150"/>
      <c r="AC3" s="942"/>
      <c r="AD3" s="3124" t="str">
        <f>MENU!AE6</f>
        <v>Mi</v>
      </c>
      <c r="AE3" s="3124"/>
      <c r="AF3" s="3128" t="s">
        <v>11</v>
      </c>
      <c r="AG3" s="3129"/>
    </row>
    <row r="4" spans="1:33" s="52" customFormat="1" ht="51" customHeight="1">
      <c r="A4" s="3134" t="s">
        <v>7</v>
      </c>
      <c r="B4" s="3097" t="s">
        <v>76</v>
      </c>
      <c r="C4" s="3098"/>
      <c r="D4" s="3098"/>
      <c r="E4" s="3099"/>
      <c r="F4" s="3133" t="s">
        <v>124</v>
      </c>
      <c r="G4" s="3059" t="s">
        <v>1310</v>
      </c>
      <c r="H4" s="3109" t="s">
        <v>1302</v>
      </c>
      <c r="I4" s="3155">
        <v>0.30208333333333331</v>
      </c>
      <c r="J4" s="3065"/>
      <c r="K4" s="3065"/>
      <c r="L4" s="3066"/>
      <c r="M4" s="3073" t="s">
        <v>939</v>
      </c>
      <c r="N4" s="3074"/>
      <c r="O4" s="3074"/>
      <c r="P4" s="3075"/>
      <c r="Q4" s="3064">
        <v>0.46875</v>
      </c>
      <c r="R4" s="3065"/>
      <c r="S4" s="3065"/>
      <c r="T4" s="3066"/>
      <c r="U4" s="3073" t="s">
        <v>939</v>
      </c>
      <c r="V4" s="3074"/>
      <c r="W4" s="3074"/>
      <c r="X4" s="3075"/>
      <c r="Y4" s="3151">
        <v>0.63541666666666663</v>
      </c>
      <c r="Z4" s="3133"/>
      <c r="AA4" s="3133"/>
      <c r="AB4" s="3133"/>
      <c r="AC4" s="3073" t="s">
        <v>939</v>
      </c>
      <c r="AD4" s="3074"/>
      <c r="AE4" s="3074"/>
      <c r="AF4" s="3075"/>
      <c r="AG4" s="3157" t="s">
        <v>90</v>
      </c>
    </row>
    <row r="5" spans="1:33" s="52" customFormat="1" ht="51" customHeight="1">
      <c r="A5" s="3134"/>
      <c r="B5" s="3100"/>
      <c r="C5" s="3101"/>
      <c r="D5" s="3101"/>
      <c r="E5" s="3102"/>
      <c r="F5" s="3134"/>
      <c r="G5" s="3060"/>
      <c r="H5" s="3110"/>
      <c r="I5" s="2209" t="s">
        <v>129</v>
      </c>
      <c r="J5" s="3070" t="s">
        <v>1</v>
      </c>
      <c r="K5" s="3071"/>
      <c r="L5" s="3072"/>
      <c r="M5" s="907" t="s">
        <v>943</v>
      </c>
      <c r="N5" s="3076" t="s">
        <v>1</v>
      </c>
      <c r="O5" s="3076"/>
      <c r="P5" s="3077"/>
      <c r="Q5" s="950" t="s">
        <v>129</v>
      </c>
      <c r="R5" s="3070" t="s">
        <v>1</v>
      </c>
      <c r="S5" s="3071"/>
      <c r="T5" s="3072"/>
      <c r="U5" s="907" t="s">
        <v>943</v>
      </c>
      <c r="V5" s="3076" t="s">
        <v>1</v>
      </c>
      <c r="W5" s="3076"/>
      <c r="X5" s="3077"/>
      <c r="Y5" s="968" t="s">
        <v>129</v>
      </c>
      <c r="Z5" s="3134" t="s">
        <v>1</v>
      </c>
      <c r="AA5" s="3134"/>
      <c r="AB5" s="3134"/>
      <c r="AC5" s="907" t="s">
        <v>943</v>
      </c>
      <c r="AD5" s="3076" t="s">
        <v>1</v>
      </c>
      <c r="AE5" s="3076"/>
      <c r="AF5" s="3077"/>
      <c r="AG5" s="3157"/>
    </row>
    <row r="6" spans="1:33" ht="51" customHeight="1">
      <c r="A6" s="3138">
        <v>1</v>
      </c>
      <c r="B6" s="3097" t="s">
        <v>131</v>
      </c>
      <c r="C6" s="3104"/>
      <c r="D6" s="3093" t="s">
        <v>230</v>
      </c>
      <c r="E6" s="3094"/>
      <c r="F6" s="47" t="s">
        <v>4</v>
      </c>
      <c r="G6" s="898" t="str">
        <f>'XM.FILE GOC'!$E$43</f>
        <v>60~80</v>
      </c>
      <c r="H6" s="2222" t="str">
        <f>'XM.FILE GOC'!$F$43</f>
        <v>(70±5)</v>
      </c>
      <c r="I6" s="2225">
        <f>'XM.FILE GOC'!I43</f>
        <v>70.416499999999999</v>
      </c>
      <c r="J6" s="59" t="s">
        <v>8</v>
      </c>
      <c r="K6" s="587">
        <f>'XM.FILE GOC'!L43</f>
        <v>0</v>
      </c>
      <c r="L6" s="588" t="s">
        <v>9</v>
      </c>
      <c r="M6" s="908"/>
      <c r="N6" s="909"/>
      <c r="O6" s="935"/>
      <c r="P6" s="910"/>
      <c r="Q6" s="1404">
        <f>'XM.FILE GOC'!P43</f>
        <v>70.416499999999999</v>
      </c>
      <c r="R6" s="59" t="s">
        <v>8</v>
      </c>
      <c r="S6" s="587">
        <f>'XM.FILE GOC'!S43</f>
        <v>0</v>
      </c>
      <c r="T6" s="588" t="s">
        <v>9</v>
      </c>
      <c r="U6" s="908"/>
      <c r="V6" s="909"/>
      <c r="W6" s="935"/>
      <c r="X6" s="910"/>
      <c r="Y6" s="1404">
        <f>'XM.FILE GOC'!W43</f>
        <v>68.144999999999996</v>
      </c>
      <c r="Z6" s="59" t="s">
        <v>8</v>
      </c>
      <c r="AA6" s="587">
        <f>'XM.FILE GOC'!Z43</f>
        <v>4.9955150000000099</v>
      </c>
      <c r="AB6" s="588" t="s">
        <v>9</v>
      </c>
      <c r="AC6" s="908">
        <v>70.2</v>
      </c>
      <c r="AD6" s="909" t="s">
        <v>8</v>
      </c>
      <c r="AE6" s="935">
        <f>('XM.FILE GOC'!$G$43-AC6)*2693/1000</f>
        <v>-0.53860000000000763</v>
      </c>
      <c r="AF6" s="910" t="s">
        <v>9</v>
      </c>
      <c r="AG6" s="72" t="s">
        <v>12</v>
      </c>
    </row>
    <row r="7" spans="1:33" ht="51" customHeight="1">
      <c r="A7" s="3147"/>
      <c r="B7" s="3154"/>
      <c r="C7" s="3106"/>
      <c r="D7" s="3093" t="s">
        <v>231</v>
      </c>
      <c r="E7" s="3094"/>
      <c r="F7" s="264"/>
      <c r="G7" s="898" t="s">
        <v>949</v>
      </c>
      <c r="H7" s="2222"/>
      <c r="I7" s="2211"/>
      <c r="J7" s="59"/>
      <c r="K7" s="954">
        <f>K6/25*7.5</f>
        <v>0</v>
      </c>
      <c r="L7" s="588" t="s">
        <v>10</v>
      </c>
      <c r="M7" s="908"/>
      <c r="N7" s="911"/>
      <c r="O7" s="1593"/>
      <c r="P7" s="912"/>
      <c r="Q7" s="1683"/>
      <c r="R7" s="59"/>
      <c r="S7" s="954">
        <f>S6/25*7.5</f>
        <v>0</v>
      </c>
      <c r="T7" s="588" t="s">
        <v>10</v>
      </c>
      <c r="U7" s="908"/>
      <c r="V7" s="911"/>
      <c r="W7" s="1593"/>
      <c r="X7" s="912"/>
      <c r="Y7" s="1683"/>
      <c r="Z7" s="59"/>
      <c r="AA7" s="954">
        <f>AA6/25*7.5</f>
        <v>1.4986545000000031</v>
      </c>
      <c r="AB7" s="588" t="s">
        <v>10</v>
      </c>
      <c r="AC7" s="908"/>
      <c r="AD7" s="911" t="s">
        <v>8</v>
      </c>
      <c r="AE7" s="1593">
        <f>AE6/25*7.5</f>
        <v>-0.16158000000000231</v>
      </c>
      <c r="AF7" s="912" t="s">
        <v>10</v>
      </c>
      <c r="AG7" s="271"/>
    </row>
    <row r="8" spans="1:33" ht="51" customHeight="1">
      <c r="A8" s="3138">
        <v>2</v>
      </c>
      <c r="B8" s="3097" t="s">
        <v>132</v>
      </c>
      <c r="C8" s="3104"/>
      <c r="D8" s="3093" t="s">
        <v>230</v>
      </c>
      <c r="E8" s="3094"/>
      <c r="F8" s="47" t="s">
        <v>4</v>
      </c>
      <c r="G8" s="898" t="str">
        <f>'XM.FILE GOC'!$E$45</f>
        <v>60~80</v>
      </c>
      <c r="H8" s="2222" t="str">
        <f>'XM.FILE GOC'!$F$45</f>
        <v>(70±5)</v>
      </c>
      <c r="I8" s="2225">
        <f>'XM.FILE GOC'!I45</f>
        <v>72.688000000000002</v>
      </c>
      <c r="J8" s="59" t="s">
        <v>8</v>
      </c>
      <c r="K8" s="587">
        <f>'XM.FILE GOC'!L45</f>
        <v>0</v>
      </c>
      <c r="L8" s="588" t="s">
        <v>9</v>
      </c>
      <c r="M8" s="908"/>
      <c r="N8" s="909"/>
      <c r="O8" s="1594"/>
      <c r="P8" s="910"/>
      <c r="Q8" s="1404">
        <f>'XM.FILE GOC'!P45</f>
        <v>72.688000000000002</v>
      </c>
      <c r="R8" s="59" t="s">
        <v>8</v>
      </c>
      <c r="S8" s="587">
        <f>'XM.FILE GOC'!S45</f>
        <v>0</v>
      </c>
      <c r="T8" s="588" t="s">
        <v>9</v>
      </c>
      <c r="U8" s="908"/>
      <c r="V8" s="909"/>
      <c r="W8" s="1594"/>
      <c r="X8" s="910"/>
      <c r="Y8" s="1404">
        <f>'XM.FILE GOC'!W45</f>
        <v>71.714500000000001</v>
      </c>
      <c r="Z8" s="59" t="s">
        <v>8</v>
      </c>
      <c r="AA8" s="587">
        <f>'XM.FILE GOC'!Z45</f>
        <v>0</v>
      </c>
      <c r="AB8" s="588" t="s">
        <v>9</v>
      </c>
      <c r="AC8" s="908"/>
      <c r="AD8" s="909"/>
      <c r="AE8" s="1594"/>
      <c r="AF8" s="910"/>
      <c r="AG8" s="72" t="s">
        <v>12</v>
      </c>
    </row>
    <row r="9" spans="1:33" ht="51" customHeight="1">
      <c r="A9" s="3147"/>
      <c r="B9" s="3154"/>
      <c r="C9" s="3106"/>
      <c r="D9" s="3093" t="s">
        <v>231</v>
      </c>
      <c r="E9" s="3094"/>
      <c r="F9" s="264"/>
      <c r="G9" s="898" t="s">
        <v>949</v>
      </c>
      <c r="H9" s="2222"/>
      <c r="I9" s="2211"/>
      <c r="J9" s="59"/>
      <c r="K9" s="954">
        <f>K8/25*7.5</f>
        <v>0</v>
      </c>
      <c r="L9" s="588" t="s">
        <v>10</v>
      </c>
      <c r="M9" s="908"/>
      <c r="N9" s="911"/>
      <c r="O9" s="1593"/>
      <c r="P9" s="912"/>
      <c r="Q9" s="1683"/>
      <c r="R9" s="59"/>
      <c r="S9" s="954">
        <f>S8/25*7.5</f>
        <v>0</v>
      </c>
      <c r="T9" s="588" t="s">
        <v>10</v>
      </c>
      <c r="U9" s="908"/>
      <c r="V9" s="911"/>
      <c r="W9" s="1593"/>
      <c r="X9" s="912"/>
      <c r="Y9" s="1683"/>
      <c r="Z9" s="59"/>
      <c r="AA9" s="954">
        <f>AA8/25*7.5</f>
        <v>0</v>
      </c>
      <c r="AB9" s="588" t="s">
        <v>10</v>
      </c>
      <c r="AC9" s="908"/>
      <c r="AD9" s="911"/>
      <c r="AE9" s="1593"/>
      <c r="AF9" s="912"/>
      <c r="AG9" s="271"/>
    </row>
    <row r="10" spans="1:33" ht="51" customHeight="1">
      <c r="A10" s="3138">
        <v>3</v>
      </c>
      <c r="B10" s="3091" t="s">
        <v>133</v>
      </c>
      <c r="C10" s="3092"/>
      <c r="D10" s="3095" t="s">
        <v>232</v>
      </c>
      <c r="E10" s="3096" t="s">
        <v>232</v>
      </c>
      <c r="F10" s="47" t="s">
        <v>4</v>
      </c>
      <c r="G10" s="898" t="str">
        <f>'XM.FILE GOC'!$E$47</f>
        <v>50~70</v>
      </c>
      <c r="H10" s="2222" t="str">
        <f>'XM.FILE GOC'!$F$47</f>
        <v>(60±10)</v>
      </c>
      <c r="I10" s="2225">
        <f>'XM.FILE GOC'!I47</f>
        <v>62.601000000000006</v>
      </c>
      <c r="J10" s="59" t="s">
        <v>8</v>
      </c>
      <c r="K10" s="587">
        <f>'XM.FILE GOC'!L47</f>
        <v>0</v>
      </c>
      <c r="L10" s="588" t="s">
        <v>9</v>
      </c>
      <c r="M10" s="908"/>
      <c r="N10" s="909"/>
      <c r="O10" s="1594"/>
      <c r="P10" s="910"/>
      <c r="Q10" s="1404">
        <f>'XM.FILE GOC'!P47</f>
        <v>63.063000000000002</v>
      </c>
      <c r="R10" s="59" t="s">
        <v>8</v>
      </c>
      <c r="S10" s="587">
        <f>'XM.FILE GOC'!S47</f>
        <v>0</v>
      </c>
      <c r="T10" s="588" t="s">
        <v>9</v>
      </c>
      <c r="U10" s="908"/>
      <c r="V10" s="909"/>
      <c r="W10" s="1594"/>
      <c r="X10" s="910"/>
      <c r="Y10" s="1404">
        <f>'XM.FILE GOC'!W47</f>
        <v>64.680000000000007</v>
      </c>
      <c r="Z10" s="59" t="s">
        <v>8</v>
      </c>
      <c r="AA10" s="587">
        <f>'XM.FILE GOC'!Z47</f>
        <v>0</v>
      </c>
      <c r="AB10" s="588" t="s">
        <v>9</v>
      </c>
      <c r="AC10" s="908"/>
      <c r="AD10" s="909"/>
      <c r="AE10" s="1594"/>
      <c r="AF10" s="910"/>
      <c r="AG10" s="72" t="s">
        <v>12</v>
      </c>
    </row>
    <row r="11" spans="1:33" ht="51" customHeight="1">
      <c r="A11" s="3146"/>
      <c r="B11" s="3092"/>
      <c r="C11" s="3092"/>
      <c r="D11" s="3095" t="s">
        <v>233</v>
      </c>
      <c r="E11" s="3096" t="s">
        <v>233</v>
      </c>
      <c r="F11" s="264"/>
      <c r="G11" s="898" t="s">
        <v>988</v>
      </c>
      <c r="H11" s="2222"/>
      <c r="I11" s="2211"/>
      <c r="J11" s="59"/>
      <c r="K11" s="954">
        <f>K10/25*7</f>
        <v>0</v>
      </c>
      <c r="L11" s="588" t="s">
        <v>10</v>
      </c>
      <c r="M11" s="908"/>
      <c r="N11" s="911"/>
      <c r="O11" s="1593"/>
      <c r="P11" s="912"/>
      <c r="Q11" s="1683"/>
      <c r="R11" s="59"/>
      <c r="S11" s="954">
        <f>S10/25*7</f>
        <v>0</v>
      </c>
      <c r="T11" s="588" t="s">
        <v>10</v>
      </c>
      <c r="U11" s="908"/>
      <c r="V11" s="911"/>
      <c r="W11" s="1593"/>
      <c r="X11" s="912"/>
      <c r="Y11" s="1683"/>
      <c r="Z11" s="59"/>
      <c r="AA11" s="954">
        <f>AA10/25*7</f>
        <v>0</v>
      </c>
      <c r="AB11" s="588" t="s">
        <v>10</v>
      </c>
      <c r="AC11" s="908"/>
      <c r="AD11" s="911"/>
      <c r="AE11" s="1593"/>
      <c r="AF11" s="912"/>
      <c r="AG11" s="20"/>
    </row>
    <row r="12" spans="1:33" ht="51" customHeight="1">
      <c r="A12" s="3138">
        <v>4</v>
      </c>
      <c r="B12" s="3091" t="s">
        <v>134</v>
      </c>
      <c r="C12" s="3092"/>
      <c r="D12" s="3095" t="s">
        <v>232</v>
      </c>
      <c r="E12" s="3096" t="s">
        <v>232</v>
      </c>
      <c r="F12" s="47" t="s">
        <v>4</v>
      </c>
      <c r="G12" s="898" t="str">
        <f>'XM.FILE GOC'!$E$49</f>
        <v>50~70</v>
      </c>
      <c r="H12" s="2222" t="str">
        <f>'XM.FILE GOC'!$F$49</f>
        <v>(60±10)</v>
      </c>
      <c r="I12" s="2225">
        <f>'XM.FILE GOC'!I49</f>
        <v>62.138999999999996</v>
      </c>
      <c r="J12" s="59" t="s">
        <v>8</v>
      </c>
      <c r="K12" s="587">
        <f>'XM.FILE GOC'!L49</f>
        <v>0</v>
      </c>
      <c r="L12" s="588" t="s">
        <v>9</v>
      </c>
      <c r="M12" s="908"/>
      <c r="N12" s="909"/>
      <c r="O12" s="1594"/>
      <c r="P12" s="910"/>
      <c r="Q12" s="1404">
        <f>'XM.FILE GOC'!P49</f>
        <v>60.291000000000004</v>
      </c>
      <c r="R12" s="59" t="s">
        <v>8</v>
      </c>
      <c r="S12" s="587">
        <f>'XM.FILE GOC'!S49</f>
        <v>0</v>
      </c>
      <c r="T12" s="588" t="s">
        <v>9</v>
      </c>
      <c r="U12" s="908"/>
      <c r="V12" s="909"/>
      <c r="W12" s="1594"/>
      <c r="X12" s="910"/>
      <c r="Y12" s="1404">
        <f>'XM.FILE GOC'!W49</f>
        <v>60.06</v>
      </c>
      <c r="Z12" s="59" t="s">
        <v>8</v>
      </c>
      <c r="AA12" s="587">
        <f>'XM.FILE GOC'!Z49</f>
        <v>0</v>
      </c>
      <c r="AB12" s="588" t="s">
        <v>9</v>
      </c>
      <c r="AC12" s="908"/>
      <c r="AD12" s="909"/>
      <c r="AE12" s="1594"/>
      <c r="AF12" s="910"/>
      <c r="AG12" s="72" t="s">
        <v>12</v>
      </c>
    </row>
    <row r="13" spans="1:33" ht="51" customHeight="1">
      <c r="A13" s="3146"/>
      <c r="B13" s="3092"/>
      <c r="C13" s="3092"/>
      <c r="D13" s="3095" t="s">
        <v>233</v>
      </c>
      <c r="E13" s="3096" t="s">
        <v>233</v>
      </c>
      <c r="F13" s="264"/>
      <c r="G13" s="898" t="s">
        <v>988</v>
      </c>
      <c r="H13" s="2222"/>
      <c r="I13" s="2211"/>
      <c r="J13" s="59"/>
      <c r="K13" s="954">
        <f>K12/25*7</f>
        <v>0</v>
      </c>
      <c r="L13" s="588" t="s">
        <v>10</v>
      </c>
      <c r="M13" s="908"/>
      <c r="N13" s="911"/>
      <c r="O13" s="1593"/>
      <c r="P13" s="912"/>
      <c r="Q13" s="1683"/>
      <c r="R13" s="59"/>
      <c r="S13" s="954">
        <f>S12/25*7</f>
        <v>0</v>
      </c>
      <c r="T13" s="588" t="s">
        <v>10</v>
      </c>
      <c r="U13" s="908"/>
      <c r="V13" s="911"/>
      <c r="W13" s="1593"/>
      <c r="X13" s="912"/>
      <c r="Y13" s="1683"/>
      <c r="Z13" s="59"/>
      <c r="AA13" s="954">
        <f>AA12/25*7</f>
        <v>0</v>
      </c>
      <c r="AB13" s="588" t="s">
        <v>10</v>
      </c>
      <c r="AC13" s="908"/>
      <c r="AD13" s="911"/>
      <c r="AE13" s="1593"/>
      <c r="AF13" s="912"/>
      <c r="AG13" s="20"/>
    </row>
    <row r="14" spans="1:33" ht="51" customHeight="1">
      <c r="A14" s="47">
        <v>5</v>
      </c>
      <c r="B14" s="3095" t="s">
        <v>79</v>
      </c>
      <c r="C14" s="3120"/>
      <c r="D14" s="3120"/>
      <c r="E14" s="3096"/>
      <c r="F14" s="47" t="s">
        <v>4</v>
      </c>
      <c r="G14" s="898" t="str">
        <f>'XM.FILE GOC'!$E$51</f>
        <v>130 - 150</v>
      </c>
      <c r="H14" s="2222" t="str">
        <f>'XM.FILE GOC'!$F$51</f>
        <v>(140±7)</v>
      </c>
      <c r="I14" s="2214">
        <f>'XM.FILE GOC'!I51</f>
        <v>144</v>
      </c>
      <c r="J14" s="59" t="s">
        <v>8</v>
      </c>
      <c r="K14" s="587">
        <f>'XM.FILE GOC'!L51</f>
        <v>0</v>
      </c>
      <c r="L14" s="588" t="s">
        <v>9</v>
      </c>
      <c r="M14" s="908"/>
      <c r="N14" s="909"/>
      <c r="O14" s="935"/>
      <c r="P14" s="910"/>
      <c r="Q14" s="1762">
        <f>'XM.FILE GOC'!P51</f>
        <v>141.6</v>
      </c>
      <c r="R14" s="59" t="s">
        <v>8</v>
      </c>
      <c r="S14" s="587">
        <f>'XM.FILE GOC'!S51</f>
        <v>0</v>
      </c>
      <c r="T14" s="588" t="s">
        <v>9</v>
      </c>
      <c r="U14" s="908"/>
      <c r="V14" s="909"/>
      <c r="W14" s="935"/>
      <c r="X14" s="910"/>
      <c r="Y14" s="1429">
        <f>'XM.FILE GOC'!W51</f>
        <v>141.19999999999999</v>
      </c>
      <c r="Z14" s="59" t="s">
        <v>8</v>
      </c>
      <c r="AA14" s="587">
        <f>'XM.FILE GOC'!Z51</f>
        <v>0</v>
      </c>
      <c r="AB14" s="588" t="s">
        <v>9</v>
      </c>
      <c r="AC14" s="908"/>
      <c r="AD14" s="909"/>
      <c r="AE14" s="935"/>
      <c r="AF14" s="910"/>
      <c r="AG14" s="72" t="s">
        <v>13</v>
      </c>
    </row>
    <row r="15" spans="1:33" ht="51" customHeight="1">
      <c r="A15" s="47">
        <v>6</v>
      </c>
      <c r="B15" s="3095" t="s">
        <v>57</v>
      </c>
      <c r="C15" s="3120"/>
      <c r="D15" s="3120"/>
      <c r="E15" s="3096"/>
      <c r="F15" s="47" t="s">
        <v>4</v>
      </c>
      <c r="G15" s="898" t="str">
        <f>'XM.FILE GOC'!$E$52</f>
        <v>8~12</v>
      </c>
      <c r="H15" s="2222" t="str">
        <f>'XM.FILE GOC'!$F$52</f>
        <v>(10±2)</v>
      </c>
      <c r="I15" s="2216">
        <f>'XM.FILE GOC'!I52</f>
        <v>10.270000000000001</v>
      </c>
      <c r="J15" s="951" t="s">
        <v>8</v>
      </c>
      <c r="K15" s="952">
        <f>'XM.FILE GOC'!L52</f>
        <v>0</v>
      </c>
      <c r="L15" s="18" t="s">
        <v>9</v>
      </c>
      <c r="M15" s="908"/>
      <c r="N15" s="909"/>
      <c r="O15" s="935"/>
      <c r="P15" s="910"/>
      <c r="Q15" s="1738">
        <f>'XM.FILE GOC'!P52</f>
        <v>10.66</v>
      </c>
      <c r="R15" s="59" t="s">
        <v>8</v>
      </c>
      <c r="S15" s="587">
        <f>'XM.FILE GOC'!S52</f>
        <v>0</v>
      </c>
      <c r="T15" s="18" t="s">
        <v>9</v>
      </c>
      <c r="U15" s="908"/>
      <c r="V15" s="909"/>
      <c r="W15" s="935"/>
      <c r="X15" s="910"/>
      <c r="Y15" s="595">
        <f>'XM.FILE GOC'!W52</f>
        <v>10.790000000000001</v>
      </c>
      <c r="Z15" s="951" t="s">
        <v>8</v>
      </c>
      <c r="AA15" s="952">
        <f>'XM.FILE GOC'!Z52</f>
        <v>0</v>
      </c>
      <c r="AB15" s="18" t="s">
        <v>9</v>
      </c>
      <c r="AC15" s="908"/>
      <c r="AD15" s="909"/>
      <c r="AE15" s="935"/>
      <c r="AF15" s="910"/>
      <c r="AG15" s="72" t="s">
        <v>14</v>
      </c>
    </row>
    <row r="16" spans="1:33" ht="51" customHeight="1">
      <c r="A16" s="3138">
        <v>7</v>
      </c>
      <c r="B16" s="3097" t="s">
        <v>946</v>
      </c>
      <c r="C16" s="3098"/>
      <c r="D16" s="3098"/>
      <c r="E16" s="3099"/>
      <c r="F16" s="47" t="s">
        <v>3</v>
      </c>
      <c r="G16" s="898" t="str">
        <f>'XM.FILE GOC'!$E$53</f>
        <v xml:space="preserve">6~10 </v>
      </c>
      <c r="H16" s="2222" t="str">
        <f>'XM.FILE GOC'!$F$53</f>
        <v>(7±1)</v>
      </c>
      <c r="I16" s="2216">
        <f>'XM.FILE GOC'!I53</f>
        <v>6.58</v>
      </c>
      <c r="J16" s="951" t="s">
        <v>8</v>
      </c>
      <c r="K16" s="952">
        <f>'XM.FILE GOC'!L53</f>
        <v>2.4149999999999996</v>
      </c>
      <c r="L16" s="953"/>
      <c r="M16" s="908">
        <v>6.8</v>
      </c>
      <c r="N16" s="911" t="s">
        <v>8</v>
      </c>
      <c r="O16" s="935">
        <f>('XM.FILE GOC'!$G$53-M16)*575/108</f>
        <v>1.0648148148148158</v>
      </c>
      <c r="P16" s="912" t="s">
        <v>10</v>
      </c>
      <c r="Q16" s="1738">
        <f>'XM.FILE GOC'!P53</f>
        <v>6.85</v>
      </c>
      <c r="R16" s="951" t="s">
        <v>8</v>
      </c>
      <c r="S16" s="952">
        <f>'XM.FILE GOC'!S53</f>
        <v>0.86250000000000204</v>
      </c>
      <c r="T16" s="953" t="s">
        <v>10</v>
      </c>
      <c r="U16" s="908">
        <v>7</v>
      </c>
      <c r="V16" s="911" t="s">
        <v>8</v>
      </c>
      <c r="W16" s="935">
        <f>('XM.FILE GOC'!$G$53-U16)*575/108</f>
        <v>0</v>
      </c>
      <c r="X16" s="912" t="s">
        <v>10</v>
      </c>
      <c r="Y16" s="595">
        <f>'XM.FILE GOC'!W53</f>
        <v>7.1</v>
      </c>
      <c r="Z16" s="59" t="s">
        <v>8</v>
      </c>
      <c r="AA16" s="587">
        <f>'XM.FILE GOC'!Z53</f>
        <v>0</v>
      </c>
      <c r="AB16" s="588" t="s">
        <v>10</v>
      </c>
      <c r="AC16" s="908"/>
      <c r="AD16" s="911"/>
      <c r="AE16" s="935"/>
      <c r="AF16" s="912"/>
      <c r="AG16" s="72"/>
    </row>
    <row r="17" spans="1:33" ht="51" customHeight="1">
      <c r="A17" s="3146"/>
      <c r="B17" s="3100"/>
      <c r="C17" s="3101"/>
      <c r="D17" s="3101"/>
      <c r="E17" s="3102"/>
      <c r="F17" s="47" t="s">
        <v>5</v>
      </c>
      <c r="G17" s="898" t="str">
        <f>'XM.FILE GOC'!$E$54</f>
        <v>2~2.5</v>
      </c>
      <c r="H17" s="2222" t="str">
        <f>'XM.FILE GOC'!$F$54</f>
        <v>(2.3±0.1 )</v>
      </c>
      <c r="I17" s="2216">
        <f>'XM.FILE GOC'!I54</f>
        <v>2.2999999999999998</v>
      </c>
      <c r="J17" s="955"/>
      <c r="K17" s="952">
        <f>'XM.FILE GOC'!L54</f>
        <v>0</v>
      </c>
      <c r="L17" s="956"/>
      <c r="M17" s="908"/>
      <c r="N17" s="913"/>
      <c r="O17" s="937"/>
      <c r="P17" s="914"/>
      <c r="Q17" s="1738">
        <f>'XM.FILE GOC'!P54</f>
        <v>2.2799999999999998</v>
      </c>
      <c r="R17" s="955"/>
      <c r="S17" s="952">
        <f>'XM.FILE GOC'!S54</f>
        <v>0</v>
      </c>
      <c r="T17" s="956"/>
      <c r="U17" s="908"/>
      <c r="V17" s="913"/>
      <c r="W17" s="937"/>
      <c r="X17" s="914"/>
      <c r="Y17" s="595">
        <f>'XM.FILE GOC'!W54</f>
        <v>2.2599999999999998</v>
      </c>
      <c r="Z17" s="955"/>
      <c r="AA17" s="952">
        <f>'XM.FILE GOC'!Z54</f>
        <v>0</v>
      </c>
      <c r="AB17" s="588"/>
      <c r="AC17" s="908"/>
      <c r="AD17" s="913"/>
      <c r="AE17" s="937"/>
      <c r="AF17" s="914"/>
      <c r="AG17" s="20"/>
    </row>
    <row r="18" spans="1:33" ht="51" customHeight="1">
      <c r="A18" s="47">
        <v>8</v>
      </c>
      <c r="B18" s="3095" t="s">
        <v>58</v>
      </c>
      <c r="C18" s="3120"/>
      <c r="D18" s="3120"/>
      <c r="E18" s="3096"/>
      <c r="F18" s="960" t="s">
        <v>6</v>
      </c>
      <c r="G18" s="898" t="str">
        <f>'XM.FILE GOC'!$E$55</f>
        <v xml:space="preserve">40~50 </v>
      </c>
      <c r="H18" s="2222" t="str">
        <f>'XM.FILE GOC'!$F$55</f>
        <v>(45±5)</v>
      </c>
      <c r="I18" s="2217">
        <f>'XM.FILE GOC'!I55</f>
        <v>0.43914062500000001</v>
      </c>
      <c r="J18" s="59" t="s">
        <v>8</v>
      </c>
      <c r="K18" s="587">
        <f>'XM.FILE GOC'!L55</f>
        <v>23.04359375000001</v>
      </c>
      <c r="L18" s="588" t="s">
        <v>10</v>
      </c>
      <c r="M18" s="915">
        <v>0.45500000000000002</v>
      </c>
      <c r="N18" s="909" t="s">
        <v>8</v>
      </c>
      <c r="O18" s="935">
        <f>('XM.FILE GOC'!$G$55-M18)*2122</f>
        <v>-10.61000000000001</v>
      </c>
      <c r="P18" s="910" t="s">
        <v>10</v>
      </c>
      <c r="Q18" s="1743">
        <f>'XM.FILE GOC'!P55</f>
        <v>0.46765624999999994</v>
      </c>
      <c r="R18" s="59" t="s">
        <v>8</v>
      </c>
      <c r="S18" s="587">
        <f>'XM.FILE GOC'!S55</f>
        <v>0</v>
      </c>
      <c r="T18" s="588" t="s">
        <v>10</v>
      </c>
      <c r="U18" s="915"/>
      <c r="V18" s="909"/>
      <c r="W18" s="935"/>
      <c r="X18" s="910"/>
      <c r="Y18" s="300">
        <f>'XM.FILE GOC'!W55</f>
        <v>0.45624999999999999</v>
      </c>
      <c r="Z18" s="59" t="s">
        <v>8</v>
      </c>
      <c r="AA18" s="587">
        <f>'XM.FILE GOC'!Z55</f>
        <v>0</v>
      </c>
      <c r="AB18" s="588" t="s">
        <v>10</v>
      </c>
      <c r="AC18" s="915"/>
      <c r="AD18" s="909"/>
      <c r="AE18" s="935"/>
      <c r="AF18" s="910"/>
      <c r="AG18" s="72" t="s">
        <v>15</v>
      </c>
    </row>
    <row r="19" spans="1:33" ht="51" hidden="1" customHeight="1">
      <c r="A19" s="47">
        <v>9</v>
      </c>
      <c r="B19" s="3095" t="s">
        <v>59</v>
      </c>
      <c r="C19" s="3120"/>
      <c r="D19" s="3120"/>
      <c r="E19" s="3096"/>
      <c r="F19" s="960" t="s">
        <v>6</v>
      </c>
      <c r="G19" s="898" t="str">
        <f>'XM.FILE GOC'!$E$56</f>
        <v>(22±5) =17~27</v>
      </c>
      <c r="H19" s="2222" t="str">
        <f>'XM.FILE GOC'!$F$56</f>
        <v>(22±5)</v>
      </c>
      <c r="I19" s="2217">
        <f>'XM.FILE GOC'!I56</f>
        <v>0</v>
      </c>
      <c r="J19" s="59" t="s">
        <v>8</v>
      </c>
      <c r="K19" s="587">
        <f>'XM.FILE GOC'!L56</f>
        <v>134.64000000000001</v>
      </c>
      <c r="L19" s="588" t="s">
        <v>10</v>
      </c>
      <c r="M19" s="915"/>
      <c r="N19" s="909" t="s">
        <v>8</v>
      </c>
      <c r="O19" s="935">
        <f>('XM.FILE GOC'!$G$56-M19)*612</f>
        <v>134.64000000000001</v>
      </c>
      <c r="P19" s="910" t="s">
        <v>10</v>
      </c>
      <c r="Q19" s="1743">
        <f>'XM.FILE GOC'!P56</f>
        <v>0</v>
      </c>
      <c r="R19" s="59" t="s">
        <v>8</v>
      </c>
      <c r="S19" s="587">
        <f>'XM.FILE GOC'!S56</f>
        <v>134.64000000000001</v>
      </c>
      <c r="T19" s="588" t="s">
        <v>10</v>
      </c>
      <c r="U19" s="915"/>
      <c r="V19" s="909"/>
      <c r="W19" s="935"/>
      <c r="X19" s="910"/>
      <c r="Y19" s="300">
        <f>'XM.FILE GOC'!W56</f>
        <v>0</v>
      </c>
      <c r="Z19" s="59" t="s">
        <v>8</v>
      </c>
      <c r="AA19" s="587">
        <f>'XM.FILE GOC'!Z56</f>
        <v>134.64000000000001</v>
      </c>
      <c r="AB19" s="588" t="s">
        <v>10</v>
      </c>
      <c r="AC19" s="915"/>
      <c r="AD19" s="909"/>
      <c r="AE19" s="935"/>
      <c r="AF19" s="910"/>
      <c r="AG19" s="72" t="s">
        <v>15</v>
      </c>
    </row>
    <row r="20" spans="1:33" ht="51" hidden="1" customHeight="1">
      <c r="A20" s="47">
        <v>11</v>
      </c>
      <c r="B20" s="3095" t="s">
        <v>108</v>
      </c>
      <c r="C20" s="3120"/>
      <c r="D20" s="3120"/>
      <c r="E20" s="3096"/>
      <c r="F20" s="960" t="s">
        <v>6</v>
      </c>
      <c r="G20" s="898" t="str">
        <f>'XM.FILE GOC'!$E$57</f>
        <v>5~15</v>
      </c>
      <c r="H20" s="2222" t="str">
        <f>'XM.FILE GOC'!$F$57</f>
        <v>(10±3)</v>
      </c>
      <c r="I20" s="2217">
        <f>'XM.FILE GOC'!I57</f>
        <v>0</v>
      </c>
      <c r="J20" s="951" t="s">
        <v>8</v>
      </c>
      <c r="K20" s="952">
        <f>'XM.FILE GOC'!L57</f>
        <v>57.5</v>
      </c>
      <c r="L20" s="953" t="s">
        <v>10</v>
      </c>
      <c r="M20" s="915"/>
      <c r="N20" s="909" t="s">
        <v>8</v>
      </c>
      <c r="O20" s="935">
        <f>('XM.FILE GOC'!$G$57-M20)*575</f>
        <v>57.5</v>
      </c>
      <c r="P20" s="910" t="s">
        <v>10</v>
      </c>
      <c r="Q20" s="1743">
        <f>'XM.FILE GOC'!P57</f>
        <v>0</v>
      </c>
      <c r="R20" s="951" t="s">
        <v>8</v>
      </c>
      <c r="S20" s="952">
        <f>'XM.FILE GOC'!S57</f>
        <v>57.5</v>
      </c>
      <c r="T20" s="953" t="s">
        <v>10</v>
      </c>
      <c r="U20" s="915"/>
      <c r="V20" s="909"/>
      <c r="W20" s="935"/>
      <c r="X20" s="910"/>
      <c r="Y20" s="300">
        <f>'XM.FILE GOC'!W57</f>
        <v>0</v>
      </c>
      <c r="Z20" s="951" t="s">
        <v>8</v>
      </c>
      <c r="AA20" s="952">
        <f>'XM.FILE GOC'!Z57</f>
        <v>57.5</v>
      </c>
      <c r="AB20" s="588" t="s">
        <v>10</v>
      </c>
      <c r="AC20" s="915"/>
      <c r="AD20" s="909"/>
      <c r="AE20" s="935"/>
      <c r="AF20" s="910"/>
      <c r="AG20" s="72" t="s">
        <v>16</v>
      </c>
    </row>
    <row r="21" spans="1:33" ht="51" customHeight="1">
      <c r="A21" s="47">
        <v>9</v>
      </c>
      <c r="B21" s="3095" t="s">
        <v>947</v>
      </c>
      <c r="C21" s="3120"/>
      <c r="D21" s="3120"/>
      <c r="E21" s="3096"/>
      <c r="F21" s="960" t="s">
        <v>3</v>
      </c>
      <c r="G21" s="898" t="str">
        <f>'XM.FILE GOC'!$E$58</f>
        <v>0.5~1.5</v>
      </c>
      <c r="H21" s="2222" t="str">
        <f>'XM.FILE GOC'!$F$58</f>
        <v>(1±0.4)</v>
      </c>
      <c r="I21" s="2219">
        <f>'XM.FILE GOC'!I58</f>
        <v>1.0458E-2</v>
      </c>
      <c r="J21" s="59" t="s">
        <v>8</v>
      </c>
      <c r="K21" s="954">
        <f>'XM.FILE GOC'!L58</f>
        <v>0</v>
      </c>
      <c r="L21" s="588" t="s">
        <v>10</v>
      </c>
      <c r="M21" s="1579"/>
      <c r="N21" s="909"/>
      <c r="O21" s="935"/>
      <c r="P21" s="918"/>
      <c r="Q21" s="1774">
        <f>'XM.FILE GOC'!P58</f>
        <v>1.0709999999999999E-2</v>
      </c>
      <c r="R21" s="59" t="s">
        <v>8</v>
      </c>
      <c r="S21" s="954">
        <f>'XM.FILE GOC'!S58</f>
        <v>0</v>
      </c>
      <c r="T21" s="588" t="s">
        <v>10</v>
      </c>
      <c r="U21" s="1579"/>
      <c r="V21" s="909"/>
      <c r="W21" s="935"/>
      <c r="X21" s="918"/>
      <c r="Y21" s="2186">
        <f>'XM.FILE GOC'!W58</f>
        <v>1.008E-2</v>
      </c>
      <c r="Z21" s="59" t="s">
        <v>8</v>
      </c>
      <c r="AA21" s="954">
        <f>'XM.FILE GOC'!Z58</f>
        <v>0</v>
      </c>
      <c r="AB21" s="588" t="s">
        <v>10</v>
      </c>
      <c r="AC21" s="1579"/>
      <c r="AD21" s="909"/>
      <c r="AE21" s="935"/>
      <c r="AF21" s="918"/>
      <c r="AG21" s="72" t="s">
        <v>16</v>
      </c>
    </row>
    <row r="22" spans="1:33" ht="51" customHeight="1">
      <c r="A22" s="3138">
        <v>10</v>
      </c>
      <c r="B22" s="3083" t="s">
        <v>234</v>
      </c>
      <c r="C22" s="3084"/>
      <c r="D22" s="3084"/>
      <c r="E22" s="3085"/>
      <c r="F22" s="2180" t="s">
        <v>3</v>
      </c>
      <c r="G22" s="1009" t="str">
        <f>'XM.GUI MAIL'!$E$59</f>
        <v>5~8</v>
      </c>
      <c r="H22" s="2226" t="str">
        <f>'XM.GUI MAIL'!$F$59</f>
        <v>(6±0.5)</v>
      </c>
      <c r="I22" s="2220">
        <f>'XM.FILE GOC'!I59</f>
        <v>6.2799999999999994</v>
      </c>
      <c r="J22" s="59" t="s">
        <v>8</v>
      </c>
      <c r="K22" s="954">
        <f>'XM.FILE GOC'!L59</f>
        <v>0</v>
      </c>
      <c r="L22" s="588" t="s">
        <v>10</v>
      </c>
      <c r="M22" s="2258"/>
      <c r="N22" s="909"/>
      <c r="O22" s="1594"/>
      <c r="P22" s="910"/>
      <c r="Q22" s="1840" t="str">
        <f>'XM.FILE GOC'!P59</f>
        <v>KO SX</v>
      </c>
      <c r="R22" s="59" t="s">
        <v>8</v>
      </c>
      <c r="S22" s="954">
        <f>'XM.FILE GOC'!S59</f>
        <v>0</v>
      </c>
      <c r="T22" s="588" t="s">
        <v>10</v>
      </c>
      <c r="U22" s="2258"/>
      <c r="V22" s="909"/>
      <c r="W22" s="1594"/>
      <c r="X22" s="910"/>
      <c r="Y22" s="1840" t="str">
        <f>'XM.FILE GOC'!W59</f>
        <v>KO SX</v>
      </c>
      <c r="Z22" s="59" t="s">
        <v>8</v>
      </c>
      <c r="AA22" s="954">
        <f>'XM.FILE GOC'!Z59</f>
        <v>0</v>
      </c>
      <c r="AB22" s="588" t="s">
        <v>10</v>
      </c>
      <c r="AC22" s="2258"/>
      <c r="AD22" s="909"/>
      <c r="AE22" s="1594"/>
      <c r="AF22" s="910"/>
      <c r="AG22" s="271"/>
    </row>
    <row r="23" spans="1:33" ht="51" customHeight="1">
      <c r="A23" s="3139"/>
      <c r="B23" s="3086"/>
      <c r="C23" s="3087"/>
      <c r="D23" s="3087"/>
      <c r="E23" s="3088"/>
      <c r="F23" s="2180" t="s">
        <v>5</v>
      </c>
      <c r="G23" s="1009" t="str">
        <f>'XM.GUI MAIL'!$E$60</f>
        <v>1.8~2.4</v>
      </c>
      <c r="H23" s="2226" t="str">
        <f>'XM.GUI MAIL'!$F$60</f>
        <v>(2.1±0.1 )</v>
      </c>
      <c r="I23" s="2221">
        <f>'XM.FILE GOC'!I60</f>
        <v>2.1</v>
      </c>
      <c r="J23" s="59" t="s">
        <v>8</v>
      </c>
      <c r="K23" s="954">
        <f>'XM.FILE GOC'!L60</f>
        <v>0</v>
      </c>
      <c r="L23" s="588" t="s">
        <v>10</v>
      </c>
      <c r="M23" s="915"/>
      <c r="N23" s="909"/>
      <c r="O23" s="935"/>
      <c r="P23" s="910"/>
      <c r="Q23" s="1768" t="str">
        <f>'XM.FILE GOC'!P60</f>
        <v>KO SX</v>
      </c>
      <c r="R23" s="59" t="s">
        <v>8</v>
      </c>
      <c r="S23" s="954">
        <f>'XM.FILE GOC'!S60</f>
        <v>0</v>
      </c>
      <c r="T23" s="588" t="s">
        <v>10</v>
      </c>
      <c r="U23" s="915"/>
      <c r="V23" s="909"/>
      <c r="W23" s="935"/>
      <c r="X23" s="910"/>
      <c r="Y23" s="1768" t="str">
        <f>'XM.FILE GOC'!W60</f>
        <v>KO SX</v>
      </c>
      <c r="Z23" s="59" t="s">
        <v>8</v>
      </c>
      <c r="AA23" s="954">
        <f>'XM.FILE GOC'!Z60</f>
        <v>0</v>
      </c>
      <c r="AB23" s="588" t="s">
        <v>10</v>
      </c>
      <c r="AC23" s="915"/>
      <c r="AD23" s="909"/>
      <c r="AE23" s="935"/>
      <c r="AF23" s="910"/>
      <c r="AG23" s="271"/>
    </row>
    <row r="24" spans="1:33" ht="51" customHeight="1">
      <c r="A24" s="47"/>
      <c r="B24" s="2443" t="s">
        <v>109</v>
      </c>
      <c r="C24" s="2444"/>
      <c r="D24" s="2444"/>
      <c r="E24" s="2444"/>
      <c r="F24" s="2444"/>
      <c r="G24" s="2444"/>
      <c r="H24" s="2444"/>
      <c r="I24" s="2444"/>
      <c r="J24" s="2444"/>
      <c r="K24" s="2444"/>
      <c r="L24" s="2444"/>
      <c r="M24" s="2444"/>
      <c r="N24" s="2444"/>
      <c r="O24" s="2444"/>
      <c r="P24" s="2444"/>
      <c r="Q24" s="2444"/>
      <c r="R24" s="2444"/>
      <c r="S24" s="2444"/>
      <c r="T24" s="2444"/>
      <c r="U24" s="2444"/>
      <c r="V24" s="2444"/>
      <c r="W24" s="2444"/>
      <c r="X24" s="2444"/>
      <c r="Y24" s="2444"/>
      <c r="Z24" s="2444"/>
      <c r="AA24" s="2444"/>
      <c r="AB24" s="2444"/>
      <c r="AC24" s="2444"/>
      <c r="AD24" s="2444"/>
      <c r="AE24" s="2444"/>
      <c r="AF24" s="2444"/>
      <c r="AG24" s="2445"/>
    </row>
    <row r="25" spans="1:33" ht="54" customHeight="1">
      <c r="A25" s="960" t="s">
        <v>7</v>
      </c>
      <c r="B25" s="3095" t="s">
        <v>61</v>
      </c>
      <c r="C25" s="3120"/>
      <c r="D25" s="3120"/>
      <c r="E25" s="3096"/>
      <c r="F25" s="248" t="s">
        <v>63</v>
      </c>
      <c r="G25" s="978" t="s">
        <v>1310</v>
      </c>
      <c r="H25" s="2224" t="s">
        <v>1302</v>
      </c>
      <c r="I25" s="3142" t="s">
        <v>45</v>
      </c>
      <c r="J25" s="3141"/>
      <c r="K25" s="3140" t="s">
        <v>62</v>
      </c>
      <c r="L25" s="3141"/>
      <c r="M25" s="919"/>
      <c r="N25" s="920"/>
      <c r="O25" s="920"/>
      <c r="P25" s="921"/>
      <c r="Q25" s="3140" t="s">
        <v>45</v>
      </c>
      <c r="R25" s="3141"/>
      <c r="S25" s="3140" t="s">
        <v>62</v>
      </c>
      <c r="T25" s="3141"/>
      <c r="U25" s="919"/>
      <c r="V25" s="920"/>
      <c r="W25" s="920"/>
      <c r="X25" s="921"/>
      <c r="Y25" s="3140" t="s">
        <v>45</v>
      </c>
      <c r="Z25" s="3141"/>
      <c r="AA25" s="3140" t="s">
        <v>62</v>
      </c>
      <c r="AB25" s="3141"/>
      <c r="AC25" s="919"/>
      <c r="AD25" s="920"/>
      <c r="AE25" s="920"/>
      <c r="AF25" s="921"/>
      <c r="AG25" s="73"/>
    </row>
    <row r="26" spans="1:33" ht="51" customHeight="1">
      <c r="A26" s="960">
        <v>1</v>
      </c>
      <c r="B26" s="3095" t="s">
        <v>65</v>
      </c>
      <c r="C26" s="3120"/>
      <c r="D26" s="3120"/>
      <c r="E26" s="3096"/>
      <c r="F26" s="247" t="s">
        <v>195</v>
      </c>
      <c r="G26" s="898" t="str">
        <f>'XM.FILE GOC'!$E$63</f>
        <v>50~70</v>
      </c>
      <c r="H26" s="2222" t="str">
        <f>'XM.FILE GOC'!$F$63</f>
        <v>(60±5)</v>
      </c>
      <c r="I26" s="3113">
        <f>'XM.GUI MAIL'!I63</f>
        <v>60</v>
      </c>
      <c r="J26" s="3112"/>
      <c r="K26" s="3112">
        <f>'XM.FILE GOC'!L63</f>
        <v>60</v>
      </c>
      <c r="L26" s="3112"/>
      <c r="M26" s="922"/>
      <c r="N26" s="923"/>
      <c r="O26" s="923"/>
      <c r="P26" s="924"/>
      <c r="Q26" s="3112">
        <f>'XM.GUI MAIL'!P63</f>
        <v>60</v>
      </c>
      <c r="R26" s="3112"/>
      <c r="S26" s="3112">
        <f>'XM.FILE GOC'!S63</f>
        <v>60</v>
      </c>
      <c r="T26" s="3112"/>
      <c r="U26" s="922"/>
      <c r="V26" s="923"/>
      <c r="W26" s="923"/>
      <c r="X26" s="924"/>
      <c r="Y26" s="3112">
        <f>'XM.GUI MAIL'!W63</f>
        <v>60</v>
      </c>
      <c r="Z26" s="3112"/>
      <c r="AA26" s="3112">
        <f>'XM.FILE GOC'!Z63</f>
        <v>60</v>
      </c>
      <c r="AB26" s="3112"/>
      <c r="AC26" s="922"/>
      <c r="AD26" s="923"/>
      <c r="AE26" s="923"/>
      <c r="AF26" s="924"/>
      <c r="AG26" s="20"/>
    </row>
    <row r="27" spans="1:33" ht="51" customHeight="1">
      <c r="A27" s="960">
        <v>2</v>
      </c>
      <c r="B27" s="3095" t="s">
        <v>66</v>
      </c>
      <c r="C27" s="3120" t="s">
        <v>66</v>
      </c>
      <c r="D27" s="3120" t="s">
        <v>66</v>
      </c>
      <c r="E27" s="3096" t="s">
        <v>66</v>
      </c>
      <c r="F27" s="247" t="s">
        <v>195</v>
      </c>
      <c r="G27" s="898" t="str">
        <f>'XM.FILE GOC'!$E$64</f>
        <v>50~70</v>
      </c>
      <c r="H27" s="2222" t="str">
        <f>'XM.FILE GOC'!$F$64</f>
        <v>(60±5)</v>
      </c>
      <c r="I27" s="3113">
        <f>'XM.GUI MAIL'!I64</f>
        <v>60</v>
      </c>
      <c r="J27" s="3112"/>
      <c r="K27" s="3112">
        <f>'XM.FILE GOC'!L64</f>
        <v>60</v>
      </c>
      <c r="L27" s="3112"/>
      <c r="M27" s="922"/>
      <c r="N27" s="923"/>
      <c r="O27" s="923"/>
      <c r="P27" s="924"/>
      <c r="Q27" s="3112">
        <f>'XM.GUI MAIL'!P64</f>
        <v>62</v>
      </c>
      <c r="R27" s="3112"/>
      <c r="S27" s="3112">
        <f>'XM.FILE GOC'!S64</f>
        <v>61</v>
      </c>
      <c r="T27" s="3112"/>
      <c r="U27" s="922"/>
      <c r="V27" s="923"/>
      <c r="W27" s="923"/>
      <c r="X27" s="924"/>
      <c r="Y27" s="3112">
        <f>'XM.GUI MAIL'!W64</f>
        <v>60</v>
      </c>
      <c r="Z27" s="3112"/>
      <c r="AA27" s="3112">
        <f>'XM.FILE GOC'!Z64</f>
        <v>60</v>
      </c>
      <c r="AB27" s="3112"/>
      <c r="AC27" s="922"/>
      <c r="AD27" s="923"/>
      <c r="AE27" s="923"/>
      <c r="AF27" s="924"/>
      <c r="AG27" s="20"/>
    </row>
    <row r="28" spans="1:33" ht="51" customHeight="1">
      <c r="A28" s="960">
        <v>3</v>
      </c>
      <c r="B28" s="3095" t="s">
        <v>68</v>
      </c>
      <c r="C28" s="3120" t="s">
        <v>68</v>
      </c>
      <c r="D28" s="3120" t="s">
        <v>68</v>
      </c>
      <c r="E28" s="3096" t="s">
        <v>68</v>
      </c>
      <c r="F28" s="247" t="s">
        <v>195</v>
      </c>
      <c r="G28" s="898" t="str">
        <f>'XM.FILE GOC'!$E$65</f>
        <v>40~60</v>
      </c>
      <c r="H28" s="2222" t="str">
        <f>'XM.FILE GOC'!$F$65</f>
        <v>(50±5)</v>
      </c>
      <c r="I28" s="3032">
        <f>'XM.GUI MAIL'!I65</f>
        <v>52</v>
      </c>
      <c r="J28" s="3026"/>
      <c r="K28" s="3033">
        <f>'XM.FILE GOC'!L65</f>
        <v>51</v>
      </c>
      <c r="L28" s="3026"/>
      <c r="M28" s="922"/>
      <c r="N28" s="923"/>
      <c r="O28" s="923"/>
      <c r="P28" s="924"/>
      <c r="Q28" s="3033">
        <f>'XM.GUI MAIL'!P65</f>
        <v>52</v>
      </c>
      <c r="R28" s="3026"/>
      <c r="S28" s="3033">
        <f>'XM.FILE GOC'!S65</f>
        <v>51</v>
      </c>
      <c r="T28" s="3026"/>
      <c r="U28" s="922"/>
      <c r="V28" s="923"/>
      <c r="W28" s="923"/>
      <c r="X28" s="924"/>
      <c r="Y28" s="3033">
        <f>'XM.GUI MAIL'!W65</f>
        <v>53</v>
      </c>
      <c r="Z28" s="3026"/>
      <c r="AA28" s="3033">
        <f>'XM.FILE GOC'!Z65</f>
        <v>52</v>
      </c>
      <c r="AB28" s="3026"/>
      <c r="AC28" s="922"/>
      <c r="AD28" s="923"/>
      <c r="AE28" s="923"/>
      <c r="AF28" s="924"/>
      <c r="AG28" s="20"/>
    </row>
    <row r="29" spans="1:33" ht="51" customHeight="1">
      <c r="A29" s="960">
        <v>4</v>
      </c>
      <c r="B29" s="3095" t="s">
        <v>67</v>
      </c>
      <c r="C29" s="3120" t="s">
        <v>67</v>
      </c>
      <c r="D29" s="3120" t="s">
        <v>67</v>
      </c>
      <c r="E29" s="3096" t="s">
        <v>67</v>
      </c>
      <c r="F29" s="247" t="s">
        <v>195</v>
      </c>
      <c r="G29" s="898" t="str">
        <f>'XM.FILE GOC'!$E$66</f>
        <v>40~60</v>
      </c>
      <c r="H29" s="2222" t="str">
        <f>'XM.FILE GOC'!$F$66</f>
        <v>(50±5)</v>
      </c>
      <c r="I29" s="3032">
        <f>'XM.GUI MAIL'!I66</f>
        <v>52</v>
      </c>
      <c r="J29" s="3026"/>
      <c r="K29" s="3033">
        <f>'XM.FILE GOC'!L66</f>
        <v>51</v>
      </c>
      <c r="L29" s="3026"/>
      <c r="M29" s="922"/>
      <c r="N29" s="923"/>
      <c r="O29" s="923"/>
      <c r="P29" s="924"/>
      <c r="Q29" s="3033">
        <f>'XM.GUI MAIL'!P66</f>
        <v>52</v>
      </c>
      <c r="R29" s="3026"/>
      <c r="S29" s="3033">
        <f>'XM.FILE GOC'!S66</f>
        <v>50</v>
      </c>
      <c r="T29" s="3026"/>
      <c r="U29" s="922"/>
      <c r="V29" s="923"/>
      <c r="W29" s="923"/>
      <c r="X29" s="924"/>
      <c r="Y29" s="3033">
        <f>'XM.GUI MAIL'!W66</f>
        <v>50</v>
      </c>
      <c r="Z29" s="3026"/>
      <c r="AA29" s="3033">
        <f>'XM.FILE GOC'!Z66</f>
        <v>50</v>
      </c>
      <c r="AB29" s="3026"/>
      <c r="AC29" s="922"/>
      <c r="AD29" s="923"/>
      <c r="AE29" s="923"/>
      <c r="AF29" s="924"/>
      <c r="AG29" s="20"/>
    </row>
    <row r="30" spans="1:33" ht="51" customHeight="1">
      <c r="A30" s="960">
        <v>5</v>
      </c>
      <c r="B30" s="3095" t="s">
        <v>69</v>
      </c>
      <c r="C30" s="3120" t="s">
        <v>69</v>
      </c>
      <c r="D30" s="3120" t="s">
        <v>69</v>
      </c>
      <c r="E30" s="3096" t="s">
        <v>69</v>
      </c>
      <c r="F30" s="247" t="s">
        <v>195</v>
      </c>
      <c r="G30" s="898" t="str">
        <f>'XM.FILE GOC'!$E$67</f>
        <v>22~35</v>
      </c>
      <c r="H30" s="2222" t="str">
        <f>'XM.FILE GOC'!$F$67</f>
        <v>(30±4)</v>
      </c>
      <c r="I30" s="3113">
        <v>33</v>
      </c>
      <c r="J30" s="3112"/>
      <c r="K30" s="3112">
        <v>31</v>
      </c>
      <c r="L30" s="3112"/>
      <c r="M30" s="922"/>
      <c r="N30" s="923"/>
      <c r="O30" s="923"/>
      <c r="P30" s="924"/>
      <c r="Q30" s="3112">
        <v>30</v>
      </c>
      <c r="R30" s="3112"/>
      <c r="S30" s="3112">
        <v>30</v>
      </c>
      <c r="T30" s="3112"/>
      <c r="U30" s="922"/>
      <c r="V30" s="923"/>
      <c r="W30" s="923"/>
      <c r="X30" s="924"/>
      <c r="Y30" s="3112">
        <v>31</v>
      </c>
      <c r="Z30" s="3112"/>
      <c r="AA30" s="3112">
        <v>32</v>
      </c>
      <c r="AB30" s="3112"/>
      <c r="AC30" s="922"/>
      <c r="AD30" s="923"/>
      <c r="AE30" s="923"/>
      <c r="AF30" s="924"/>
      <c r="AG30" s="20"/>
    </row>
    <row r="31" spans="1:33" ht="51" customHeight="1">
      <c r="A31" s="960">
        <v>6</v>
      </c>
      <c r="B31" s="3095" t="s">
        <v>948</v>
      </c>
      <c r="C31" s="3120" t="s">
        <v>948</v>
      </c>
      <c r="D31" s="3120" t="s">
        <v>948</v>
      </c>
      <c r="E31" s="3096" t="s">
        <v>948</v>
      </c>
      <c r="F31" s="247" t="s">
        <v>195</v>
      </c>
      <c r="G31" s="898" t="str">
        <f>'XM.FILE GOC'!$E$68</f>
        <v>30-38</v>
      </c>
      <c r="H31" s="2222" t="str">
        <f>'XM.FILE GOC'!$F$68</f>
        <v>(34±2)</v>
      </c>
      <c r="I31" s="3113">
        <f>'XM.GUI MAIL'!I68</f>
        <v>33</v>
      </c>
      <c r="J31" s="3112"/>
      <c r="K31" s="3112">
        <f>'XM.FILE GOC'!L68</f>
        <v>32</v>
      </c>
      <c r="L31" s="3112"/>
      <c r="M31" s="922"/>
      <c r="N31" s="923"/>
      <c r="O31" s="923"/>
      <c r="P31" s="924"/>
      <c r="Q31" s="3112">
        <f>'XM.GUI MAIL'!P68</f>
        <v>33</v>
      </c>
      <c r="R31" s="3112"/>
      <c r="S31" s="3112">
        <f>'XM.FILE GOC'!S68</f>
        <v>32</v>
      </c>
      <c r="T31" s="3112"/>
      <c r="U31" s="922"/>
      <c r="V31" s="923"/>
      <c r="W31" s="923"/>
      <c r="X31" s="924"/>
      <c r="Y31" s="3112">
        <f>'XM.GUI MAIL'!W68</f>
        <v>34</v>
      </c>
      <c r="Z31" s="3112"/>
      <c r="AA31" s="3112">
        <f>'XM.FILE GOC'!Z68</f>
        <v>33</v>
      </c>
      <c r="AB31" s="3112"/>
      <c r="AC31" s="922"/>
      <c r="AD31" s="923"/>
      <c r="AE31" s="923"/>
      <c r="AF31" s="924"/>
      <c r="AG31" s="22"/>
    </row>
    <row r="32" spans="1:33" ht="51" customHeight="1">
      <c r="A32" s="960">
        <v>7</v>
      </c>
      <c r="B32" s="3095" t="s">
        <v>70</v>
      </c>
      <c r="C32" s="3120" t="s">
        <v>70</v>
      </c>
      <c r="D32" s="3120" t="s">
        <v>70</v>
      </c>
      <c r="E32" s="3096" t="s">
        <v>70</v>
      </c>
      <c r="F32" s="247" t="s">
        <v>195</v>
      </c>
      <c r="G32" s="898" t="str">
        <f>'XM.FILE GOC'!$E$69</f>
        <v>50~70</v>
      </c>
      <c r="H32" s="2222" t="str">
        <f>'XM.FILE GOC'!$F$69</f>
        <v>(60±10)</v>
      </c>
      <c r="I32" s="3113">
        <f>'XM.GUI MAIL'!I69</f>
        <v>56</v>
      </c>
      <c r="J32" s="3112"/>
      <c r="K32" s="3112">
        <f>'XM.FILE GOC'!L69</f>
        <v>55</v>
      </c>
      <c r="L32" s="3112"/>
      <c r="M32" s="922"/>
      <c r="N32" s="923"/>
      <c r="O32" s="923"/>
      <c r="P32" s="924"/>
      <c r="Q32" s="3112">
        <f>'XM.GUI MAIL'!P69</f>
        <v>55</v>
      </c>
      <c r="R32" s="3112"/>
      <c r="S32" s="3112">
        <f>'XM.FILE GOC'!S69</f>
        <v>56</v>
      </c>
      <c r="T32" s="3112"/>
      <c r="U32" s="922"/>
      <c r="V32" s="923"/>
      <c r="W32" s="923"/>
      <c r="X32" s="924"/>
      <c r="Y32" s="3112">
        <f>'XM.GUI MAIL'!W69</f>
        <v>56</v>
      </c>
      <c r="Z32" s="3112"/>
      <c r="AA32" s="3112">
        <f>'XM.FILE GOC'!Z69</f>
        <v>55</v>
      </c>
      <c r="AB32" s="3112"/>
      <c r="AC32" s="922"/>
      <c r="AD32" s="923"/>
      <c r="AE32" s="923"/>
      <c r="AF32" s="924"/>
      <c r="AG32" s="20"/>
    </row>
    <row r="33" spans="1:33" ht="51" customHeight="1">
      <c r="A33" s="960">
        <v>8</v>
      </c>
      <c r="B33" s="3130" t="s">
        <v>71</v>
      </c>
      <c r="C33" s="3131" t="s">
        <v>71</v>
      </c>
      <c r="D33" s="3131" t="s">
        <v>71</v>
      </c>
      <c r="E33" s="3132" t="s">
        <v>71</v>
      </c>
      <c r="F33" s="247" t="s">
        <v>195</v>
      </c>
      <c r="G33" s="898" t="str">
        <f>'XM.FILE GOC'!$E$70</f>
        <v>80~100</v>
      </c>
      <c r="H33" s="2222" t="str">
        <f>'XM.FILE GOC'!$F$70</f>
        <v>(90±5)</v>
      </c>
      <c r="I33" s="3142" t="s">
        <v>47</v>
      </c>
      <c r="J33" s="3141"/>
      <c r="K33" s="3026">
        <f>'XM.FILE GOC'!L70</f>
        <v>91</v>
      </c>
      <c r="L33" s="3026"/>
      <c r="M33" s="2197"/>
      <c r="N33" s="926"/>
      <c r="O33" s="926"/>
      <c r="P33" s="927"/>
      <c r="Q33" s="3140" t="s">
        <v>47</v>
      </c>
      <c r="R33" s="3141"/>
      <c r="S33" s="3026">
        <f>'XM.FILE GOC'!S70</f>
        <v>90</v>
      </c>
      <c r="T33" s="3026"/>
      <c r="U33" s="2197"/>
      <c r="V33" s="926"/>
      <c r="W33" s="926"/>
      <c r="X33" s="927"/>
      <c r="Y33" s="3140" t="s">
        <v>47</v>
      </c>
      <c r="Z33" s="3141"/>
      <c r="AA33" s="3026">
        <f>'XM.FILE GOC'!Z70</f>
        <v>90</v>
      </c>
      <c r="AB33" s="3026"/>
      <c r="AC33" s="925"/>
      <c r="AD33" s="926"/>
      <c r="AE33" s="926"/>
      <c r="AF33" s="927"/>
      <c r="AG33" s="20"/>
    </row>
    <row r="34" spans="1:33" ht="51" customHeight="1">
      <c r="A34" s="47"/>
      <c r="B34" s="2443" t="s">
        <v>110</v>
      </c>
      <c r="C34" s="2444"/>
      <c r="D34" s="2444"/>
      <c r="E34" s="2444"/>
      <c r="F34" s="2444"/>
      <c r="G34" s="2444"/>
      <c r="H34" s="2444"/>
      <c r="I34" s="2444"/>
      <c r="J34" s="2444"/>
      <c r="K34" s="2444"/>
      <c r="L34" s="2444"/>
      <c r="M34" s="2444"/>
      <c r="N34" s="2444"/>
      <c r="O34" s="2444"/>
      <c r="P34" s="2444"/>
      <c r="Q34" s="2444"/>
      <c r="R34" s="2444"/>
      <c r="S34" s="2444"/>
      <c r="T34" s="2444"/>
      <c r="U34" s="2444"/>
      <c r="V34" s="2444"/>
      <c r="W34" s="2444"/>
      <c r="X34" s="2444"/>
      <c r="Y34" s="2444"/>
      <c r="Z34" s="2444"/>
      <c r="AA34" s="2444"/>
      <c r="AB34" s="2444"/>
      <c r="AC34" s="2444"/>
      <c r="AD34" s="2444"/>
      <c r="AE34" s="2444"/>
      <c r="AF34" s="2444"/>
      <c r="AG34" s="2445"/>
    </row>
    <row r="35" spans="1:33" ht="56.25" customHeight="1">
      <c r="A35" s="960" t="s">
        <v>7</v>
      </c>
      <c r="B35" s="3095" t="s">
        <v>92</v>
      </c>
      <c r="C35" s="3120"/>
      <c r="D35" s="3120"/>
      <c r="E35" s="3096"/>
      <c r="F35" s="578" t="s">
        <v>93</v>
      </c>
      <c r="G35" s="978" t="s">
        <v>1310</v>
      </c>
      <c r="H35" s="2224" t="s">
        <v>1302</v>
      </c>
      <c r="I35" s="3132" t="s">
        <v>111</v>
      </c>
      <c r="J35" s="3153"/>
      <c r="K35" s="3153"/>
      <c r="L35" s="3153"/>
      <c r="M35" s="919"/>
      <c r="N35" s="920"/>
      <c r="O35" s="920"/>
      <c r="P35" s="921"/>
      <c r="Q35" s="3153" t="s">
        <v>111</v>
      </c>
      <c r="R35" s="3153"/>
      <c r="S35" s="3153"/>
      <c r="T35" s="3153"/>
      <c r="U35" s="919"/>
      <c r="V35" s="920"/>
      <c r="W35" s="920"/>
      <c r="X35" s="921"/>
      <c r="Y35" s="3153" t="s">
        <v>111</v>
      </c>
      <c r="Z35" s="3153"/>
      <c r="AA35" s="3153"/>
      <c r="AB35" s="3153"/>
      <c r="AC35" s="919"/>
      <c r="AD35" s="920"/>
      <c r="AE35" s="920"/>
      <c r="AF35" s="921"/>
      <c r="AG35" s="73"/>
    </row>
    <row r="36" spans="1:33" ht="51" customHeight="1">
      <c r="A36" s="47">
        <v>1</v>
      </c>
      <c r="B36" s="3135" t="s">
        <v>1599</v>
      </c>
      <c r="C36" s="3136"/>
      <c r="D36" s="3136"/>
      <c r="E36" s="3137"/>
      <c r="F36" s="961" t="s">
        <v>48</v>
      </c>
      <c r="G36" s="898" t="str">
        <f>'XM.FILE GOC'!$E$72</f>
        <v>100-200</v>
      </c>
      <c r="H36" s="2222" t="str">
        <f>'XM.FILE GOC'!$F$72</f>
        <v>100-200</v>
      </c>
      <c r="I36" s="3119">
        <f>'XM.GUI MAIL'!I72</f>
        <v>140</v>
      </c>
      <c r="J36" s="3119"/>
      <c r="K36" s="3119"/>
      <c r="L36" s="3119"/>
      <c r="M36" s="928"/>
      <c r="N36" s="905"/>
      <c r="O36" s="905"/>
      <c r="P36" s="929"/>
      <c r="Q36" s="3118">
        <f>'XM.GUI MAIL'!P72</f>
        <v>142</v>
      </c>
      <c r="R36" s="3119"/>
      <c r="S36" s="3119"/>
      <c r="T36" s="3119"/>
      <c r="U36" s="928"/>
      <c r="V36" s="905"/>
      <c r="W36" s="905"/>
      <c r="X36" s="929"/>
      <c r="Y36" s="3118">
        <f>'XM.GUI MAIL'!W72</f>
        <v>142</v>
      </c>
      <c r="Z36" s="3119"/>
      <c r="AA36" s="3119"/>
      <c r="AB36" s="3119"/>
      <c r="AC36" s="928"/>
      <c r="AD36" s="905"/>
      <c r="AE36" s="905"/>
      <c r="AF36" s="929"/>
      <c r="AG36" s="22"/>
    </row>
    <row r="37" spans="1:33" ht="51" customHeight="1">
      <c r="A37" s="47">
        <v>2</v>
      </c>
      <c r="B37" s="3135" t="s">
        <v>1597</v>
      </c>
      <c r="C37" s="3136"/>
      <c r="D37" s="3136"/>
      <c r="E37" s="3137"/>
      <c r="F37" s="961" t="s">
        <v>48</v>
      </c>
      <c r="G37" s="898" t="str">
        <f>'XM.FILE GOC'!$E$73</f>
        <v>20-50</v>
      </c>
      <c r="H37" s="2222" t="str">
        <f>'XM.FILE GOC'!$F$73</f>
        <v>20-50</v>
      </c>
      <c r="I37" s="3119">
        <f>'XM.GUI MAIL'!I73</f>
        <v>38</v>
      </c>
      <c r="J37" s="3119"/>
      <c r="K37" s="3119"/>
      <c r="L37" s="3119"/>
      <c r="M37" s="930"/>
      <c r="N37" s="931"/>
      <c r="O37" s="931"/>
      <c r="P37" s="932"/>
      <c r="Q37" s="3118">
        <f>'XM.GUI MAIL'!P73</f>
        <v>40</v>
      </c>
      <c r="R37" s="3119"/>
      <c r="S37" s="3119"/>
      <c r="T37" s="3119"/>
      <c r="U37" s="930"/>
      <c r="V37" s="931"/>
      <c r="W37" s="931"/>
      <c r="X37" s="932"/>
      <c r="Y37" s="3118">
        <f>'XM.GUI MAIL'!W73</f>
        <v>42</v>
      </c>
      <c r="Z37" s="3119"/>
      <c r="AA37" s="3119"/>
      <c r="AB37" s="3119"/>
      <c r="AC37" s="930"/>
      <c r="AD37" s="931"/>
      <c r="AE37" s="931"/>
      <c r="AF37" s="932"/>
      <c r="AG37" s="22"/>
    </row>
    <row r="38" spans="1:33" ht="60" customHeight="1">
      <c r="A38" s="427"/>
      <c r="B38" s="428"/>
      <c r="C38" s="428"/>
      <c r="D38" s="428"/>
      <c r="E38" s="428"/>
      <c r="F38" s="2263"/>
      <c r="G38" s="2264"/>
      <c r="H38" s="2264"/>
      <c r="I38" s="2264"/>
      <c r="J38" s="2264"/>
      <c r="K38" s="2264"/>
      <c r="L38" s="2264"/>
      <c r="M38" s="2264"/>
      <c r="N38" s="2264"/>
      <c r="O38" s="2264"/>
      <c r="P38" s="2264"/>
      <c r="Q38" s="2264"/>
      <c r="R38" s="2264"/>
      <c r="S38" s="2264"/>
      <c r="T38" s="2264"/>
      <c r="U38" s="2264"/>
      <c r="V38" s="2264"/>
      <c r="W38" s="2264"/>
      <c r="X38" s="2264"/>
      <c r="Y38" s="2264"/>
      <c r="Z38" s="2264"/>
      <c r="AA38" s="2264"/>
      <c r="AB38" s="2264"/>
      <c r="AC38" s="2264"/>
      <c r="AD38" s="905"/>
      <c r="AE38" s="905"/>
      <c r="AF38" s="905"/>
      <c r="AG38" s="901"/>
    </row>
    <row r="39" spans="1:33" ht="28.5" customHeight="1">
      <c r="B39" s="2437" t="s">
        <v>130</v>
      </c>
      <c r="C39" s="2437"/>
      <c r="D39" s="2437"/>
      <c r="E39" s="2437"/>
      <c r="F39" s="2437"/>
      <c r="G39" s="2437"/>
      <c r="H39" s="2437"/>
      <c r="I39" s="2437"/>
      <c r="J39" s="2437"/>
      <c r="K39" s="2437"/>
      <c r="L39" s="2437"/>
      <c r="M39" s="2437"/>
      <c r="N39" s="2437"/>
      <c r="O39" s="2437"/>
      <c r="P39" s="2437"/>
      <c r="Q39" s="2437"/>
      <c r="R39" s="2437"/>
      <c r="S39" s="2437"/>
      <c r="T39" s="2437"/>
      <c r="U39" s="2437"/>
      <c r="V39" s="2437"/>
      <c r="W39" s="2437"/>
      <c r="X39" s="2437"/>
      <c r="Y39" s="2437"/>
      <c r="Z39" s="2438"/>
      <c r="AA39" s="2438"/>
      <c r="AB39" s="2439"/>
      <c r="AC39" s="2442"/>
      <c r="AD39" s="943"/>
      <c r="AE39" s="943"/>
      <c r="AF39" s="943"/>
      <c r="AG39" s="50"/>
    </row>
    <row r="40" spans="1:33" ht="46.5" customHeight="1">
      <c r="B40" s="2435" t="s">
        <v>218</v>
      </c>
      <c r="C40" s="2435"/>
      <c r="D40" s="2435"/>
      <c r="E40" s="2435"/>
      <c r="F40" s="2435"/>
      <c r="G40" s="2435"/>
      <c r="H40" s="2435"/>
      <c r="I40" s="2435"/>
      <c r="J40" s="2435"/>
      <c r="K40" s="2435"/>
      <c r="L40" s="2435"/>
      <c r="M40" s="2435"/>
      <c r="N40" s="2435"/>
      <c r="O40" s="2435"/>
      <c r="P40" s="2435"/>
      <c r="Q40" s="2435"/>
      <c r="R40" s="2435"/>
      <c r="S40" s="2435"/>
      <c r="T40" s="2435"/>
      <c r="U40" s="2435"/>
      <c r="V40" s="2435"/>
      <c r="W40" s="2435"/>
      <c r="X40" s="2435"/>
      <c r="Y40" s="2435"/>
      <c r="Z40" s="2440"/>
      <c r="AA40" s="2440"/>
      <c r="AB40" s="2441"/>
      <c r="AC40" s="2441"/>
      <c r="AD40" s="3121" t="s">
        <v>88</v>
      </c>
      <c r="AE40" s="3121"/>
      <c r="AF40" s="3122" t="s">
        <v>89</v>
      </c>
      <c r="AG40" s="3123"/>
    </row>
    <row r="41" spans="1:33" ht="38.25" customHeight="1">
      <c r="A41" s="963"/>
      <c r="B41" s="3103" t="s">
        <v>214</v>
      </c>
      <c r="C41" s="3103"/>
      <c r="D41" s="581"/>
      <c r="E41" s="582"/>
      <c r="F41" s="964"/>
      <c r="G41" s="1394" t="s">
        <v>1624</v>
      </c>
      <c r="H41" s="1819" t="str">
        <f>MENU!$AC$9</f>
        <v>Thứ 4,</v>
      </c>
      <c r="I41" s="3089" t="str">
        <f>MENU!$AD$9</f>
        <v>2024/05/22</v>
      </c>
      <c r="J41" s="3152"/>
      <c r="K41" s="3152"/>
      <c r="L41" s="3152"/>
      <c r="M41" s="938"/>
      <c r="N41" s="938"/>
      <c r="O41" s="938"/>
      <c r="P41" s="939"/>
      <c r="Q41" s="966"/>
      <c r="R41" s="966"/>
      <c r="S41" s="966"/>
      <c r="Z41" s="967"/>
      <c r="AA41" s="3150"/>
      <c r="AB41" s="3150"/>
      <c r="AC41" s="942"/>
      <c r="AD41" s="3124" t="str">
        <f>MENU!AE7</f>
        <v>L.Yen</v>
      </c>
      <c r="AE41" s="3124"/>
      <c r="AF41" s="3156" t="s">
        <v>11</v>
      </c>
      <c r="AG41" s="3129"/>
    </row>
    <row r="42" spans="1:33" s="52" customFormat="1" ht="54.75" customHeight="1">
      <c r="A42" s="3134" t="s">
        <v>7</v>
      </c>
      <c r="B42" s="3097" t="s">
        <v>76</v>
      </c>
      <c r="C42" s="3098"/>
      <c r="D42" s="3098"/>
      <c r="E42" s="3099"/>
      <c r="F42" s="3133" t="s">
        <v>124</v>
      </c>
      <c r="G42" s="3059" t="s">
        <v>1310</v>
      </c>
      <c r="H42" s="3109" t="s">
        <v>1302</v>
      </c>
      <c r="I42" s="3064">
        <v>0.80208333333333337</v>
      </c>
      <c r="J42" s="3065"/>
      <c r="K42" s="3065"/>
      <c r="L42" s="3066"/>
      <c r="M42" s="3073" t="s">
        <v>944</v>
      </c>
      <c r="N42" s="3074"/>
      <c r="O42" s="3074"/>
      <c r="P42" s="3075"/>
      <c r="Q42" s="3064">
        <v>0.96875</v>
      </c>
      <c r="R42" s="3065"/>
      <c r="S42" s="3065"/>
      <c r="T42" s="3066"/>
      <c r="U42" s="3073" t="s">
        <v>944</v>
      </c>
      <c r="V42" s="3074"/>
      <c r="W42" s="3074"/>
      <c r="X42" s="3075"/>
      <c r="Y42" s="3151">
        <v>0.13541666666666666</v>
      </c>
      <c r="Z42" s="3133"/>
      <c r="AA42" s="3133"/>
      <c r="AB42" s="3133"/>
      <c r="AC42" s="3073" t="s">
        <v>944</v>
      </c>
      <c r="AD42" s="3074"/>
      <c r="AE42" s="3074"/>
      <c r="AF42" s="3075"/>
      <c r="AG42" s="3148" t="s">
        <v>90</v>
      </c>
    </row>
    <row r="43" spans="1:33" s="52" customFormat="1" ht="48" customHeight="1">
      <c r="A43" s="3134"/>
      <c r="B43" s="3100"/>
      <c r="C43" s="3101"/>
      <c r="D43" s="3101"/>
      <c r="E43" s="3102"/>
      <c r="F43" s="3134"/>
      <c r="G43" s="3060"/>
      <c r="H43" s="3110"/>
      <c r="I43" s="950" t="s">
        <v>129</v>
      </c>
      <c r="J43" s="3070" t="s">
        <v>1</v>
      </c>
      <c r="K43" s="3071"/>
      <c r="L43" s="3072"/>
      <c r="M43" s="907" t="s">
        <v>945</v>
      </c>
      <c r="N43" s="3076" t="s">
        <v>1</v>
      </c>
      <c r="O43" s="3076"/>
      <c r="P43" s="3077"/>
      <c r="Q43" s="950" t="s">
        <v>129</v>
      </c>
      <c r="R43" s="3070" t="s">
        <v>1</v>
      </c>
      <c r="S43" s="3071"/>
      <c r="T43" s="3072"/>
      <c r="U43" s="907" t="s">
        <v>945</v>
      </c>
      <c r="V43" s="3076" t="s">
        <v>1</v>
      </c>
      <c r="W43" s="3076"/>
      <c r="X43" s="3077"/>
      <c r="Y43" s="950" t="s">
        <v>129</v>
      </c>
      <c r="Z43" s="3070" t="s">
        <v>1</v>
      </c>
      <c r="AA43" s="3071"/>
      <c r="AB43" s="3072"/>
      <c r="AC43" s="907" t="s">
        <v>945</v>
      </c>
      <c r="AD43" s="3076" t="s">
        <v>1</v>
      </c>
      <c r="AE43" s="3076"/>
      <c r="AF43" s="3077"/>
      <c r="AG43" s="3149"/>
    </row>
    <row r="44" spans="1:33" ht="51.75" customHeight="1">
      <c r="A44" s="3138">
        <v>1</v>
      </c>
      <c r="B44" s="3097" t="s">
        <v>131</v>
      </c>
      <c r="C44" s="3104"/>
      <c r="D44" s="3093" t="s">
        <v>230</v>
      </c>
      <c r="E44" s="3094"/>
      <c r="F44" s="47" t="s">
        <v>4</v>
      </c>
      <c r="G44" s="898" t="str">
        <f>'XM.FILE GOC'!$E$43</f>
        <v>60~80</v>
      </c>
      <c r="H44" s="2222" t="str">
        <f>'XM.FILE GOC'!$F$43</f>
        <v>(70±5)</v>
      </c>
      <c r="I44" s="1404">
        <f>'XM.FILE GOC'!AD43</f>
        <v>72.3</v>
      </c>
      <c r="J44" s="59" t="s">
        <v>8</v>
      </c>
      <c r="K44" s="587">
        <f>'XM.FILE GOC'!AG43</f>
        <v>0</v>
      </c>
      <c r="L44" s="588" t="s">
        <v>9</v>
      </c>
      <c r="M44" s="908"/>
      <c r="N44" s="909" t="s">
        <v>8</v>
      </c>
      <c r="O44" s="935"/>
      <c r="P44" s="910" t="s">
        <v>9</v>
      </c>
      <c r="Q44" s="1404">
        <f>'XM.FILE GOC'!AK43</f>
        <v>71.599999999999994</v>
      </c>
      <c r="R44" s="59" t="s">
        <v>8</v>
      </c>
      <c r="S44" s="587">
        <f>'XM.FILE GOC'!AN43</f>
        <v>0</v>
      </c>
      <c r="T44" s="588" t="s">
        <v>9</v>
      </c>
      <c r="U44" s="908"/>
      <c r="V44" s="909" t="s">
        <v>8</v>
      </c>
      <c r="W44" s="935"/>
      <c r="X44" s="910" t="s">
        <v>9</v>
      </c>
      <c r="Y44" s="1404">
        <f>'XM.FILE GOC'!AR43</f>
        <v>71.39</v>
      </c>
      <c r="Z44" s="59" t="s">
        <v>8</v>
      </c>
      <c r="AA44" s="587">
        <f>'XM.FILE GOC'!AU43</f>
        <v>0</v>
      </c>
      <c r="AB44" s="588" t="s">
        <v>9</v>
      </c>
      <c r="AC44" s="908"/>
      <c r="AD44" s="909" t="s">
        <v>8</v>
      </c>
      <c r="AE44" s="935"/>
      <c r="AF44" s="910" t="s">
        <v>9</v>
      </c>
      <c r="AG44" s="72" t="s">
        <v>12</v>
      </c>
    </row>
    <row r="45" spans="1:33" ht="51.75" customHeight="1">
      <c r="A45" s="3147"/>
      <c r="B45" s="3105"/>
      <c r="C45" s="3106"/>
      <c r="D45" s="3093" t="s">
        <v>231</v>
      </c>
      <c r="E45" s="3094"/>
      <c r="F45" s="264"/>
      <c r="G45" s="898" t="s">
        <v>949</v>
      </c>
      <c r="H45" s="2222"/>
      <c r="I45" s="1683"/>
      <c r="J45" s="59"/>
      <c r="K45" s="954">
        <f>K44/25*7.5</f>
        <v>0</v>
      </c>
      <c r="L45" s="588" t="s">
        <v>10</v>
      </c>
      <c r="M45" s="908"/>
      <c r="N45" s="911" t="s">
        <v>8</v>
      </c>
      <c r="O45" s="1593"/>
      <c r="P45" s="912" t="s">
        <v>10</v>
      </c>
      <c r="Q45" s="1683"/>
      <c r="R45" s="59"/>
      <c r="S45" s="954">
        <f>S44/25*7.5</f>
        <v>0</v>
      </c>
      <c r="T45" s="588" t="s">
        <v>10</v>
      </c>
      <c r="U45" s="908"/>
      <c r="V45" s="911" t="s">
        <v>8</v>
      </c>
      <c r="W45" s="1593"/>
      <c r="X45" s="912" t="s">
        <v>10</v>
      </c>
      <c r="Y45" s="1683"/>
      <c r="Z45" s="59"/>
      <c r="AA45" s="954">
        <f>AA44/25*7.5</f>
        <v>0</v>
      </c>
      <c r="AB45" s="588" t="s">
        <v>10</v>
      </c>
      <c r="AC45" s="908"/>
      <c r="AD45" s="911" t="s">
        <v>8</v>
      </c>
      <c r="AE45" s="1593"/>
      <c r="AF45" s="912" t="s">
        <v>10</v>
      </c>
      <c r="AG45" s="271"/>
    </row>
    <row r="46" spans="1:33" ht="51.75" customHeight="1">
      <c r="A46" s="3138">
        <v>2</v>
      </c>
      <c r="B46" s="3097" t="s">
        <v>132</v>
      </c>
      <c r="C46" s="3104"/>
      <c r="D46" s="3093" t="s">
        <v>230</v>
      </c>
      <c r="E46" s="3094"/>
      <c r="F46" s="47" t="s">
        <v>4</v>
      </c>
      <c r="G46" s="898" t="str">
        <f>'XM.FILE GOC'!$E$45</f>
        <v>60~80</v>
      </c>
      <c r="H46" s="2222" t="str">
        <f>'XM.FILE GOC'!$F$45</f>
        <v>(70±5)</v>
      </c>
      <c r="I46" s="1404">
        <f>'XM.FILE GOC'!AD45</f>
        <v>71</v>
      </c>
      <c r="J46" s="59" t="s">
        <v>8</v>
      </c>
      <c r="K46" s="587">
        <f>'XM.FILE GOC'!AG45</f>
        <v>0</v>
      </c>
      <c r="L46" s="588" t="s">
        <v>9</v>
      </c>
      <c r="M46" s="908"/>
      <c r="N46" s="909" t="s">
        <v>8</v>
      </c>
      <c r="O46" s="1594"/>
      <c r="P46" s="910" t="s">
        <v>9</v>
      </c>
      <c r="Q46" s="1404">
        <f>'XM.FILE GOC'!AK45</f>
        <v>70.599999999999994</v>
      </c>
      <c r="R46" s="59" t="s">
        <v>8</v>
      </c>
      <c r="S46" s="587">
        <f>'XM.FILE GOC'!AN45</f>
        <v>0</v>
      </c>
      <c r="T46" s="588" t="s">
        <v>9</v>
      </c>
      <c r="U46" s="908"/>
      <c r="V46" s="909" t="s">
        <v>8</v>
      </c>
      <c r="W46" s="1594"/>
      <c r="X46" s="910" t="s">
        <v>9</v>
      </c>
      <c r="Y46" s="1404">
        <f>'XM.FILE GOC'!AR45</f>
        <v>70</v>
      </c>
      <c r="Z46" s="59" t="s">
        <v>8</v>
      </c>
      <c r="AA46" s="587">
        <f>'XM.FILE GOC'!AU45</f>
        <v>0</v>
      </c>
      <c r="AB46" s="588" t="s">
        <v>9</v>
      </c>
      <c r="AC46" s="908"/>
      <c r="AD46" s="909" t="s">
        <v>8</v>
      </c>
      <c r="AE46" s="1594"/>
      <c r="AF46" s="910" t="s">
        <v>9</v>
      </c>
      <c r="AG46" s="72" t="s">
        <v>12</v>
      </c>
    </row>
    <row r="47" spans="1:33" ht="51.75" customHeight="1">
      <c r="A47" s="3147"/>
      <c r="B47" s="3105"/>
      <c r="C47" s="3106"/>
      <c r="D47" s="3093" t="s">
        <v>231</v>
      </c>
      <c r="E47" s="3094"/>
      <c r="F47" s="264"/>
      <c r="G47" s="898" t="s">
        <v>949</v>
      </c>
      <c r="H47" s="2222"/>
      <c r="I47" s="1683"/>
      <c r="J47" s="59"/>
      <c r="K47" s="954">
        <f>K46/25*7.5</f>
        <v>0</v>
      </c>
      <c r="L47" s="588" t="s">
        <v>10</v>
      </c>
      <c r="M47" s="908"/>
      <c r="N47" s="911" t="s">
        <v>8</v>
      </c>
      <c r="O47" s="1593"/>
      <c r="P47" s="912" t="s">
        <v>10</v>
      </c>
      <c r="Q47" s="1683"/>
      <c r="R47" s="59"/>
      <c r="S47" s="954">
        <f>S46/25*7.5</f>
        <v>0</v>
      </c>
      <c r="T47" s="588" t="s">
        <v>10</v>
      </c>
      <c r="U47" s="908"/>
      <c r="V47" s="911" t="s">
        <v>8</v>
      </c>
      <c r="W47" s="1593"/>
      <c r="X47" s="912" t="s">
        <v>10</v>
      </c>
      <c r="Y47" s="1683"/>
      <c r="Z47" s="59"/>
      <c r="AA47" s="954">
        <f>AA46/25*7.5</f>
        <v>0</v>
      </c>
      <c r="AB47" s="588" t="s">
        <v>10</v>
      </c>
      <c r="AC47" s="908"/>
      <c r="AD47" s="911" t="s">
        <v>8</v>
      </c>
      <c r="AE47" s="1593"/>
      <c r="AF47" s="912" t="s">
        <v>10</v>
      </c>
      <c r="AG47" s="271"/>
    </row>
    <row r="48" spans="1:33" ht="51.75" customHeight="1">
      <c r="A48" s="3138">
        <v>3</v>
      </c>
      <c r="B48" s="3091" t="s">
        <v>133</v>
      </c>
      <c r="C48" s="3092"/>
      <c r="D48" s="3095" t="s">
        <v>232</v>
      </c>
      <c r="E48" s="3096" t="s">
        <v>232</v>
      </c>
      <c r="F48" s="47" t="s">
        <v>4</v>
      </c>
      <c r="G48" s="898" t="str">
        <f>'XM.FILE GOC'!$E$47</f>
        <v>50~70</v>
      </c>
      <c r="H48" s="2222" t="str">
        <f>'XM.FILE GOC'!$F$47</f>
        <v>(60±10)</v>
      </c>
      <c r="I48" s="1404">
        <f>'XM.FILE GOC'!AD47</f>
        <v>63.293999999999997</v>
      </c>
      <c r="J48" s="59" t="s">
        <v>8</v>
      </c>
      <c r="K48" s="587">
        <f>'XM.FILE GOC'!AG47</f>
        <v>0</v>
      </c>
      <c r="L48" s="588" t="s">
        <v>9</v>
      </c>
      <c r="M48" s="908"/>
      <c r="N48" s="909" t="s">
        <v>8</v>
      </c>
      <c r="O48" s="1594"/>
      <c r="P48" s="910" t="s">
        <v>9</v>
      </c>
      <c r="Q48" s="1404">
        <f>'XM.FILE GOC'!AK47</f>
        <v>62.370000000000005</v>
      </c>
      <c r="R48" s="59" t="s">
        <v>8</v>
      </c>
      <c r="S48" s="587">
        <f>'XM.FILE GOC'!AN47</f>
        <v>0</v>
      </c>
      <c r="T48" s="588" t="s">
        <v>9</v>
      </c>
      <c r="U48" s="908"/>
      <c r="V48" s="909" t="s">
        <v>8</v>
      </c>
      <c r="W48" s="1594"/>
      <c r="X48" s="910" t="s">
        <v>9</v>
      </c>
      <c r="Y48" s="1404">
        <f>'XM.FILE GOC'!AR47</f>
        <v>61.2</v>
      </c>
      <c r="Z48" s="59" t="s">
        <v>8</v>
      </c>
      <c r="AA48" s="587">
        <f>'XM.FILE GOC'!AU47</f>
        <v>0</v>
      </c>
      <c r="AB48" s="588" t="s">
        <v>9</v>
      </c>
      <c r="AC48" s="908"/>
      <c r="AD48" s="909" t="s">
        <v>8</v>
      </c>
      <c r="AE48" s="1594"/>
      <c r="AF48" s="910" t="s">
        <v>9</v>
      </c>
      <c r="AG48" s="72" t="s">
        <v>12</v>
      </c>
    </row>
    <row r="49" spans="1:33" ht="51.75" customHeight="1">
      <c r="A49" s="3146"/>
      <c r="B49" s="3092"/>
      <c r="C49" s="3092"/>
      <c r="D49" s="3095" t="s">
        <v>233</v>
      </c>
      <c r="E49" s="3096" t="s">
        <v>233</v>
      </c>
      <c r="F49" s="264"/>
      <c r="G49" s="898" t="s">
        <v>988</v>
      </c>
      <c r="H49" s="2222"/>
      <c r="I49" s="1683"/>
      <c r="J49" s="59"/>
      <c r="K49" s="954">
        <f>K48/25*7</f>
        <v>0</v>
      </c>
      <c r="L49" s="588" t="s">
        <v>10</v>
      </c>
      <c r="M49" s="908"/>
      <c r="N49" s="911" t="s">
        <v>8</v>
      </c>
      <c r="O49" s="1593"/>
      <c r="P49" s="912" t="s">
        <v>10</v>
      </c>
      <c r="Q49" s="1683"/>
      <c r="R49" s="59"/>
      <c r="S49" s="954">
        <f>S48/25*7</f>
        <v>0</v>
      </c>
      <c r="T49" s="588" t="s">
        <v>10</v>
      </c>
      <c r="U49" s="908"/>
      <c r="V49" s="911" t="s">
        <v>8</v>
      </c>
      <c r="W49" s="1593"/>
      <c r="X49" s="912" t="s">
        <v>10</v>
      </c>
      <c r="Y49" s="1683"/>
      <c r="Z49" s="59"/>
      <c r="AA49" s="954">
        <f>AA48/25*7</f>
        <v>0</v>
      </c>
      <c r="AB49" s="588" t="s">
        <v>10</v>
      </c>
      <c r="AC49" s="908"/>
      <c r="AD49" s="911" t="s">
        <v>8</v>
      </c>
      <c r="AE49" s="1593"/>
      <c r="AF49" s="912" t="s">
        <v>10</v>
      </c>
      <c r="AG49" s="20"/>
    </row>
    <row r="50" spans="1:33" ht="51.75" customHeight="1">
      <c r="A50" s="3138">
        <v>4</v>
      </c>
      <c r="B50" s="3091" t="s">
        <v>134</v>
      </c>
      <c r="C50" s="3092"/>
      <c r="D50" s="3095" t="s">
        <v>232</v>
      </c>
      <c r="E50" s="3096" t="s">
        <v>232</v>
      </c>
      <c r="F50" s="47" t="s">
        <v>4</v>
      </c>
      <c r="G50" s="898" t="str">
        <f>'XM.FILE GOC'!$E$49</f>
        <v>50~70</v>
      </c>
      <c r="H50" s="2222" t="str">
        <f>'XM.FILE GOC'!$F$49</f>
        <v>(60±10)</v>
      </c>
      <c r="I50" s="1404">
        <f>'XM.FILE GOC'!AD49</f>
        <v>54.516000000000005</v>
      </c>
      <c r="J50" s="59" t="s">
        <v>8</v>
      </c>
      <c r="K50" s="587">
        <f>'XM.FILE GOC'!AG49</f>
        <v>8.0011559999999911</v>
      </c>
      <c r="L50" s="588" t="s">
        <v>9</v>
      </c>
      <c r="M50" s="908">
        <v>62.3</v>
      </c>
      <c r="N50" s="909" t="s">
        <v>8</v>
      </c>
      <c r="O50" s="1594"/>
      <c r="P50" s="910" t="s">
        <v>9</v>
      </c>
      <c r="Q50" s="1404">
        <f>'XM.FILE GOC'!AK49</f>
        <v>66.989999999999995</v>
      </c>
      <c r="R50" s="59" t="s">
        <v>8</v>
      </c>
      <c r="S50" s="587">
        <f>'XM.FILE GOC'!AN49</f>
        <v>0</v>
      </c>
      <c r="T50" s="588" t="s">
        <v>9</v>
      </c>
      <c r="U50" s="908"/>
      <c r="V50" s="909" t="s">
        <v>8</v>
      </c>
      <c r="W50" s="1594"/>
      <c r="X50" s="910" t="s">
        <v>9</v>
      </c>
      <c r="Y50" s="1404">
        <f>'XM.FILE GOC'!AR49</f>
        <v>66.528000000000006</v>
      </c>
      <c r="Z50" s="59" t="s">
        <v>8</v>
      </c>
      <c r="AA50" s="587">
        <f>'XM.FILE GOC'!AU49</f>
        <v>0</v>
      </c>
      <c r="AB50" s="588" t="s">
        <v>9</v>
      </c>
      <c r="AC50" s="908"/>
      <c r="AD50" s="909" t="s">
        <v>8</v>
      </c>
      <c r="AE50" s="1594"/>
      <c r="AF50" s="910" t="s">
        <v>9</v>
      </c>
      <c r="AG50" s="72" t="s">
        <v>12</v>
      </c>
    </row>
    <row r="51" spans="1:33" ht="51.75" customHeight="1">
      <c r="A51" s="3146"/>
      <c r="B51" s="3092"/>
      <c r="C51" s="3092"/>
      <c r="D51" s="3095" t="s">
        <v>233</v>
      </c>
      <c r="E51" s="3096" t="s">
        <v>233</v>
      </c>
      <c r="F51" s="264"/>
      <c r="G51" s="898" t="s">
        <v>988</v>
      </c>
      <c r="H51" s="2222"/>
      <c r="I51" s="1683"/>
      <c r="J51" s="59"/>
      <c r="K51" s="954">
        <f>K50/25*7</f>
        <v>2.2403236799999977</v>
      </c>
      <c r="L51" s="588" t="s">
        <v>10</v>
      </c>
      <c r="M51" s="908"/>
      <c r="N51" s="911" t="s">
        <v>8</v>
      </c>
      <c r="O51" s="1593"/>
      <c r="P51" s="912" t="s">
        <v>10</v>
      </c>
      <c r="Q51" s="1683"/>
      <c r="R51" s="59"/>
      <c r="S51" s="954">
        <f>S50/25*7</f>
        <v>0</v>
      </c>
      <c r="T51" s="588" t="s">
        <v>10</v>
      </c>
      <c r="U51" s="908"/>
      <c r="V51" s="911" t="s">
        <v>8</v>
      </c>
      <c r="W51" s="1593"/>
      <c r="X51" s="912" t="s">
        <v>10</v>
      </c>
      <c r="Y51" s="1683"/>
      <c r="Z51" s="59"/>
      <c r="AA51" s="954">
        <f>AA50/25*7</f>
        <v>0</v>
      </c>
      <c r="AB51" s="588" t="s">
        <v>10</v>
      </c>
      <c r="AC51" s="908"/>
      <c r="AD51" s="911" t="s">
        <v>8</v>
      </c>
      <c r="AE51" s="1593"/>
      <c r="AF51" s="912" t="s">
        <v>10</v>
      </c>
      <c r="AG51" s="20"/>
    </row>
    <row r="52" spans="1:33" ht="51.75" customHeight="1">
      <c r="A52" s="47">
        <v>5</v>
      </c>
      <c r="B52" s="3095" t="s">
        <v>79</v>
      </c>
      <c r="C52" s="3120"/>
      <c r="D52" s="3120"/>
      <c r="E52" s="3096"/>
      <c r="F52" s="47" t="s">
        <v>4</v>
      </c>
      <c r="G52" s="898" t="str">
        <f>'XM.FILE GOC'!$E$51</f>
        <v>130 - 150</v>
      </c>
      <c r="H52" s="2222" t="str">
        <f>'XM.FILE GOC'!$F$51</f>
        <v>(140±7)</v>
      </c>
      <c r="I52" s="1762">
        <f>'XM.FILE GOC'!AD51</f>
        <v>140.80000000000001</v>
      </c>
      <c r="J52" s="59" t="s">
        <v>8</v>
      </c>
      <c r="K52" s="587">
        <f>'XM.FILE GOC'!AG51</f>
        <v>0</v>
      </c>
      <c r="L52" s="588" t="s">
        <v>9</v>
      </c>
      <c r="M52" s="908"/>
      <c r="N52" s="909" t="s">
        <v>8</v>
      </c>
      <c r="O52" s="935"/>
      <c r="P52" s="910" t="s">
        <v>9</v>
      </c>
      <c r="Q52" s="1762">
        <f>'XM.FILE GOC'!AK51</f>
        <v>140</v>
      </c>
      <c r="R52" s="59" t="s">
        <v>8</v>
      </c>
      <c r="S52" s="587">
        <f>'XM.FILE GOC'!AN51</f>
        <v>0</v>
      </c>
      <c r="T52" s="588" t="s">
        <v>9</v>
      </c>
      <c r="U52" s="908"/>
      <c r="V52" s="909" t="s">
        <v>8</v>
      </c>
      <c r="W52" s="935"/>
      <c r="X52" s="910" t="s">
        <v>9</v>
      </c>
      <c r="Y52" s="1429">
        <f>'XM.FILE GOC'!AR51</f>
        <v>139.19999999999999</v>
      </c>
      <c r="Z52" s="59" t="s">
        <v>8</v>
      </c>
      <c r="AA52" s="587">
        <f>'XM.FILE GOC'!AU51</f>
        <v>15.960800000000226</v>
      </c>
      <c r="AB52" s="588" t="s">
        <v>9</v>
      </c>
      <c r="AC52" s="908">
        <v>140</v>
      </c>
      <c r="AD52" s="909" t="s">
        <v>8</v>
      </c>
      <c r="AE52" s="935"/>
      <c r="AF52" s="910" t="s">
        <v>9</v>
      </c>
      <c r="AG52" s="72" t="s">
        <v>13</v>
      </c>
    </row>
    <row r="53" spans="1:33" ht="51.75" customHeight="1">
      <c r="A53" s="47">
        <v>6</v>
      </c>
      <c r="B53" s="3095" t="s">
        <v>57</v>
      </c>
      <c r="C53" s="3120"/>
      <c r="D53" s="3120"/>
      <c r="E53" s="3096"/>
      <c r="F53" s="47" t="s">
        <v>4</v>
      </c>
      <c r="G53" s="898" t="str">
        <f>'XM.FILE GOC'!$E$52</f>
        <v>8~12</v>
      </c>
      <c r="H53" s="2222" t="str">
        <f>'XM.FILE GOC'!$F$52</f>
        <v>(10±2)</v>
      </c>
      <c r="I53" s="1738">
        <f>'XM.FILE GOC'!AD52</f>
        <v>11.309999999999999</v>
      </c>
      <c r="J53" s="951" t="s">
        <v>8</v>
      </c>
      <c r="K53" s="952">
        <f>'XM.FILE GOC'!AG52</f>
        <v>0</v>
      </c>
      <c r="L53" s="18" t="s">
        <v>9</v>
      </c>
      <c r="M53" s="908"/>
      <c r="N53" s="909" t="s">
        <v>8</v>
      </c>
      <c r="O53" s="935"/>
      <c r="P53" s="910" t="s">
        <v>9</v>
      </c>
      <c r="Q53" s="1738">
        <f>'XM.FILE GOC'!AK52</f>
        <v>11.05</v>
      </c>
      <c r="R53" s="59" t="s">
        <v>8</v>
      </c>
      <c r="S53" s="587">
        <f>'XM.FILE GOC'!AN52</f>
        <v>0</v>
      </c>
      <c r="T53" s="18" t="s">
        <v>9</v>
      </c>
      <c r="U53" s="908"/>
      <c r="V53" s="909" t="s">
        <v>8</v>
      </c>
      <c r="W53" s="935"/>
      <c r="X53" s="910" t="s">
        <v>9</v>
      </c>
      <c r="Y53" s="595">
        <f>'XM.FILE GOC'!AR52</f>
        <v>10.790000000000001</v>
      </c>
      <c r="Z53" s="59" t="s">
        <v>8</v>
      </c>
      <c r="AA53" s="587">
        <f>'XM.FILE GOC'!AU52</f>
        <v>0</v>
      </c>
      <c r="AB53" s="910" t="s">
        <v>9</v>
      </c>
      <c r="AC53" s="908"/>
      <c r="AD53" s="909" t="s">
        <v>8</v>
      </c>
      <c r="AE53" s="935"/>
      <c r="AF53" s="910" t="s">
        <v>9</v>
      </c>
      <c r="AG53" s="72" t="s">
        <v>14</v>
      </c>
    </row>
    <row r="54" spans="1:33" ht="51.75" customHeight="1">
      <c r="A54" s="3138">
        <v>7</v>
      </c>
      <c r="B54" s="3097" t="s">
        <v>946</v>
      </c>
      <c r="C54" s="3098"/>
      <c r="D54" s="3098"/>
      <c r="E54" s="3099"/>
      <c r="F54" s="47" t="s">
        <v>3</v>
      </c>
      <c r="G54" s="898" t="str">
        <f>'XM.FILE GOC'!$E$53</f>
        <v xml:space="preserve">6~10 </v>
      </c>
      <c r="H54" s="2222" t="str">
        <f>'XM.FILE GOC'!$F$53</f>
        <v>(7±1)</v>
      </c>
      <c r="I54" s="1738">
        <f>'XM.FILE GOC'!AD53</f>
        <v>7</v>
      </c>
      <c r="J54" s="951" t="s">
        <v>8</v>
      </c>
      <c r="K54" s="952">
        <f>'XM.FILE GOC'!AG53</f>
        <v>0</v>
      </c>
      <c r="L54" s="953" t="s">
        <v>10</v>
      </c>
      <c r="M54" s="908"/>
      <c r="N54" s="911" t="s">
        <v>8</v>
      </c>
      <c r="O54" s="935"/>
      <c r="P54" s="912" t="s">
        <v>10</v>
      </c>
      <c r="Q54" s="1738">
        <f>'XM.FILE GOC'!AK53</f>
        <v>7.2</v>
      </c>
      <c r="R54" s="951" t="s">
        <v>8</v>
      </c>
      <c r="S54" s="952">
        <f>'XM.FILE GOC'!AN53</f>
        <v>0</v>
      </c>
      <c r="T54" s="953" t="s">
        <v>10</v>
      </c>
      <c r="U54" s="908"/>
      <c r="V54" s="911" t="s">
        <v>8</v>
      </c>
      <c r="W54" s="935"/>
      <c r="X54" s="912" t="s">
        <v>10</v>
      </c>
      <c r="Y54" s="595">
        <f>'XM.FILE GOC'!AR53</f>
        <v>7</v>
      </c>
      <c r="Z54" s="59" t="s">
        <v>8</v>
      </c>
      <c r="AA54" s="587">
        <f>'XM.FILE GOC'!AU53</f>
        <v>0</v>
      </c>
      <c r="AB54" s="588" t="s">
        <v>10</v>
      </c>
      <c r="AC54" s="908"/>
      <c r="AD54" s="911" t="s">
        <v>8</v>
      </c>
      <c r="AE54" s="935"/>
      <c r="AF54" s="912" t="s">
        <v>10</v>
      </c>
      <c r="AG54" s="72"/>
    </row>
    <row r="55" spans="1:33" ht="51.75" customHeight="1">
      <c r="A55" s="3146"/>
      <c r="B55" s="3100"/>
      <c r="C55" s="3101"/>
      <c r="D55" s="3101"/>
      <c r="E55" s="3102"/>
      <c r="F55" s="47" t="s">
        <v>5</v>
      </c>
      <c r="G55" s="898" t="str">
        <f>'XM.FILE GOC'!$E$54</f>
        <v>2~2.5</v>
      </c>
      <c r="H55" s="2222" t="str">
        <f>'XM.FILE GOC'!$F$54</f>
        <v>(2.3±0.1 )</v>
      </c>
      <c r="I55" s="1738">
        <f>'XM.FILE GOC'!AD54</f>
        <v>2.2999999999999998</v>
      </c>
      <c r="J55" s="955"/>
      <c r="K55" s="952">
        <f>'XM.FILE GOC'!AG54</f>
        <v>0</v>
      </c>
      <c r="L55" s="956"/>
      <c r="M55" s="908"/>
      <c r="N55" s="913"/>
      <c r="O55" s="937"/>
      <c r="P55" s="914"/>
      <c r="Q55" s="1738">
        <f>'XM.FILE GOC'!AK54</f>
        <v>2.35</v>
      </c>
      <c r="R55" s="955"/>
      <c r="S55" s="952">
        <f>'XM.FILE GOC'!AN54</f>
        <v>0</v>
      </c>
      <c r="T55" s="956"/>
      <c r="U55" s="908"/>
      <c r="V55" s="913"/>
      <c r="W55" s="937"/>
      <c r="X55" s="914"/>
      <c r="Y55" s="595">
        <f>'XM.FILE GOC'!AR54</f>
        <v>2.4</v>
      </c>
      <c r="Z55" s="59"/>
      <c r="AA55" s="587">
        <f>'XM.FILE GOC'!AU54</f>
        <v>0</v>
      </c>
      <c r="AB55" s="588"/>
      <c r="AC55" s="908"/>
      <c r="AD55" s="913"/>
      <c r="AE55" s="937"/>
      <c r="AF55" s="914"/>
      <c r="AG55" s="20"/>
    </row>
    <row r="56" spans="1:33" ht="51.75" customHeight="1">
      <c r="A56" s="47">
        <v>8</v>
      </c>
      <c r="B56" s="3095" t="s">
        <v>58</v>
      </c>
      <c r="C56" s="3120"/>
      <c r="D56" s="3120"/>
      <c r="E56" s="3096"/>
      <c r="F56" s="960" t="s">
        <v>6</v>
      </c>
      <c r="G56" s="898" t="str">
        <f>'XM.FILE GOC'!$E$55</f>
        <v xml:space="preserve">40~50 </v>
      </c>
      <c r="H56" s="2222" t="str">
        <f>'XM.FILE GOC'!$F$55</f>
        <v>(45±5)</v>
      </c>
      <c r="I56" s="1743">
        <f>'XM.FILE GOC'!AD55</f>
        <v>0.45054687500000001</v>
      </c>
      <c r="J56" s="59" t="s">
        <v>8</v>
      </c>
      <c r="K56" s="587">
        <f>'XM.FILE GOC'!AG55</f>
        <v>0</v>
      </c>
      <c r="L56" s="588" t="s">
        <v>10</v>
      </c>
      <c r="M56" s="915"/>
      <c r="N56" s="909" t="s">
        <v>8</v>
      </c>
      <c r="O56" s="935"/>
      <c r="P56" s="910" t="s">
        <v>10</v>
      </c>
      <c r="Q56" s="1743">
        <f>'XM.FILE GOC'!AK55</f>
        <v>0.44600000000000001</v>
      </c>
      <c r="R56" s="59" t="s">
        <v>8</v>
      </c>
      <c r="S56" s="587">
        <f>'XM.FILE GOC'!AN55</f>
        <v>8.4880000000000067</v>
      </c>
      <c r="T56" s="588" t="s">
        <v>10</v>
      </c>
      <c r="U56" s="915">
        <v>0.46300000000000002</v>
      </c>
      <c r="V56" s="909" t="s">
        <v>8</v>
      </c>
      <c r="W56" s="935"/>
      <c r="X56" s="910" t="s">
        <v>10</v>
      </c>
      <c r="Y56" s="300">
        <f>'XM.FILE GOC'!AR55</f>
        <v>0.45624999999999999</v>
      </c>
      <c r="Z56" s="59" t="s">
        <v>8</v>
      </c>
      <c r="AA56" s="587">
        <f>'XM.FILE GOC'!AU55</f>
        <v>0</v>
      </c>
      <c r="AB56" s="588" t="s">
        <v>10</v>
      </c>
      <c r="AC56" s="915"/>
      <c r="AD56" s="909" t="s">
        <v>8</v>
      </c>
      <c r="AE56" s="935"/>
      <c r="AF56" s="910" t="s">
        <v>10</v>
      </c>
      <c r="AG56" s="72" t="s">
        <v>15</v>
      </c>
    </row>
    <row r="57" spans="1:33" ht="51.75" hidden="1" customHeight="1">
      <c r="A57" s="47">
        <v>9</v>
      </c>
      <c r="B57" s="3095" t="s">
        <v>59</v>
      </c>
      <c r="C57" s="3120"/>
      <c r="D57" s="3120"/>
      <c r="E57" s="3096"/>
      <c r="F57" s="960" t="s">
        <v>6</v>
      </c>
      <c r="G57" s="898" t="str">
        <f>'XM.FILE GOC'!$E$56</f>
        <v>(22±5) =17~27</v>
      </c>
      <c r="H57" s="2222" t="str">
        <f>'XM.FILE GOC'!$F$56</f>
        <v>(22±5)</v>
      </c>
      <c r="I57" s="1743">
        <f>'XM.FILE GOC'!AD56</f>
        <v>0</v>
      </c>
      <c r="J57" s="59" t="s">
        <v>8</v>
      </c>
      <c r="K57" s="587">
        <f>'XM.FILE GOC'!AG56</f>
        <v>134.64000000000001</v>
      </c>
      <c r="L57" s="588" t="s">
        <v>10</v>
      </c>
      <c r="M57" s="915"/>
      <c r="N57" s="909" t="s">
        <v>8</v>
      </c>
      <c r="O57" s="935"/>
      <c r="P57" s="910" t="s">
        <v>10</v>
      </c>
      <c r="Q57" s="1743">
        <f>'XM.FILE GOC'!AK56</f>
        <v>0</v>
      </c>
      <c r="R57" s="59" t="s">
        <v>8</v>
      </c>
      <c r="S57" s="587">
        <f>'XM.FILE GOC'!AN56</f>
        <v>134.64000000000001</v>
      </c>
      <c r="T57" s="588" t="s">
        <v>10</v>
      </c>
      <c r="U57" s="915"/>
      <c r="V57" s="909" t="s">
        <v>8</v>
      </c>
      <c r="W57" s="935"/>
      <c r="X57" s="910" t="s">
        <v>10</v>
      </c>
      <c r="Y57" s="300">
        <f>'XM.FILE GOC'!AR56</f>
        <v>0</v>
      </c>
      <c r="Z57" s="59" t="s">
        <v>8</v>
      </c>
      <c r="AA57" s="587">
        <f>'XM.FILE GOC'!AU56</f>
        <v>134.64000000000001</v>
      </c>
      <c r="AB57" s="588" t="s">
        <v>10</v>
      </c>
      <c r="AC57" s="915"/>
      <c r="AD57" s="909" t="s">
        <v>8</v>
      </c>
      <c r="AE57" s="935"/>
      <c r="AF57" s="910" t="s">
        <v>10</v>
      </c>
      <c r="AG57" s="72" t="s">
        <v>15</v>
      </c>
    </row>
    <row r="58" spans="1:33" ht="51.75" hidden="1" customHeight="1">
      <c r="A58" s="47">
        <v>11</v>
      </c>
      <c r="B58" s="3095" t="s">
        <v>108</v>
      </c>
      <c r="C58" s="3120"/>
      <c r="D58" s="3120"/>
      <c r="E58" s="3096"/>
      <c r="F58" s="960" t="s">
        <v>6</v>
      </c>
      <c r="G58" s="898" t="str">
        <f>'XM.FILE GOC'!$E$57</f>
        <v>5~15</v>
      </c>
      <c r="H58" s="2222" t="str">
        <f>'XM.FILE GOC'!$F$57</f>
        <v>(10±3)</v>
      </c>
      <c r="I58" s="1743">
        <f>'XM.FILE GOC'!AD57</f>
        <v>0</v>
      </c>
      <c r="J58" s="951" t="s">
        <v>8</v>
      </c>
      <c r="K58" s="952">
        <f>'XM.FILE GOC'!AG57</f>
        <v>57.5</v>
      </c>
      <c r="L58" s="953" t="s">
        <v>10</v>
      </c>
      <c r="M58" s="915"/>
      <c r="N58" s="909" t="s">
        <v>8</v>
      </c>
      <c r="O58" s="935"/>
      <c r="P58" s="910" t="s">
        <v>10</v>
      </c>
      <c r="Q58" s="1743">
        <f>'XM.FILE GOC'!AK57</f>
        <v>0</v>
      </c>
      <c r="R58" s="951" t="s">
        <v>8</v>
      </c>
      <c r="S58" s="952">
        <f>'XM.FILE GOC'!AN57</f>
        <v>57.5</v>
      </c>
      <c r="T58" s="953" t="s">
        <v>10</v>
      </c>
      <c r="U58" s="915"/>
      <c r="V58" s="909" t="s">
        <v>8</v>
      </c>
      <c r="W58" s="935"/>
      <c r="X58" s="910" t="s">
        <v>10</v>
      </c>
      <c r="Y58" s="300">
        <f>'XM.FILE GOC'!AR57</f>
        <v>0</v>
      </c>
      <c r="Z58" s="59" t="s">
        <v>8</v>
      </c>
      <c r="AA58" s="587">
        <f>'XM.FILE GOC'!AU57</f>
        <v>57.5</v>
      </c>
      <c r="AB58" s="588" t="s">
        <v>10</v>
      </c>
      <c r="AC58" s="915"/>
      <c r="AD58" s="909" t="s">
        <v>8</v>
      </c>
      <c r="AE58" s="935"/>
      <c r="AF58" s="910" t="s">
        <v>10</v>
      </c>
      <c r="AG58" s="72" t="s">
        <v>16</v>
      </c>
    </row>
    <row r="59" spans="1:33" ht="51.75" customHeight="1">
      <c r="A59" s="47">
        <v>9</v>
      </c>
      <c r="B59" s="3095" t="s">
        <v>947</v>
      </c>
      <c r="C59" s="3120"/>
      <c r="D59" s="3120"/>
      <c r="E59" s="3096"/>
      <c r="F59" s="960" t="s">
        <v>3</v>
      </c>
      <c r="G59" s="898" t="str">
        <f>'XM.FILE GOC'!$E$58</f>
        <v>0.5~1.5</v>
      </c>
      <c r="H59" s="2222" t="str">
        <f>'XM.FILE GOC'!$F$58</f>
        <v>(1±0.4)</v>
      </c>
      <c r="I59" s="1774">
        <f>'XM.FILE GOC'!AD58</f>
        <v>1.2999999999999999E-2</v>
      </c>
      <c r="J59" s="59" t="s">
        <v>8</v>
      </c>
      <c r="K59" s="954">
        <f>'XM.FILE GOC'!AG58</f>
        <v>0</v>
      </c>
      <c r="L59" s="588" t="s">
        <v>10</v>
      </c>
      <c r="M59" s="1579"/>
      <c r="N59" s="909" t="s">
        <v>8</v>
      </c>
      <c r="O59" s="935"/>
      <c r="P59" s="918" t="s">
        <v>10</v>
      </c>
      <c r="Q59" s="1774">
        <f>'XM.FILE GOC'!AK58</f>
        <v>1.0584E-2</v>
      </c>
      <c r="R59" s="59" t="s">
        <v>8</v>
      </c>
      <c r="S59" s="954">
        <f>'XM.FILE GOC'!AN58</f>
        <v>0</v>
      </c>
      <c r="T59" s="588" t="s">
        <v>10</v>
      </c>
      <c r="U59" s="1579"/>
      <c r="V59" s="909" t="s">
        <v>8</v>
      </c>
      <c r="W59" s="935"/>
      <c r="X59" s="918" t="s">
        <v>10</v>
      </c>
      <c r="Y59" s="2186">
        <f>'XM.FILE GOC'!AR58</f>
        <v>1.0206E-2</v>
      </c>
      <c r="Z59" s="59" t="s">
        <v>8</v>
      </c>
      <c r="AA59" s="954">
        <f>'XM.FILE GOC'!AU58</f>
        <v>0</v>
      </c>
      <c r="AB59" s="588" t="s">
        <v>10</v>
      </c>
      <c r="AC59" s="1579"/>
      <c r="AD59" s="909" t="s">
        <v>8</v>
      </c>
      <c r="AE59" s="935"/>
      <c r="AF59" s="918" t="s">
        <v>10</v>
      </c>
      <c r="AG59" s="72" t="s">
        <v>16</v>
      </c>
    </row>
    <row r="60" spans="1:33" ht="51.75" customHeight="1">
      <c r="A60" s="3138">
        <v>10</v>
      </c>
      <c r="B60" s="3083" t="s">
        <v>234</v>
      </c>
      <c r="C60" s="3084"/>
      <c r="D60" s="3084"/>
      <c r="E60" s="3085"/>
      <c r="F60" s="2180" t="s">
        <v>3</v>
      </c>
      <c r="G60" s="1009" t="str">
        <f>'XM.GUI MAIL'!$E$59</f>
        <v>5~8</v>
      </c>
      <c r="H60" s="2226" t="str">
        <f>'XM.GUI MAIL'!$F$59</f>
        <v>(6±0.5)</v>
      </c>
      <c r="I60" s="1840" t="str">
        <f>'XM.FILE GOC'!AD59</f>
        <v>KO SX</v>
      </c>
      <c r="J60" s="59" t="s">
        <v>8</v>
      </c>
      <c r="K60" s="954">
        <f>'XM.FILE GOC'!L98</f>
        <v>0</v>
      </c>
      <c r="L60" s="588" t="s">
        <v>10</v>
      </c>
      <c r="M60" s="2258"/>
      <c r="N60" s="909" t="s">
        <v>8</v>
      </c>
      <c r="O60" s="1594"/>
      <c r="P60" s="910" t="s">
        <v>10</v>
      </c>
      <c r="Q60" s="1840" t="str">
        <f>'XM.FILE GOC'!AK59</f>
        <v>KO SX</v>
      </c>
      <c r="R60" s="59" t="s">
        <v>8</v>
      </c>
      <c r="S60" s="954">
        <f>'XM.FILE GOC'!S98</f>
        <v>0</v>
      </c>
      <c r="T60" s="588" t="s">
        <v>10</v>
      </c>
      <c r="U60" s="2258"/>
      <c r="V60" s="909" t="s">
        <v>8</v>
      </c>
      <c r="W60" s="1594"/>
      <c r="X60" s="910" t="s">
        <v>10</v>
      </c>
      <c r="Y60" s="1840" t="str">
        <f>'XM.FILE GOC'!AR59</f>
        <v>KO SX</v>
      </c>
      <c r="Z60" s="59" t="s">
        <v>8</v>
      </c>
      <c r="AA60" s="954">
        <f>'XM.FILE GOC'!Z98</f>
        <v>0</v>
      </c>
      <c r="AB60" s="588" t="s">
        <v>10</v>
      </c>
      <c r="AC60" s="2258"/>
      <c r="AD60" s="909" t="s">
        <v>8</v>
      </c>
      <c r="AE60" s="1594"/>
      <c r="AF60" s="910" t="s">
        <v>10</v>
      </c>
      <c r="AG60" s="271"/>
    </row>
    <row r="61" spans="1:33" ht="51.75" customHeight="1">
      <c r="A61" s="3139"/>
      <c r="B61" s="3086"/>
      <c r="C61" s="3087"/>
      <c r="D61" s="3087"/>
      <c r="E61" s="3088"/>
      <c r="F61" s="2180" t="s">
        <v>5</v>
      </c>
      <c r="G61" s="1009" t="str">
        <f>'XM.GUI MAIL'!$E$60</f>
        <v>1.8~2.4</v>
      </c>
      <c r="H61" s="2226" t="str">
        <f>'XM.GUI MAIL'!$F$60</f>
        <v>(2.1±0.1 )</v>
      </c>
      <c r="I61" s="2194" t="str">
        <f>'XM.FILE GOC'!AD60</f>
        <v>KO SX</v>
      </c>
      <c r="J61" s="59"/>
      <c r="K61" s="954"/>
      <c r="L61" s="588"/>
      <c r="M61" s="915"/>
      <c r="N61" s="909"/>
      <c r="O61" s="935"/>
      <c r="P61" s="910"/>
      <c r="Q61" s="1768" t="str">
        <f>'XM.FILE GOC'!AK60</f>
        <v>KO SX</v>
      </c>
      <c r="R61" s="59"/>
      <c r="S61" s="954"/>
      <c r="T61" s="588"/>
      <c r="U61" s="915"/>
      <c r="V61" s="909"/>
      <c r="W61" s="935"/>
      <c r="X61" s="910"/>
      <c r="Y61" s="1768" t="str">
        <f>'XM.FILE GOC'!AR60</f>
        <v>KO SX</v>
      </c>
      <c r="Z61" s="59"/>
      <c r="AA61" s="954"/>
      <c r="AB61" s="588"/>
      <c r="AC61" s="915"/>
      <c r="AD61" s="909"/>
      <c r="AE61" s="935"/>
      <c r="AF61" s="910"/>
      <c r="AG61" s="271"/>
    </row>
    <row r="62" spans="1:33" ht="51.75" customHeight="1">
      <c r="A62" s="47"/>
      <c r="B62" s="2443" t="s">
        <v>109</v>
      </c>
      <c r="C62" s="2444"/>
      <c r="D62" s="2444"/>
      <c r="E62" s="2444"/>
      <c r="F62" s="2444"/>
      <c r="G62" s="2444"/>
      <c r="H62" s="2444"/>
      <c r="I62" s="2444"/>
      <c r="J62" s="2444"/>
      <c r="K62" s="2444"/>
      <c r="L62" s="2444"/>
      <c r="M62" s="2444"/>
      <c r="N62" s="2444"/>
      <c r="O62" s="2444"/>
      <c r="P62" s="2444"/>
      <c r="Q62" s="2444"/>
      <c r="R62" s="2444"/>
      <c r="S62" s="2444"/>
      <c r="T62" s="2444"/>
      <c r="U62" s="2444"/>
      <c r="V62" s="2444"/>
      <c r="W62" s="2444"/>
      <c r="X62" s="2444"/>
      <c r="Y62" s="2444"/>
      <c r="Z62" s="2444"/>
      <c r="AA62" s="2444"/>
      <c r="AB62" s="2444"/>
      <c r="AC62" s="2444"/>
      <c r="AD62" s="2444"/>
      <c r="AE62" s="2444"/>
      <c r="AF62" s="2444"/>
      <c r="AG62" s="2445"/>
    </row>
    <row r="63" spans="1:33" ht="51.75" customHeight="1">
      <c r="A63" s="960" t="s">
        <v>7</v>
      </c>
      <c r="B63" s="3095" t="s">
        <v>61</v>
      </c>
      <c r="C63" s="3120"/>
      <c r="D63" s="3120"/>
      <c r="E63" s="3096"/>
      <c r="F63" s="248" t="s">
        <v>63</v>
      </c>
      <c r="G63" s="978" t="s">
        <v>1310</v>
      </c>
      <c r="H63" s="2224" t="s">
        <v>1302</v>
      </c>
      <c r="I63" s="3140" t="s">
        <v>45</v>
      </c>
      <c r="J63" s="3141"/>
      <c r="K63" s="3140" t="s">
        <v>62</v>
      </c>
      <c r="L63" s="3142"/>
      <c r="M63" s="919"/>
      <c r="N63" s="920"/>
      <c r="O63" s="920"/>
      <c r="P63" s="921"/>
      <c r="Q63" s="3142" t="s">
        <v>45</v>
      </c>
      <c r="R63" s="3141"/>
      <c r="S63" s="3140" t="s">
        <v>62</v>
      </c>
      <c r="T63" s="3141"/>
      <c r="U63" s="919"/>
      <c r="V63" s="920"/>
      <c r="W63" s="920"/>
      <c r="X63" s="921"/>
      <c r="Y63" s="3140" t="s">
        <v>45</v>
      </c>
      <c r="Z63" s="3141"/>
      <c r="AA63" s="3140" t="s">
        <v>62</v>
      </c>
      <c r="AB63" s="3141"/>
      <c r="AC63" s="919"/>
      <c r="AD63" s="920"/>
      <c r="AE63" s="920"/>
      <c r="AF63" s="921"/>
      <c r="AG63" s="73"/>
    </row>
    <row r="64" spans="1:33" ht="51.75" customHeight="1">
      <c r="A64" s="960">
        <v>1</v>
      </c>
      <c r="B64" s="3095" t="s">
        <v>65</v>
      </c>
      <c r="C64" s="3120"/>
      <c r="D64" s="3120"/>
      <c r="E64" s="3096"/>
      <c r="F64" s="247" t="s">
        <v>195</v>
      </c>
      <c r="G64" s="898" t="str">
        <f>'XM.FILE GOC'!$E$63</f>
        <v>50~70</v>
      </c>
      <c r="H64" s="2222" t="str">
        <f>'XM.FILE GOC'!$F$63</f>
        <v>(60±5)</v>
      </c>
      <c r="I64" s="3112">
        <f>'XM.GUI MAIL'!AD63</f>
        <v>57</v>
      </c>
      <c r="J64" s="3112"/>
      <c r="K64" s="3112">
        <f>'XM.FILE GOC'!AG63</f>
        <v>56</v>
      </c>
      <c r="L64" s="3143"/>
      <c r="M64" s="922"/>
      <c r="N64" s="923"/>
      <c r="O64" s="923"/>
      <c r="P64" s="924"/>
      <c r="Q64" s="3113">
        <f>'XM.GUI MAIL'!AK63</f>
        <v>55</v>
      </c>
      <c r="R64" s="3112"/>
      <c r="S64" s="3112">
        <v>55</v>
      </c>
      <c r="T64" s="3112"/>
      <c r="U64" s="922"/>
      <c r="V64" s="923"/>
      <c r="W64" s="923"/>
      <c r="X64" s="924"/>
      <c r="Y64" s="3112">
        <f>'XM.GUI MAIL'!AR63</f>
        <v>59</v>
      </c>
      <c r="Z64" s="3112"/>
      <c r="AA64" s="3112">
        <f>'XM.FILE GOC'!AU63</f>
        <v>58</v>
      </c>
      <c r="AB64" s="3112"/>
      <c r="AC64" s="922"/>
      <c r="AD64" s="923"/>
      <c r="AE64" s="923"/>
      <c r="AF64" s="924"/>
      <c r="AG64" s="20"/>
    </row>
    <row r="65" spans="1:33" ht="51.75" customHeight="1">
      <c r="A65" s="960">
        <v>2</v>
      </c>
      <c r="B65" s="3095" t="s">
        <v>66</v>
      </c>
      <c r="C65" s="3120" t="s">
        <v>66</v>
      </c>
      <c r="D65" s="3120" t="s">
        <v>66</v>
      </c>
      <c r="E65" s="3096" t="s">
        <v>66</v>
      </c>
      <c r="F65" s="247" t="s">
        <v>195</v>
      </c>
      <c r="G65" s="898" t="str">
        <f>'XM.FILE GOC'!$E$64</f>
        <v>50~70</v>
      </c>
      <c r="H65" s="2222" t="str">
        <f>'XM.FILE GOC'!$F$64</f>
        <v>(60±5)</v>
      </c>
      <c r="I65" s="3112">
        <f>'XM.GUI MAIL'!AD64</f>
        <v>62</v>
      </c>
      <c r="J65" s="3112"/>
      <c r="K65" s="3112">
        <f>'XM.FILE GOC'!AG64</f>
        <v>61</v>
      </c>
      <c r="L65" s="3143"/>
      <c r="M65" s="922"/>
      <c r="N65" s="923"/>
      <c r="O65" s="923"/>
      <c r="P65" s="924"/>
      <c r="Q65" s="3113">
        <f>'XM.GUI MAIL'!AK64</f>
        <v>62</v>
      </c>
      <c r="R65" s="3112"/>
      <c r="S65" s="3112">
        <f>'XM.FILE GOC'!AN64</f>
        <v>61</v>
      </c>
      <c r="T65" s="3112"/>
      <c r="U65" s="922"/>
      <c r="V65" s="923"/>
      <c r="W65" s="923"/>
      <c r="X65" s="924"/>
      <c r="Y65" s="3112">
        <f>'XM.GUI MAIL'!AR64</f>
        <v>61</v>
      </c>
      <c r="Z65" s="3112"/>
      <c r="AA65" s="3112">
        <f>'XM.FILE GOC'!AU64</f>
        <v>60</v>
      </c>
      <c r="AB65" s="3112"/>
      <c r="AC65" s="922"/>
      <c r="AD65" s="923"/>
      <c r="AE65" s="923"/>
      <c r="AF65" s="924"/>
      <c r="AG65" s="20"/>
    </row>
    <row r="66" spans="1:33" ht="51.75" customHeight="1">
      <c r="A66" s="960">
        <v>3</v>
      </c>
      <c r="B66" s="3095" t="s">
        <v>68</v>
      </c>
      <c r="C66" s="3120" t="s">
        <v>68</v>
      </c>
      <c r="D66" s="3120" t="s">
        <v>68</v>
      </c>
      <c r="E66" s="3096" t="s">
        <v>68</v>
      </c>
      <c r="F66" s="247" t="s">
        <v>195</v>
      </c>
      <c r="G66" s="898" t="str">
        <f>'XM.FILE GOC'!$E$65</f>
        <v>40~60</v>
      </c>
      <c r="H66" s="2222" t="str">
        <f>'XM.FILE GOC'!$F$65</f>
        <v>(50±5)</v>
      </c>
      <c r="I66" s="3033">
        <f>'XM.GUI MAIL'!AD65</f>
        <v>53</v>
      </c>
      <c r="J66" s="3026"/>
      <c r="K66" s="3033">
        <f>'XM.FILE GOC'!AG65</f>
        <v>52</v>
      </c>
      <c r="L66" s="3026"/>
      <c r="M66" s="922"/>
      <c r="N66" s="923"/>
      <c r="O66" s="923"/>
      <c r="P66" s="924"/>
      <c r="Q66" s="3033">
        <f>'XM.GUI MAIL'!AK65</f>
        <v>53</v>
      </c>
      <c r="R66" s="3026"/>
      <c r="S66" s="3033">
        <f>'XM.FILE GOC'!AN65</f>
        <v>52</v>
      </c>
      <c r="T66" s="3026"/>
      <c r="U66" s="922"/>
      <c r="V66" s="923"/>
      <c r="W66" s="923"/>
      <c r="X66" s="924"/>
      <c r="Y66" s="3033">
        <f>'XM.GUI MAIL'!AR65</f>
        <v>52</v>
      </c>
      <c r="Z66" s="3026"/>
      <c r="AA66" s="3033">
        <f>'XM.FILE GOC'!AU65</f>
        <v>51</v>
      </c>
      <c r="AB66" s="3026"/>
      <c r="AC66" s="922"/>
      <c r="AD66" s="923"/>
      <c r="AE66" s="923"/>
      <c r="AF66" s="924"/>
      <c r="AG66" s="20"/>
    </row>
    <row r="67" spans="1:33" ht="51.75" customHeight="1">
      <c r="A67" s="960">
        <v>4</v>
      </c>
      <c r="B67" s="3095" t="s">
        <v>67</v>
      </c>
      <c r="C67" s="3120" t="s">
        <v>67</v>
      </c>
      <c r="D67" s="3120" t="s">
        <v>67</v>
      </c>
      <c r="E67" s="3096" t="s">
        <v>67</v>
      </c>
      <c r="F67" s="247" t="s">
        <v>195</v>
      </c>
      <c r="G67" s="898" t="str">
        <f>'XM.FILE GOC'!$E$66</f>
        <v>40~60</v>
      </c>
      <c r="H67" s="2222" t="str">
        <f>'XM.FILE GOC'!$F$66</f>
        <v>(50±5)</v>
      </c>
      <c r="I67" s="3033">
        <f>'XM.GUI MAIL'!AD66</f>
        <v>52</v>
      </c>
      <c r="J67" s="3026"/>
      <c r="K67" s="3033">
        <f>'XM.FILE GOC'!AG66</f>
        <v>51</v>
      </c>
      <c r="L67" s="3026"/>
      <c r="M67" s="922"/>
      <c r="N67" s="923"/>
      <c r="O67" s="923"/>
      <c r="P67" s="924"/>
      <c r="Q67" s="3033">
        <f>'XM.GUI MAIL'!AK66</f>
        <v>51</v>
      </c>
      <c r="R67" s="3026"/>
      <c r="S67" s="3033">
        <f>'XM.FILE GOC'!AN66</f>
        <v>50</v>
      </c>
      <c r="T67" s="3026"/>
      <c r="U67" s="922"/>
      <c r="V67" s="923"/>
      <c r="W67" s="923"/>
      <c r="X67" s="924"/>
      <c r="Y67" s="3033">
        <f>'XM.GUI MAIL'!AR66</f>
        <v>52</v>
      </c>
      <c r="Z67" s="3026"/>
      <c r="AA67" s="3033">
        <f>'XM.FILE GOC'!AU66</f>
        <v>51</v>
      </c>
      <c r="AB67" s="3026"/>
      <c r="AC67" s="922"/>
      <c r="AD67" s="923"/>
      <c r="AE67" s="923"/>
      <c r="AF67" s="924"/>
      <c r="AG67" s="20"/>
    </row>
    <row r="68" spans="1:33" ht="51.75" customHeight="1">
      <c r="A68" s="960">
        <v>5</v>
      </c>
      <c r="B68" s="3095" t="s">
        <v>69</v>
      </c>
      <c r="C68" s="3120" t="s">
        <v>69</v>
      </c>
      <c r="D68" s="3120" t="s">
        <v>69</v>
      </c>
      <c r="E68" s="3096" t="s">
        <v>69</v>
      </c>
      <c r="F68" s="247" t="s">
        <v>195</v>
      </c>
      <c r="G68" s="898" t="str">
        <f>'XM.FILE GOC'!$E$67</f>
        <v>22~35</v>
      </c>
      <c r="H68" s="2222" t="str">
        <f>'XM.FILE GOC'!$F$67</f>
        <v>(30±4)</v>
      </c>
      <c r="I68" s="3112">
        <f>'XM.GUI MAIL'!AD67</f>
        <v>34</v>
      </c>
      <c r="J68" s="3112"/>
      <c r="K68" s="3112">
        <f>'XM.FILE GOC'!AG67</f>
        <v>34</v>
      </c>
      <c r="L68" s="3143"/>
      <c r="M68" s="922"/>
      <c r="N68" s="923"/>
      <c r="O68" s="923"/>
      <c r="P68" s="924"/>
      <c r="Q68" s="3113">
        <f>'XM.GUI MAIL'!AK67</f>
        <v>34</v>
      </c>
      <c r="R68" s="3112"/>
      <c r="S68" s="3112">
        <f>'XM.FILE GOC'!AN67</f>
        <v>33</v>
      </c>
      <c r="T68" s="3112"/>
      <c r="U68" s="922"/>
      <c r="V68" s="923"/>
      <c r="W68" s="923"/>
      <c r="X68" s="924"/>
      <c r="Y68" s="3112">
        <f>'XM.GUI MAIL'!AR67</f>
        <v>33</v>
      </c>
      <c r="Z68" s="3112"/>
      <c r="AA68" s="3112">
        <f>'XM.FILE GOC'!AU67</f>
        <v>32</v>
      </c>
      <c r="AB68" s="3112"/>
      <c r="AC68" s="922"/>
      <c r="AD68" s="923"/>
      <c r="AE68" s="923"/>
      <c r="AF68" s="924"/>
      <c r="AG68" s="20"/>
    </row>
    <row r="69" spans="1:33" ht="51.75" customHeight="1">
      <c r="A69" s="960">
        <v>6</v>
      </c>
      <c r="B69" s="3095" t="s">
        <v>948</v>
      </c>
      <c r="C69" s="3120" t="s">
        <v>948</v>
      </c>
      <c r="D69" s="3120" t="s">
        <v>948</v>
      </c>
      <c r="E69" s="3096" t="s">
        <v>948</v>
      </c>
      <c r="F69" s="247" t="s">
        <v>195</v>
      </c>
      <c r="G69" s="898" t="str">
        <f>'XM.FILE GOC'!$E$68</f>
        <v>30-38</v>
      </c>
      <c r="H69" s="2222" t="str">
        <f>'XM.FILE GOC'!$F$68</f>
        <v>(34±2)</v>
      </c>
      <c r="I69" s="3112">
        <f>'XM.GUI MAIL'!AD68</f>
        <v>33</v>
      </c>
      <c r="J69" s="3112"/>
      <c r="K69" s="3112">
        <f>'XM.FILE GOC'!AG68</f>
        <v>32</v>
      </c>
      <c r="L69" s="3143"/>
      <c r="M69" s="922"/>
      <c r="N69" s="923"/>
      <c r="O69" s="923"/>
      <c r="P69" s="924"/>
      <c r="Q69" s="3113">
        <f>'XM.GUI MAIL'!AK68</f>
        <v>34</v>
      </c>
      <c r="R69" s="3112"/>
      <c r="S69" s="3112">
        <f>'XM.FILE GOC'!AN68</f>
        <v>33</v>
      </c>
      <c r="T69" s="3112"/>
      <c r="U69" s="922"/>
      <c r="V69" s="923"/>
      <c r="W69" s="923"/>
      <c r="X69" s="924"/>
      <c r="Y69" s="3112">
        <f>'XM.GUI MAIL'!AR68</f>
        <v>34</v>
      </c>
      <c r="Z69" s="3112"/>
      <c r="AA69" s="3112">
        <f>'XM.FILE GOC'!AU68</f>
        <v>33</v>
      </c>
      <c r="AB69" s="3112"/>
      <c r="AC69" s="922"/>
      <c r="AD69" s="923"/>
      <c r="AE69" s="923"/>
      <c r="AF69" s="924"/>
      <c r="AG69" s="22"/>
    </row>
    <row r="70" spans="1:33" ht="51.75" customHeight="1">
      <c r="A70" s="960">
        <v>7</v>
      </c>
      <c r="B70" s="3095" t="s">
        <v>70</v>
      </c>
      <c r="C70" s="3120" t="s">
        <v>70</v>
      </c>
      <c r="D70" s="3120" t="s">
        <v>70</v>
      </c>
      <c r="E70" s="3096" t="s">
        <v>70</v>
      </c>
      <c r="F70" s="247" t="s">
        <v>195</v>
      </c>
      <c r="G70" s="898" t="str">
        <f>'XM.FILE GOC'!$E$69</f>
        <v>50~70</v>
      </c>
      <c r="H70" s="2222" t="str">
        <f>'XM.FILE GOC'!$F$69</f>
        <v>(60±10)</v>
      </c>
      <c r="I70" s="3112">
        <f>'XM.GUI MAIL'!AD69</f>
        <v>58</v>
      </c>
      <c r="J70" s="3112"/>
      <c r="K70" s="3112">
        <f>'XM.FILE GOC'!AG69</f>
        <v>57</v>
      </c>
      <c r="L70" s="3143"/>
      <c r="M70" s="922"/>
      <c r="N70" s="923"/>
      <c r="O70" s="923"/>
      <c r="P70" s="924"/>
      <c r="Q70" s="3113">
        <f>'XM.GUI MAIL'!AK69</f>
        <v>55</v>
      </c>
      <c r="R70" s="3112"/>
      <c r="S70" s="3112">
        <f>'XM.FILE GOC'!AN69</f>
        <v>54</v>
      </c>
      <c r="T70" s="3112"/>
      <c r="U70" s="922"/>
      <c r="V70" s="923"/>
      <c r="W70" s="923"/>
      <c r="X70" s="924"/>
      <c r="Y70" s="3112">
        <f>'XM.GUI MAIL'!AR69</f>
        <v>56</v>
      </c>
      <c r="Z70" s="3112"/>
      <c r="AA70" s="3143">
        <f>'XM.FILE GOC'!AU69</f>
        <v>55</v>
      </c>
      <c r="AB70" s="3113"/>
      <c r="AC70" s="922"/>
      <c r="AD70" s="923"/>
      <c r="AE70" s="923"/>
      <c r="AF70" s="924"/>
      <c r="AG70" s="20"/>
    </row>
    <row r="71" spans="1:33" ht="51.75" customHeight="1">
      <c r="A71" s="960">
        <v>8</v>
      </c>
      <c r="B71" s="3130" t="s">
        <v>71</v>
      </c>
      <c r="C71" s="3131" t="s">
        <v>71</v>
      </c>
      <c r="D71" s="3131" t="s">
        <v>71</v>
      </c>
      <c r="E71" s="3132" t="s">
        <v>71</v>
      </c>
      <c r="F71" s="247" t="s">
        <v>195</v>
      </c>
      <c r="G71" s="898" t="str">
        <f>'XM.FILE GOC'!$E$70</f>
        <v>80~100</v>
      </c>
      <c r="H71" s="2222" t="str">
        <f>'XM.FILE GOC'!$F$70</f>
        <v>(90±5)</v>
      </c>
      <c r="I71" s="3140" t="s">
        <v>47</v>
      </c>
      <c r="J71" s="3141"/>
      <c r="K71" s="3026">
        <f>'XM.FILE GOC'!AG70</f>
        <v>91</v>
      </c>
      <c r="L71" s="3034"/>
      <c r="M71" s="2197"/>
      <c r="N71" s="926"/>
      <c r="O71" s="926"/>
      <c r="P71" s="927"/>
      <c r="Q71" s="3142" t="s">
        <v>47</v>
      </c>
      <c r="R71" s="3141"/>
      <c r="S71" s="3026">
        <f>'XM.FILE GOC'!AN70</f>
        <v>92</v>
      </c>
      <c r="T71" s="3026"/>
      <c r="U71" s="2197"/>
      <c r="V71" s="926"/>
      <c r="W71" s="926"/>
      <c r="X71" s="927"/>
      <c r="Y71" s="3140" t="s">
        <v>47</v>
      </c>
      <c r="Z71" s="3141"/>
      <c r="AA71" s="3026">
        <f>'XM.FILE GOC'!AU70</f>
        <v>90</v>
      </c>
      <c r="AB71" s="3026"/>
      <c r="AC71" s="925"/>
      <c r="AD71" s="926"/>
      <c r="AE71" s="926"/>
      <c r="AF71" s="927"/>
      <c r="AG71" s="20"/>
    </row>
    <row r="72" spans="1:33" ht="51.75" customHeight="1">
      <c r="A72" s="47"/>
      <c r="B72" s="2443" t="s">
        <v>110</v>
      </c>
      <c r="C72" s="2444"/>
      <c r="D72" s="2444"/>
      <c r="E72" s="2444"/>
      <c r="F72" s="2444"/>
      <c r="G72" s="2444"/>
      <c r="H72" s="2444"/>
      <c r="I72" s="2444"/>
      <c r="J72" s="2444"/>
      <c r="K72" s="2444"/>
      <c r="L72" s="2444"/>
      <c r="M72" s="2444"/>
      <c r="N72" s="2444"/>
      <c r="O72" s="2444"/>
      <c r="P72" s="2444"/>
      <c r="Q72" s="2444"/>
      <c r="R72" s="2444"/>
      <c r="S72" s="2444"/>
      <c r="T72" s="2444"/>
      <c r="U72" s="2444"/>
      <c r="V72" s="2444"/>
      <c r="W72" s="2444"/>
      <c r="X72" s="2444"/>
      <c r="Y72" s="2444"/>
      <c r="Z72" s="2444"/>
      <c r="AA72" s="2444"/>
      <c r="AB72" s="2444"/>
      <c r="AC72" s="2444"/>
      <c r="AD72" s="2444"/>
      <c r="AE72" s="2444"/>
      <c r="AF72" s="2444"/>
      <c r="AG72" s="2445"/>
    </row>
    <row r="73" spans="1:33" ht="51.75" customHeight="1">
      <c r="A73" s="960" t="s">
        <v>7</v>
      </c>
      <c r="B73" s="3095" t="s">
        <v>92</v>
      </c>
      <c r="C73" s="3136"/>
      <c r="D73" s="3136"/>
      <c r="E73" s="3137"/>
      <c r="F73" s="578" t="s">
        <v>93</v>
      </c>
      <c r="G73" s="978" t="s">
        <v>1310</v>
      </c>
      <c r="H73" s="2224" t="s">
        <v>1302</v>
      </c>
      <c r="I73" s="3145" t="s">
        <v>111</v>
      </c>
      <c r="J73" s="3131"/>
      <c r="K73" s="3131"/>
      <c r="L73" s="3132"/>
      <c r="M73" s="919"/>
      <c r="N73" s="920"/>
      <c r="O73" s="920"/>
      <c r="P73" s="921"/>
      <c r="Q73" s="3130" t="s">
        <v>111</v>
      </c>
      <c r="R73" s="3131"/>
      <c r="S73" s="3131"/>
      <c r="T73" s="3132"/>
      <c r="U73" s="919"/>
      <c r="V73" s="920"/>
      <c r="W73" s="920"/>
      <c r="X73" s="921"/>
      <c r="Y73" s="3130" t="s">
        <v>111</v>
      </c>
      <c r="Z73" s="3131"/>
      <c r="AA73" s="3131"/>
      <c r="AB73" s="3132"/>
      <c r="AC73" s="919"/>
      <c r="AD73" s="920"/>
      <c r="AE73" s="920"/>
      <c r="AF73" s="921"/>
      <c r="AG73" s="73"/>
    </row>
    <row r="74" spans="1:33" ht="51.75" customHeight="1">
      <c r="A74" s="47">
        <v>1</v>
      </c>
      <c r="B74" s="3135" t="s">
        <v>1599</v>
      </c>
      <c r="C74" s="3136"/>
      <c r="D74" s="3136"/>
      <c r="E74" s="3137"/>
      <c r="F74" s="961" t="s">
        <v>48</v>
      </c>
      <c r="G74" s="898" t="str">
        <f>'XM.FILE GOC'!$E$72</f>
        <v>100-200</v>
      </c>
      <c r="H74" s="2222" t="str">
        <f>'XM.FILE GOC'!$F$72</f>
        <v>100-200</v>
      </c>
      <c r="I74" s="3144">
        <f>'XM.FILE GOC'!AD72</f>
        <v>130</v>
      </c>
      <c r="J74" s="3136"/>
      <c r="K74" s="3136"/>
      <c r="L74" s="3137"/>
      <c r="M74" s="928"/>
      <c r="N74" s="905"/>
      <c r="O74" s="905"/>
      <c r="P74" s="929"/>
      <c r="Q74" s="3118">
        <f>'XM.FILE GOC'!AK72</f>
        <v>125</v>
      </c>
      <c r="R74" s="3136"/>
      <c r="S74" s="3136"/>
      <c r="T74" s="3137"/>
      <c r="U74" s="928"/>
      <c r="V74" s="905"/>
      <c r="W74" s="905"/>
      <c r="X74" s="929"/>
      <c r="Y74" s="3118">
        <f>'XM.GUI MAIL'!AR72</f>
        <v>130</v>
      </c>
      <c r="Z74" s="3136"/>
      <c r="AA74" s="3136"/>
      <c r="AB74" s="3137"/>
      <c r="AC74" s="928"/>
      <c r="AD74" s="905"/>
      <c r="AE74" s="905"/>
      <c r="AF74" s="929"/>
      <c r="AG74" s="22"/>
    </row>
    <row r="75" spans="1:33" ht="51.75" customHeight="1">
      <c r="A75" s="47">
        <v>2</v>
      </c>
      <c r="B75" s="3135" t="s">
        <v>1597</v>
      </c>
      <c r="C75" s="3136"/>
      <c r="D75" s="3136"/>
      <c r="E75" s="3137"/>
      <c r="F75" s="961" t="s">
        <v>48</v>
      </c>
      <c r="G75" s="898" t="str">
        <f>'XM.FILE GOC'!$E$73</f>
        <v>20-50</v>
      </c>
      <c r="H75" s="2222" t="str">
        <f>'XM.FILE GOC'!$F$73</f>
        <v>20-50</v>
      </c>
      <c r="I75" s="3144">
        <f>'XM.GUI MAIL'!AD73</f>
        <v>40</v>
      </c>
      <c r="J75" s="3136"/>
      <c r="K75" s="3136"/>
      <c r="L75" s="3137"/>
      <c r="M75" s="930"/>
      <c r="N75" s="931"/>
      <c r="O75" s="931"/>
      <c r="P75" s="932"/>
      <c r="Q75" s="3118">
        <f>'XM.GUI MAIL'!AK73</f>
        <v>42</v>
      </c>
      <c r="R75" s="3136"/>
      <c r="S75" s="3136"/>
      <c r="T75" s="3137"/>
      <c r="U75" s="930"/>
      <c r="V75" s="931"/>
      <c r="W75" s="931"/>
      <c r="X75" s="932"/>
      <c r="Y75" s="3118">
        <f>'XM.GUI MAIL'!AR73</f>
        <v>40</v>
      </c>
      <c r="Z75" s="3136"/>
      <c r="AA75" s="3136"/>
      <c r="AB75" s="3137"/>
      <c r="AC75" s="930"/>
      <c r="AD75" s="931"/>
      <c r="AE75" s="931"/>
      <c r="AF75" s="932"/>
      <c r="AG75" s="22"/>
    </row>
  </sheetData>
  <sheetProtection formatCells="0" formatColumns="0" formatRows="0" insertColumns="0" insertRows="0" insertHyperlinks="0" deleteColumns="0" deleteRows="0" selectLockedCells="1" sort="0" autoFilter="0" pivotTables="0"/>
  <mergeCells count="252">
    <mergeCell ref="Q25:R25"/>
    <mergeCell ref="S25:T25"/>
    <mergeCell ref="Y25:Z25"/>
    <mergeCell ref="AC4:AF4"/>
    <mergeCell ref="AD5:AF5"/>
    <mergeCell ref="M42:P42"/>
    <mergeCell ref="N43:P43"/>
    <mergeCell ref="U42:X42"/>
    <mergeCell ref="V43:X43"/>
    <mergeCell ref="AC42:AF42"/>
    <mergeCell ref="AD43:AF43"/>
    <mergeCell ref="R5:T5"/>
    <mergeCell ref="Z5:AB5"/>
    <mergeCell ref="AA25:AB25"/>
    <mergeCell ref="AA28:AB28"/>
    <mergeCell ref="AA30:AB30"/>
    <mergeCell ref="AA32:AB32"/>
    <mergeCell ref="AD2:AE2"/>
    <mergeCell ref="AF2:AG2"/>
    <mergeCell ref="AD3:AE3"/>
    <mergeCell ref="AF3:AG3"/>
    <mergeCell ref="AD40:AE40"/>
    <mergeCell ref="AF40:AG40"/>
    <mergeCell ref="AD41:AE41"/>
    <mergeCell ref="AF41:AG41"/>
    <mergeCell ref="AG4:AG5"/>
    <mergeCell ref="A6:A7"/>
    <mergeCell ref="AA3:AB3"/>
    <mergeCell ref="A4:A5"/>
    <mergeCell ref="B4:E5"/>
    <mergeCell ref="F4:F5"/>
    <mergeCell ref="G4:G5"/>
    <mergeCell ref="I4:L4"/>
    <mergeCell ref="Q4:T4"/>
    <mergeCell ref="Y4:AB4"/>
    <mergeCell ref="B6:C7"/>
    <mergeCell ref="D6:E6"/>
    <mergeCell ref="D7:E7"/>
    <mergeCell ref="B3:C3"/>
    <mergeCell ref="M4:P4"/>
    <mergeCell ref="N5:P5"/>
    <mergeCell ref="U4:X4"/>
    <mergeCell ref="V5:X5"/>
    <mergeCell ref="H4:H5"/>
    <mergeCell ref="I3:L3"/>
    <mergeCell ref="J5:L5"/>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A16:A17"/>
    <mergeCell ref="B16:E17"/>
    <mergeCell ref="B18:E18"/>
    <mergeCell ref="B19:E19"/>
    <mergeCell ref="B20:E20"/>
    <mergeCell ref="B21:E21"/>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2:E23"/>
    <mergeCell ref="B25:E25"/>
    <mergeCell ref="I25:J25"/>
    <mergeCell ref="K25:L25"/>
    <mergeCell ref="B29:E29"/>
    <mergeCell ref="I29:J29"/>
    <mergeCell ref="K29:L29"/>
    <mergeCell ref="Q29:R29"/>
    <mergeCell ref="S29:T29"/>
    <mergeCell ref="Y29:Z29"/>
    <mergeCell ref="AA29:AB29"/>
    <mergeCell ref="B28:E28"/>
    <mergeCell ref="I28:J28"/>
    <mergeCell ref="K28:L28"/>
    <mergeCell ref="Q28:R28"/>
    <mergeCell ref="S28:T28"/>
    <mergeCell ref="Y28:Z28"/>
    <mergeCell ref="B31:E31"/>
    <mergeCell ref="I31:J31"/>
    <mergeCell ref="K31:L31"/>
    <mergeCell ref="Q31:R31"/>
    <mergeCell ref="S31:T31"/>
    <mergeCell ref="Y31:Z31"/>
    <mergeCell ref="AA31:AB31"/>
    <mergeCell ref="B30:E30"/>
    <mergeCell ref="I30:J30"/>
    <mergeCell ref="K30:L30"/>
    <mergeCell ref="Q30:R30"/>
    <mergeCell ref="S30:T30"/>
    <mergeCell ref="Y30:Z30"/>
    <mergeCell ref="B33:E33"/>
    <mergeCell ref="I33:J33"/>
    <mergeCell ref="K33:L33"/>
    <mergeCell ref="Q33:R33"/>
    <mergeCell ref="S33:T33"/>
    <mergeCell ref="Y33:Z33"/>
    <mergeCell ref="AA33:AB33"/>
    <mergeCell ref="B32:E32"/>
    <mergeCell ref="I32:J32"/>
    <mergeCell ref="K32:L32"/>
    <mergeCell ref="Q32:R32"/>
    <mergeCell ref="S32:T32"/>
    <mergeCell ref="Y32:Z32"/>
    <mergeCell ref="B37:E37"/>
    <mergeCell ref="I37:L37"/>
    <mergeCell ref="Q37:T37"/>
    <mergeCell ref="Y37:AB37"/>
    <mergeCell ref="B35:E35"/>
    <mergeCell ref="I35:L35"/>
    <mergeCell ref="Q35:T35"/>
    <mergeCell ref="Y35:AB35"/>
    <mergeCell ref="B36:E36"/>
    <mergeCell ref="I36:L36"/>
    <mergeCell ref="Q36:T36"/>
    <mergeCell ref="Y36:AB36"/>
    <mergeCell ref="AG42:AG43"/>
    <mergeCell ref="J43:L43"/>
    <mergeCell ref="R43:T43"/>
    <mergeCell ref="Z43:AB43"/>
    <mergeCell ref="A44:A45"/>
    <mergeCell ref="AA41:AB41"/>
    <mergeCell ref="A42:A43"/>
    <mergeCell ref="B42:E43"/>
    <mergeCell ref="F42:F43"/>
    <mergeCell ref="G42:G43"/>
    <mergeCell ref="I42:L42"/>
    <mergeCell ref="Q42:T42"/>
    <mergeCell ref="Y42:AB42"/>
    <mergeCell ref="B44:C45"/>
    <mergeCell ref="D44:E44"/>
    <mergeCell ref="D45:E45"/>
    <mergeCell ref="H42:H43"/>
    <mergeCell ref="B41:C41"/>
    <mergeCell ref="I41:L41"/>
    <mergeCell ref="A50:A51"/>
    <mergeCell ref="B52:E52"/>
    <mergeCell ref="B53:E53"/>
    <mergeCell ref="A46:A47"/>
    <mergeCell ref="A48:A49"/>
    <mergeCell ref="B46:C47"/>
    <mergeCell ref="D46:E46"/>
    <mergeCell ref="D48:E48"/>
    <mergeCell ref="B48:C49"/>
    <mergeCell ref="D49:E49"/>
    <mergeCell ref="B50:C51"/>
    <mergeCell ref="D50:E50"/>
    <mergeCell ref="D51:E51"/>
    <mergeCell ref="D47:E47"/>
    <mergeCell ref="B63:E63"/>
    <mergeCell ref="I63:J63"/>
    <mergeCell ref="K63:L63"/>
    <mergeCell ref="Q63:R63"/>
    <mergeCell ref="S63:T63"/>
    <mergeCell ref="Y63:Z63"/>
    <mergeCell ref="AA63:AB63"/>
    <mergeCell ref="A54:A55"/>
    <mergeCell ref="B54:E55"/>
    <mergeCell ref="B56:E56"/>
    <mergeCell ref="B57:E57"/>
    <mergeCell ref="B58:E58"/>
    <mergeCell ref="B59:E59"/>
    <mergeCell ref="B60:E61"/>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B68:E68"/>
    <mergeCell ref="I68:J68"/>
    <mergeCell ref="K68:L68"/>
    <mergeCell ref="Q68:R68"/>
    <mergeCell ref="S68:T68"/>
    <mergeCell ref="Y68:Z68"/>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B75:E75"/>
    <mergeCell ref="I75:L75"/>
    <mergeCell ref="Q75:T75"/>
    <mergeCell ref="Y75:AB75"/>
    <mergeCell ref="B73:E73"/>
    <mergeCell ref="I73:L73"/>
    <mergeCell ref="Q73:T73"/>
    <mergeCell ref="Y73:AB73"/>
    <mergeCell ref="B74:E74"/>
    <mergeCell ref="I74:L74"/>
    <mergeCell ref="Q74:T74"/>
    <mergeCell ref="Y74:AB74"/>
    <mergeCell ref="A22:A23"/>
    <mergeCell ref="A60:A61"/>
    <mergeCell ref="B71:E71"/>
    <mergeCell ref="I71:J71"/>
    <mergeCell ref="K71:L71"/>
    <mergeCell ref="Q71:R71"/>
    <mergeCell ref="S71:T71"/>
    <mergeCell ref="Y71:Z71"/>
    <mergeCell ref="AA71:AB71"/>
    <mergeCell ref="B70:E70"/>
    <mergeCell ref="I70:J70"/>
    <mergeCell ref="K70:L70"/>
    <mergeCell ref="Q70:R70"/>
    <mergeCell ref="S70:T70"/>
    <mergeCell ref="Y70:Z70"/>
    <mergeCell ref="AA70:AB70"/>
    <mergeCell ref="AA68:AB68"/>
    <mergeCell ref="B69:E69"/>
    <mergeCell ref="I69:J69"/>
    <mergeCell ref="K69:L69"/>
    <mergeCell ref="Q69:R69"/>
    <mergeCell ref="S69:T69"/>
    <mergeCell ref="Y69:Z69"/>
    <mergeCell ref="AA69:AB69"/>
  </mergeCells>
  <phoneticPr fontId="7" type="noConversion"/>
  <conditionalFormatting sqref="I74 Q74 Y74 I36 Q36 Y36">
    <cfRule type="expression" dxfId="3264" priority="1351">
      <formula>I36&lt;100</formula>
    </cfRule>
    <cfRule type="expression" dxfId="3263" priority="1352">
      <formula>I36&gt;200</formula>
    </cfRule>
  </conditionalFormatting>
  <conditionalFormatting sqref="I75 Q75 Y75 Q37 Y37 I37">
    <cfRule type="expression" dxfId="3262" priority="1349">
      <formula>I37&lt;20</formula>
    </cfRule>
    <cfRule type="expression" dxfId="3261" priority="1350">
      <formula>I37&gt;50</formula>
    </cfRule>
  </conditionalFormatting>
  <conditionalFormatting sqref="I19 Q19 Y19 I57 Q57 Y57">
    <cfRule type="cellIs" dxfId="3260" priority="603" operator="between">
      <formula>15%</formula>
      <formula>16.99%</formula>
    </cfRule>
    <cfRule type="cellIs" dxfId="3259" priority="604" operator="between">
      <formula>27.01%</formula>
      <formula>30%</formula>
    </cfRule>
    <cfRule type="expression" dxfId="3258" priority="605">
      <formula>I19&lt;15%</formula>
    </cfRule>
    <cfRule type="expression" dxfId="3257" priority="606">
      <formula>I19&gt;30%</formula>
    </cfRule>
  </conditionalFormatting>
  <conditionalFormatting sqref="I15 Q15 Y15 I53 Q53 Y53">
    <cfRule type="expression" dxfId="3256" priority="601">
      <formula>I15&lt;8</formula>
    </cfRule>
    <cfRule type="expression" dxfId="3255" priority="602">
      <formula>I15&gt;12</formula>
    </cfRule>
  </conditionalFormatting>
  <conditionalFormatting sqref="I17 Q17 Y17 I55 Q55 Y55">
    <cfRule type="cellIs" dxfId="3254" priority="597" operator="between">
      <formula>2</formula>
      <formula>2.199</formula>
    </cfRule>
    <cfRule type="cellIs" dxfId="3253" priority="598" operator="between">
      <formula>2.41</formula>
      <formula>2.5</formula>
    </cfRule>
    <cfRule type="expression" dxfId="3252" priority="599">
      <formula>I17&lt;2</formula>
    </cfRule>
    <cfRule type="expression" dxfId="3251" priority="600">
      <formula>I17&gt;2.5</formula>
    </cfRule>
  </conditionalFormatting>
  <conditionalFormatting sqref="I20 Q20 Y20 I58 Q58 Y58">
    <cfRule type="expression" dxfId="3250" priority="595">
      <formula>I20&lt;5%</formula>
    </cfRule>
    <cfRule type="expression" dxfId="3249" priority="596">
      <formula>I20&gt;15%</formula>
    </cfRule>
  </conditionalFormatting>
  <conditionalFormatting sqref="I20 Q20 Y20 I58 Q58 Y58">
    <cfRule type="cellIs" dxfId="3248" priority="593" operator="between">
      <formula>5%</formula>
      <formula>6.99%</formula>
    </cfRule>
    <cfRule type="cellIs" dxfId="3247" priority="594" operator="between">
      <formula>13.1%</formula>
      <formula>15%</formula>
    </cfRule>
  </conditionalFormatting>
  <conditionalFormatting sqref="I6 I8 Q6 Q8 Y6 Y8 I44 I46 Q44 Q46 Y44 Y46">
    <cfRule type="cellIs" dxfId="3246" priority="589" operator="between">
      <formula>60</formula>
      <formula>64.99</formula>
    </cfRule>
    <cfRule type="cellIs" dxfId="3245" priority="590" operator="between">
      <formula>75.1</formula>
      <formula>80</formula>
    </cfRule>
    <cfRule type="expression" dxfId="3244" priority="591">
      <formula>I6&lt;60</formula>
    </cfRule>
    <cfRule type="expression" dxfId="3243" priority="592">
      <formula>I6&gt;80</formula>
    </cfRule>
  </conditionalFormatting>
  <conditionalFormatting sqref="I16 Q16 Y16 I54 Q54 Y54">
    <cfRule type="cellIs" dxfId="3242" priority="586" operator="between">
      <formula>8.01</formula>
      <formula>10</formula>
    </cfRule>
    <cfRule type="expression" dxfId="3241" priority="587">
      <formula>I16&lt;6</formula>
    </cfRule>
    <cfRule type="expression" dxfId="3240" priority="588">
      <formula>I16&gt;10</formula>
    </cfRule>
  </conditionalFormatting>
  <conditionalFormatting sqref="I18 Q18 Y18 I56 Q56 Y56">
    <cfRule type="cellIs" dxfId="3239" priority="582" operator="between">
      <formula>30%</formula>
      <formula>39.99%</formula>
    </cfRule>
    <cfRule type="cellIs" dxfId="3238" priority="583" operator="between">
      <formula>50.01%</formula>
      <formula>60%</formula>
    </cfRule>
    <cfRule type="expression" dxfId="3237" priority="584">
      <formula>I18&lt;30%</formula>
    </cfRule>
    <cfRule type="expression" dxfId="3236" priority="585">
      <formula>I18&gt;60%</formula>
    </cfRule>
  </conditionalFormatting>
  <conditionalFormatting sqref="I10 I12 Q10 Q12 Y10 Y12 K32 I32 S32 Q32 AA32 Y32 I48 I50 Q48 Q50 Y48 Y50 K70 I70 S70 Q70 AA70 Y70">
    <cfRule type="expression" dxfId="3235" priority="580">
      <formula>I10&lt;50</formula>
    </cfRule>
    <cfRule type="expression" dxfId="3234" priority="581">
      <formula>I10&gt;70</formula>
    </cfRule>
  </conditionalFormatting>
  <conditionalFormatting sqref="I14 Q14 Y14 I52 Q52 Y52">
    <cfRule type="cellIs" dxfId="3233" priority="574" operator="between">
      <formula>130</formula>
      <formula>132.99</formula>
    </cfRule>
    <cfRule type="cellIs" dxfId="3232" priority="575" operator="between">
      <formula>147.1</formula>
      <formula>150</formula>
    </cfRule>
    <cfRule type="expression" dxfId="3231" priority="576">
      <formula>I14&lt;130</formula>
    </cfRule>
    <cfRule type="expression" dxfId="3230" priority="577">
      <formula>I14&gt;150</formula>
    </cfRule>
  </conditionalFormatting>
  <conditionalFormatting sqref="I21 Q21 Y21 I59 Q59 Y59">
    <cfRule type="cellIs" dxfId="3229" priority="570" operator="between">
      <formula>0.5%</formula>
      <formula>0.599%</formula>
    </cfRule>
    <cfRule type="cellIs" dxfId="3228" priority="571" operator="between">
      <formula>1.41%</formula>
      <formula>1.5%</formula>
    </cfRule>
    <cfRule type="expression" dxfId="3227" priority="572">
      <formula>I21&lt;0.5%</formula>
    </cfRule>
    <cfRule type="expression" dxfId="3226" priority="573">
      <formula>I21&gt;1.5%</formula>
    </cfRule>
  </conditionalFormatting>
  <conditionalFormatting sqref="I30:L30 Q30:T30 Y30:AB30 I68:L68 Q68:T68 Y68:AB68">
    <cfRule type="cellIs" dxfId="3225" priority="378" operator="between">
      <formula>22</formula>
      <formula>25.99</formula>
    </cfRule>
    <cfRule type="cellIs" dxfId="3224" priority="379" operator="between">
      <formula>34.1</formula>
      <formula>35</formula>
    </cfRule>
    <cfRule type="expression" dxfId="3223" priority="380">
      <formula>I30&lt;22</formula>
    </cfRule>
    <cfRule type="expression" dxfId="3222" priority="381">
      <formula>I30&gt;35</formula>
    </cfRule>
  </conditionalFormatting>
  <conditionalFormatting sqref="I31:L31 Q31:T31 Y31:AB31 I69:L69 Q69:T69 Y69:AB69">
    <cfRule type="cellIs" dxfId="3221" priority="374" operator="between">
      <formula>30</formula>
      <formula>31.99</formula>
    </cfRule>
    <cfRule type="cellIs" dxfId="3220" priority="375" operator="between">
      <formula>36.1</formula>
      <formula>38</formula>
    </cfRule>
    <cfRule type="expression" dxfId="3219" priority="376">
      <formula>I31&lt;30</formula>
    </cfRule>
    <cfRule type="expression" dxfId="3218" priority="377">
      <formula>I31&gt;38</formula>
    </cfRule>
  </conditionalFormatting>
  <conditionalFormatting sqref="K71 K33 S33 AA33 S71 AA71">
    <cfRule type="cellIs" dxfId="3217" priority="370" operator="between">
      <formula>80</formula>
      <formula>84.9</formula>
    </cfRule>
    <cfRule type="cellIs" dxfId="3216" priority="371" operator="between">
      <formula>95.1</formula>
      <formula>100</formula>
    </cfRule>
    <cfRule type="expression" dxfId="3215" priority="372">
      <formula>K33&lt;80</formula>
    </cfRule>
    <cfRule type="expression" dxfId="3214" priority="373">
      <formula>K33&gt;100</formula>
    </cfRule>
  </conditionalFormatting>
  <conditionalFormatting sqref="I26:L27 Q26:T27 Y26:AB27 I64:L65 Q64:T65 Y64:AB65">
    <cfRule type="cellIs" dxfId="3213" priority="366" operator="between">
      <formula>50</formula>
      <formula>54.9</formula>
    </cfRule>
    <cfRule type="cellIs" dxfId="3212" priority="367" operator="between">
      <formula>65.1</formula>
      <formula>70</formula>
    </cfRule>
    <cfRule type="expression" dxfId="3211" priority="368">
      <formula>I26&lt;50</formula>
    </cfRule>
    <cfRule type="expression" dxfId="3210" priority="369">
      <formula>I26&gt;70</formula>
    </cfRule>
  </conditionalFormatting>
  <conditionalFormatting sqref="I61 Q61 Y61 I23 Q23 Y23">
    <cfRule type="cellIs" dxfId="3209" priority="113" operator="between">
      <formula>1.8</formula>
      <formula>1.999</formula>
    </cfRule>
    <cfRule type="cellIs" dxfId="3208" priority="114" operator="between">
      <formula>2.21</formula>
      <formula>2.4</formula>
    </cfRule>
    <cfRule type="expression" dxfId="3207" priority="115">
      <formula>I23&lt;1.8</formula>
    </cfRule>
    <cfRule type="expression" dxfId="3206" priority="116">
      <formula>I23&gt;2.4</formula>
    </cfRule>
  </conditionalFormatting>
  <conditionalFormatting sqref="I28:I29 K28:K29 Q28:Q29 S28:S29 Y28:Y29 AA28:AA29 I66:I67 K66:K67 Q66:Q67 S66:S67 Y66:Y67 AA66:AA67">
    <cfRule type="expression" dxfId="3205" priority="71">
      <formula>I28&lt;45</formula>
    </cfRule>
    <cfRule type="expression" dxfId="3204" priority="72">
      <formula>I28&gt;55</formula>
    </cfRule>
  </conditionalFormatting>
  <conditionalFormatting sqref="I60 Q60 Y60 I22 Q22 Y22">
    <cfRule type="cellIs" dxfId="3203" priority="21" operator="between">
      <formula>5</formula>
      <formula>5.499</formula>
    </cfRule>
    <cfRule type="cellIs" dxfId="3202" priority="22" operator="between">
      <formula>6.51</formula>
      <formula>8</formula>
    </cfRule>
    <cfRule type="expression" dxfId="3201" priority="23">
      <formula>I22&lt;5</formula>
    </cfRule>
    <cfRule type="expression" dxfId="3200" priority="24">
      <formula>I22&gt;8</formula>
    </cfRule>
  </conditionalFormatting>
  <pageMargins left="0.3" right="0" top="0.19" bottom="0" header="0" footer="0"/>
  <pageSetup paperSize="9" scale="47" orientation="portrait" verticalDpi="300" r:id="rId1"/>
  <headerFooter alignWithMargins="0">
    <oddFooter>&amp;L&amp;10DCC No.：      Q4-CXVN-PC01-IS10-02&amp;C&amp;10Ver.： 01&amp;R&amp;10保存期限： 1 年</oddFooter>
  </headerFooter>
  <drawing r:id="rId2"/>
</worksheet>
</file>

<file path=xl/worksheets/sheet15.xml><?xml version="1.0" encoding="utf-8"?>
<worksheet xmlns="http://schemas.openxmlformats.org/spreadsheetml/2006/main" xmlns:r="http://schemas.openxmlformats.org/officeDocument/2006/relationships">
  <sheetPr codeName="Sheet6">
    <tabColor rgb="FFFFC000"/>
  </sheetPr>
  <dimension ref="A1:BO83"/>
  <sheetViews>
    <sheetView topLeftCell="H1" zoomScale="55" zoomScaleNormal="55" zoomScaleSheetLayoutView="55" workbookViewId="0">
      <pane ySplit="1" topLeftCell="A44" activePane="bottomLeft" state="frozen"/>
      <selection pane="bottomLeft" activeCell="AE48" sqref="AE48:AE65"/>
    </sheetView>
  </sheetViews>
  <sheetFormatPr defaultRowHeight="16.5"/>
  <cols>
    <col min="1" max="1" width="5" style="982" customWidth="1"/>
    <col min="2" max="2" width="8" style="983" customWidth="1"/>
    <col min="3" max="3" width="3.5" style="983" customWidth="1"/>
    <col min="4" max="4" width="6" style="983" customWidth="1"/>
    <col min="5" max="5" width="6.5" style="983" customWidth="1"/>
    <col min="6" max="6" width="7.5" style="984" customWidth="1"/>
    <col min="7" max="7" width="14.125" style="984" customWidth="1"/>
    <col min="8" max="8" width="11.625" style="984" customWidth="1"/>
    <col min="9" max="9" width="8.375" style="984" customWidth="1"/>
    <col min="10" max="10" width="2.625" style="984" customWidth="1"/>
    <col min="11" max="11" width="8" style="984" customWidth="1"/>
    <col min="12" max="12" width="4" style="984" customWidth="1"/>
    <col min="13" max="13" width="6.625" style="946" customWidth="1"/>
    <col min="14" max="14" width="2.75" style="946" customWidth="1"/>
    <col min="15" max="15" width="8.75" style="946" customWidth="1"/>
    <col min="16" max="16" width="4" style="946" customWidth="1"/>
    <col min="17" max="17" width="8.25" style="984" customWidth="1"/>
    <col min="18" max="18" width="2.375" style="984" customWidth="1"/>
    <col min="19" max="19" width="8.25" style="984" customWidth="1"/>
    <col min="20" max="20" width="4.25" style="984" customWidth="1"/>
    <col min="21" max="21" width="7.125" style="946" customWidth="1"/>
    <col min="22" max="22" width="4" style="946" customWidth="1"/>
    <col min="23" max="23" width="7.875" style="946" customWidth="1"/>
    <col min="24" max="24" width="3.75" style="946" customWidth="1"/>
    <col min="25" max="25" width="7.5" style="984" customWidth="1"/>
    <col min="26" max="26" width="4.25" style="984" customWidth="1"/>
    <col min="27" max="27" width="7.625" style="984" customWidth="1"/>
    <col min="28" max="28" width="4.875" style="984" customWidth="1"/>
    <col min="29" max="29" width="7" style="946" customWidth="1"/>
    <col min="30" max="30" width="3.75" style="946" customWidth="1"/>
    <col min="31" max="31" width="7.5" style="946" customWidth="1"/>
    <col min="32" max="32" width="4.25" style="946" customWidth="1"/>
    <col min="33" max="33" width="7.625" style="8" customWidth="1"/>
    <col min="34" max="34" width="1.75" style="8" customWidth="1"/>
    <col min="35" max="35" width="3.875" style="982" customWidth="1"/>
    <col min="36" max="36" width="8" style="983" customWidth="1"/>
    <col min="37" max="37" width="3.5" style="983" customWidth="1"/>
    <col min="38" max="38" width="6" style="983" customWidth="1"/>
    <col min="39" max="39" width="5.5" style="983" customWidth="1"/>
    <col min="40" max="40" width="7.5" style="984" customWidth="1"/>
    <col min="41" max="41" width="12.5" style="984" customWidth="1"/>
    <col min="42" max="42" width="9.75" style="984" customWidth="1"/>
    <col min="43" max="43" width="8.375" style="984" customWidth="1"/>
    <col min="44" max="44" width="2.625" style="984" customWidth="1"/>
    <col min="45" max="45" width="8" style="984" customWidth="1"/>
    <col min="46" max="46" width="4" style="984" customWidth="1"/>
    <col min="47" max="47" width="7.5" style="946" customWidth="1"/>
    <col min="48" max="48" width="2.75" style="946" customWidth="1"/>
    <col min="49" max="49" width="8.75" style="946" customWidth="1"/>
    <col min="50" max="50" width="4" style="946" customWidth="1"/>
    <col min="51" max="51" width="8.25" style="984" customWidth="1"/>
    <col min="52" max="52" width="2.375" style="984" customWidth="1"/>
    <col min="53" max="53" width="8.25" style="984" customWidth="1"/>
    <col min="54" max="54" width="4.25" style="984" customWidth="1"/>
    <col min="55" max="55" width="8.375" style="946" customWidth="1"/>
    <col min="56" max="56" width="4" style="946" customWidth="1"/>
    <col min="57" max="57" width="7.375" style="946" customWidth="1"/>
    <col min="58" max="58" width="3.75" style="946" customWidth="1"/>
    <col min="59" max="59" width="7.5" style="984" customWidth="1"/>
    <col min="60" max="60" width="4.25" style="984" customWidth="1"/>
    <col min="61" max="61" width="7.625" style="984" customWidth="1"/>
    <col min="62" max="62" width="4.375" style="984" customWidth="1"/>
    <col min="63" max="63" width="8.125" style="946" customWidth="1"/>
    <col min="64" max="64" width="3.75" style="946" customWidth="1"/>
    <col min="65" max="65" width="6.5" style="946" customWidth="1"/>
    <col min="66" max="66" width="4.25" style="946" customWidth="1"/>
    <col min="67" max="67" width="7.125" style="8" customWidth="1"/>
    <col min="68" max="16384" width="9" style="8"/>
  </cols>
  <sheetData>
    <row r="1" spans="1:67" ht="28.5" customHeight="1">
      <c r="B1" s="1546" t="s">
        <v>135</v>
      </c>
      <c r="C1" s="1546"/>
      <c r="D1" s="1546"/>
      <c r="E1" s="1546"/>
      <c r="F1" s="1546"/>
      <c r="G1" s="1546"/>
      <c r="H1" s="1546"/>
      <c r="I1" s="1546"/>
      <c r="J1" s="1546"/>
      <c r="K1" s="1546"/>
      <c r="L1" s="1546"/>
      <c r="M1" s="1546"/>
      <c r="N1" s="1546"/>
      <c r="O1" s="1546"/>
      <c r="P1" s="1546"/>
      <c r="Q1" s="1546"/>
      <c r="R1" s="1546"/>
      <c r="S1" s="1546"/>
      <c r="T1" s="1546"/>
      <c r="U1" s="1546"/>
      <c r="V1" s="1546"/>
      <c r="W1" s="1546"/>
      <c r="X1" s="1546"/>
      <c r="Y1" s="1546"/>
      <c r="Z1" s="1546"/>
      <c r="AA1" s="2446"/>
      <c r="AB1" s="2446"/>
      <c r="AC1" s="2447"/>
      <c r="AD1" s="947"/>
      <c r="AE1" s="947"/>
      <c r="AF1" s="947"/>
      <c r="AG1" s="61"/>
      <c r="AJ1" s="1546" t="s">
        <v>135</v>
      </c>
      <c r="AK1" s="1546"/>
      <c r="AL1" s="1546"/>
      <c r="AM1" s="1546"/>
      <c r="AN1" s="1546"/>
      <c r="AO1" s="1546"/>
      <c r="AP1" s="1546"/>
      <c r="AQ1" s="1546"/>
      <c r="AR1" s="1546"/>
      <c r="AS1" s="1546"/>
      <c r="AT1" s="1546"/>
      <c r="AU1" s="1546"/>
      <c r="AV1" s="1546"/>
      <c r="AW1" s="1546"/>
      <c r="AX1" s="1546"/>
      <c r="AY1" s="1546"/>
      <c r="AZ1" s="1546"/>
      <c r="BA1" s="1546"/>
      <c r="BB1" s="1546"/>
      <c r="BC1" s="1546"/>
      <c r="BD1" s="1546"/>
      <c r="BE1" s="1546"/>
      <c r="BF1" s="1546"/>
      <c r="BG1" s="1546"/>
      <c r="BH1" s="1546"/>
      <c r="BI1" s="2446"/>
      <c r="BJ1" s="2446"/>
      <c r="BK1" s="2447"/>
      <c r="BL1" s="947"/>
      <c r="BM1" s="947"/>
      <c r="BN1" s="947"/>
      <c r="BO1" s="61"/>
    </row>
    <row r="2" spans="1:67" ht="51.75" customHeight="1">
      <c r="B2" s="2448" t="s">
        <v>136</v>
      </c>
      <c r="C2" s="2448"/>
      <c r="D2" s="2448"/>
      <c r="E2" s="2448"/>
      <c r="F2" s="2448"/>
      <c r="G2" s="2448"/>
      <c r="H2" s="2448"/>
      <c r="I2" s="2448"/>
      <c r="J2" s="2448"/>
      <c r="K2" s="2448"/>
      <c r="L2" s="2448"/>
      <c r="M2" s="2448"/>
      <c r="N2" s="2448"/>
      <c r="O2" s="2448"/>
      <c r="P2" s="2448"/>
      <c r="Q2" s="2448"/>
      <c r="R2" s="2448"/>
      <c r="S2" s="2448"/>
      <c r="T2" s="2448"/>
      <c r="U2" s="2448"/>
      <c r="V2" s="2448"/>
      <c r="W2" s="2448"/>
      <c r="X2" s="2706"/>
      <c r="Y2" s="2448"/>
      <c r="Z2" s="2448"/>
      <c r="AA2" s="2446"/>
      <c r="AB2" s="2446"/>
      <c r="AC2" s="2447"/>
      <c r="AD2" s="3121" t="s">
        <v>88</v>
      </c>
      <c r="AE2" s="3121"/>
      <c r="AF2" s="3122" t="s">
        <v>89</v>
      </c>
      <c r="AG2" s="3123"/>
      <c r="AJ2" s="2448" t="s">
        <v>1511</v>
      </c>
      <c r="AK2" s="2448"/>
      <c r="AL2" s="2448"/>
      <c r="AM2" s="2448"/>
      <c r="AN2" s="2448"/>
      <c r="AO2" s="2448"/>
      <c r="AP2" s="2448"/>
      <c r="AQ2" s="2448"/>
      <c r="AR2" s="2448"/>
      <c r="AS2" s="2448"/>
      <c r="AT2" s="2448"/>
      <c r="AU2" s="2448"/>
      <c r="AV2" s="2448"/>
      <c r="AW2" s="2448"/>
      <c r="AX2" s="2448"/>
      <c r="AY2" s="2448"/>
      <c r="AZ2" s="2448"/>
      <c r="BA2" s="2448"/>
      <c r="BB2" s="2448"/>
      <c r="BC2" s="2448"/>
      <c r="BD2" s="2448"/>
      <c r="BE2" s="2448"/>
      <c r="BF2" s="2448"/>
      <c r="BG2" s="2448"/>
      <c r="BH2" s="2448"/>
      <c r="BI2" s="2446"/>
      <c r="BJ2" s="2446"/>
      <c r="BK2" s="2447"/>
      <c r="BL2" s="3121" t="s">
        <v>88</v>
      </c>
      <c r="BM2" s="3121"/>
      <c r="BN2" s="3122" t="s">
        <v>89</v>
      </c>
      <c r="BO2" s="3123"/>
    </row>
    <row r="3" spans="1:67" ht="32.25" customHeight="1">
      <c r="A3" s="970"/>
      <c r="B3" s="1424" t="s">
        <v>127</v>
      </c>
      <c r="C3" s="1425"/>
      <c r="D3" s="1395"/>
      <c r="E3" s="1396"/>
      <c r="F3" s="1397"/>
      <c r="G3" s="1394" t="s">
        <v>1623</v>
      </c>
      <c r="H3" s="1819" t="str">
        <f>MENU!$AC$9</f>
        <v>Thứ 4,</v>
      </c>
      <c r="I3" s="3089" t="str">
        <f>MENU!$AD$9</f>
        <v>2024/05/22</v>
      </c>
      <c r="J3" s="3090"/>
      <c r="K3" s="3090"/>
      <c r="L3" s="3090"/>
      <c r="M3" s="944"/>
      <c r="N3" s="944"/>
      <c r="O3" s="944"/>
      <c r="P3" s="944"/>
      <c r="Q3" s="971"/>
      <c r="R3" s="971"/>
      <c r="S3" s="971"/>
      <c r="T3" s="971"/>
      <c r="U3" s="944"/>
      <c r="V3" s="944"/>
      <c r="W3" s="944"/>
      <c r="X3" s="944"/>
      <c r="Y3" s="971"/>
      <c r="Z3" s="971"/>
      <c r="AA3" s="985"/>
      <c r="AB3" s="985"/>
      <c r="AC3" s="947"/>
      <c r="AD3" s="3124" t="str">
        <f>MENU!AE6</f>
        <v>Mi</v>
      </c>
      <c r="AE3" s="3124"/>
      <c r="AF3" s="3128" t="s">
        <v>11</v>
      </c>
      <c r="AG3" s="3129"/>
      <c r="AI3" s="970"/>
      <c r="AJ3" s="1424" t="s">
        <v>127</v>
      </c>
      <c r="AK3" s="1425"/>
      <c r="AL3" s="1395"/>
      <c r="AM3" s="1396"/>
      <c r="AN3" s="1397"/>
      <c r="AO3" s="1394" t="s">
        <v>1623</v>
      </c>
      <c r="AP3" s="1819" t="str">
        <f>MENU!$AC$9</f>
        <v>Thứ 4,</v>
      </c>
      <c r="AQ3" s="3089" t="str">
        <f>MENU!$AD$9</f>
        <v>2024/05/22</v>
      </c>
      <c r="AR3" s="3090"/>
      <c r="AS3" s="3090"/>
      <c r="AT3" s="3090"/>
      <c r="AU3" s="944"/>
      <c r="AV3" s="944"/>
      <c r="AW3" s="944"/>
      <c r="AX3" s="944"/>
      <c r="AY3" s="971"/>
      <c r="AZ3" s="971"/>
      <c r="BA3" s="971"/>
      <c r="BB3" s="971"/>
      <c r="BC3" s="944"/>
      <c r="BD3" s="944"/>
      <c r="BE3" s="944"/>
      <c r="BF3" s="944"/>
      <c r="BG3" s="971"/>
      <c r="BH3" s="971"/>
      <c r="BI3" s="985"/>
      <c r="BJ3" s="985"/>
      <c r="BK3" s="947"/>
      <c r="BL3" s="3124" t="str">
        <f>MENU!AE6</f>
        <v>Mi</v>
      </c>
      <c r="BM3" s="3124"/>
      <c r="BN3" s="3128" t="s">
        <v>11</v>
      </c>
      <c r="BO3" s="3129"/>
    </row>
    <row r="4" spans="1:67" s="62" customFormat="1" ht="46.5" customHeight="1">
      <c r="A4" s="3181" t="s">
        <v>7</v>
      </c>
      <c r="B4" s="3097" t="s">
        <v>76</v>
      </c>
      <c r="C4" s="3098"/>
      <c r="D4" s="3098"/>
      <c r="E4" s="3099"/>
      <c r="F4" s="3133" t="s">
        <v>124</v>
      </c>
      <c r="G4" s="3059" t="s">
        <v>1310</v>
      </c>
      <c r="H4" s="3109" t="s">
        <v>1302</v>
      </c>
      <c r="I4" s="3155">
        <v>0.30208333333333331</v>
      </c>
      <c r="J4" s="3065"/>
      <c r="K4" s="3065"/>
      <c r="L4" s="3066"/>
      <c r="M4" s="3073" t="s">
        <v>939</v>
      </c>
      <c r="N4" s="3185"/>
      <c r="O4" s="3185"/>
      <c r="P4" s="3186"/>
      <c r="Q4" s="3064">
        <v>0.46875</v>
      </c>
      <c r="R4" s="3065"/>
      <c r="S4" s="3065"/>
      <c r="T4" s="3066"/>
      <c r="U4" s="3073" t="s">
        <v>939</v>
      </c>
      <c r="V4" s="3074"/>
      <c r="W4" s="3074"/>
      <c r="X4" s="3075"/>
      <c r="Y4" s="3064">
        <v>0.63541666666666663</v>
      </c>
      <c r="Z4" s="3065"/>
      <c r="AA4" s="3065"/>
      <c r="AB4" s="3066"/>
      <c r="AC4" s="3073" t="s">
        <v>939</v>
      </c>
      <c r="AD4" s="3074"/>
      <c r="AE4" s="3074"/>
      <c r="AF4" s="3075"/>
      <c r="AG4" s="3148" t="s">
        <v>38</v>
      </c>
      <c r="AI4" s="3181" t="s">
        <v>7</v>
      </c>
      <c r="AJ4" s="3097" t="s">
        <v>76</v>
      </c>
      <c r="AK4" s="3098"/>
      <c r="AL4" s="3098"/>
      <c r="AM4" s="3099"/>
      <c r="AN4" s="3133" t="s">
        <v>124</v>
      </c>
      <c r="AO4" s="3059" t="s">
        <v>1310</v>
      </c>
      <c r="AP4" s="3109" t="s">
        <v>1302</v>
      </c>
      <c r="AQ4" s="3155">
        <v>0.30208333333333331</v>
      </c>
      <c r="AR4" s="3065"/>
      <c r="AS4" s="3065"/>
      <c r="AT4" s="3066"/>
      <c r="AU4" s="3073" t="s">
        <v>939</v>
      </c>
      <c r="AV4" s="3185"/>
      <c r="AW4" s="3185"/>
      <c r="AX4" s="3186"/>
      <c r="AY4" s="3064">
        <v>0.46875</v>
      </c>
      <c r="AZ4" s="3065"/>
      <c r="BA4" s="3065"/>
      <c r="BB4" s="3066"/>
      <c r="BC4" s="3073" t="s">
        <v>939</v>
      </c>
      <c r="BD4" s="3074"/>
      <c r="BE4" s="3074"/>
      <c r="BF4" s="3075"/>
      <c r="BG4" s="3064">
        <v>0.63541666666666663</v>
      </c>
      <c r="BH4" s="3065"/>
      <c r="BI4" s="3065"/>
      <c r="BJ4" s="3066"/>
      <c r="BK4" s="3073" t="s">
        <v>939</v>
      </c>
      <c r="BL4" s="3074"/>
      <c r="BM4" s="3074"/>
      <c r="BN4" s="3075"/>
      <c r="BO4" s="3148" t="s">
        <v>38</v>
      </c>
    </row>
    <row r="5" spans="1:67" s="62" customFormat="1" ht="46.5" customHeight="1">
      <c r="A5" s="3181"/>
      <c r="B5" s="3100"/>
      <c r="C5" s="3101"/>
      <c r="D5" s="3101"/>
      <c r="E5" s="3102"/>
      <c r="F5" s="3134"/>
      <c r="G5" s="3060"/>
      <c r="H5" s="3110"/>
      <c r="I5" s="2209" t="s">
        <v>129</v>
      </c>
      <c r="J5" s="3070" t="s">
        <v>1</v>
      </c>
      <c r="K5" s="3071"/>
      <c r="L5" s="3072"/>
      <c r="M5" s="907" t="s">
        <v>940</v>
      </c>
      <c r="N5" s="3076" t="s">
        <v>1</v>
      </c>
      <c r="O5" s="3076"/>
      <c r="P5" s="3077"/>
      <c r="Q5" s="950" t="s">
        <v>129</v>
      </c>
      <c r="R5" s="3070" t="s">
        <v>1</v>
      </c>
      <c r="S5" s="3071"/>
      <c r="T5" s="3072"/>
      <c r="U5" s="907" t="s">
        <v>129</v>
      </c>
      <c r="V5" s="3076" t="s">
        <v>1</v>
      </c>
      <c r="W5" s="3076"/>
      <c r="X5" s="3077"/>
      <c r="Y5" s="950" t="s">
        <v>129</v>
      </c>
      <c r="Z5" s="3070" t="s">
        <v>1</v>
      </c>
      <c r="AA5" s="3071"/>
      <c r="AB5" s="3072"/>
      <c r="AC5" s="907" t="s">
        <v>129</v>
      </c>
      <c r="AD5" s="3076" t="s">
        <v>1</v>
      </c>
      <c r="AE5" s="3076"/>
      <c r="AF5" s="3077"/>
      <c r="AG5" s="3149"/>
      <c r="AI5" s="3181"/>
      <c r="AJ5" s="3100"/>
      <c r="AK5" s="3101"/>
      <c r="AL5" s="3101"/>
      <c r="AM5" s="3102"/>
      <c r="AN5" s="3134"/>
      <c r="AO5" s="3060"/>
      <c r="AP5" s="3110"/>
      <c r="AQ5" s="2209" t="s">
        <v>129</v>
      </c>
      <c r="AR5" s="3070" t="s">
        <v>1</v>
      </c>
      <c r="AS5" s="3071"/>
      <c r="AT5" s="3072"/>
      <c r="AU5" s="907" t="s">
        <v>940</v>
      </c>
      <c r="AV5" s="3076" t="s">
        <v>1</v>
      </c>
      <c r="AW5" s="3076"/>
      <c r="AX5" s="3077"/>
      <c r="AY5" s="950" t="s">
        <v>129</v>
      </c>
      <c r="AZ5" s="3070" t="s">
        <v>1</v>
      </c>
      <c r="BA5" s="3071"/>
      <c r="BB5" s="3072"/>
      <c r="BC5" s="907" t="s">
        <v>129</v>
      </c>
      <c r="BD5" s="3076" t="s">
        <v>1</v>
      </c>
      <c r="BE5" s="3076"/>
      <c r="BF5" s="3077"/>
      <c r="BG5" s="950" t="s">
        <v>129</v>
      </c>
      <c r="BH5" s="3070" t="s">
        <v>1</v>
      </c>
      <c r="BI5" s="3071"/>
      <c r="BJ5" s="3072"/>
      <c r="BK5" s="907" t="s">
        <v>129</v>
      </c>
      <c r="BL5" s="3076" t="s">
        <v>1</v>
      </c>
      <c r="BM5" s="3076"/>
      <c r="BN5" s="3077"/>
      <c r="BO5" s="3149"/>
    </row>
    <row r="6" spans="1:67" ht="45.75" customHeight="1">
      <c r="A6" s="3206">
        <v>1</v>
      </c>
      <c r="B6" s="3223" t="s">
        <v>950</v>
      </c>
      <c r="C6" s="3224"/>
      <c r="D6" s="3093" t="s">
        <v>1590</v>
      </c>
      <c r="E6" s="3094"/>
      <c r="F6" s="2426" t="s">
        <v>4</v>
      </c>
      <c r="G6" s="898" t="str">
        <f>'XM.FILE GOC'!$E$78</f>
        <v>40~60</v>
      </c>
      <c r="H6" s="2222" t="str">
        <f>'XM.FILE GOC'!$F$78</f>
        <v>(50±5)</v>
      </c>
      <c r="I6" s="2225">
        <f>'XM.FILE GOC'!I78</f>
        <v>47.701499999999996</v>
      </c>
      <c r="J6" s="972" t="s">
        <v>8</v>
      </c>
      <c r="K6" s="973">
        <f>'XM.FILE GOC'!L78</f>
        <v>35.66582450000007</v>
      </c>
      <c r="L6" s="974" t="s">
        <v>9</v>
      </c>
      <c r="M6" s="908">
        <v>48</v>
      </c>
      <c r="N6" s="909" t="s">
        <v>8</v>
      </c>
      <c r="O6" s="1595">
        <f>('XM.FILE GOC'!$G$78-M6)*15517/1000</f>
        <v>31.033999999999999</v>
      </c>
      <c r="P6" s="910" t="s">
        <v>9</v>
      </c>
      <c r="Q6" s="1404">
        <f>'XM.FILE GOC'!P78</f>
        <v>48.675000000000004</v>
      </c>
      <c r="R6" s="972" t="s">
        <v>8</v>
      </c>
      <c r="S6" s="973">
        <f>'XM.FILE GOC'!S78</f>
        <v>20.560024999999932</v>
      </c>
      <c r="T6" s="974" t="s">
        <v>9</v>
      </c>
      <c r="U6" s="908">
        <v>52</v>
      </c>
      <c r="V6" s="909"/>
      <c r="W6" s="1595"/>
      <c r="X6" s="910"/>
      <c r="Y6" s="1404">
        <f>'XM.FILE GOC'!W78</f>
        <v>52.244500000000009</v>
      </c>
      <c r="Z6" s="972" t="s">
        <v>8</v>
      </c>
      <c r="AA6" s="973">
        <f>'XM.FILE GOC'!Z78</f>
        <v>0</v>
      </c>
      <c r="AB6" s="974" t="s">
        <v>9</v>
      </c>
      <c r="AC6" s="908"/>
      <c r="AD6" s="909"/>
      <c r="AE6" s="1595"/>
      <c r="AF6" s="910"/>
      <c r="AG6" s="70" t="s">
        <v>39</v>
      </c>
      <c r="AI6" s="2707">
        <v>1</v>
      </c>
      <c r="AJ6" s="3170" t="s">
        <v>122</v>
      </c>
      <c r="AK6" s="3171"/>
      <c r="AL6" s="3174" t="s">
        <v>116</v>
      </c>
      <c r="AM6" s="3175"/>
      <c r="AN6" s="2340" t="s">
        <v>4</v>
      </c>
      <c r="AO6" s="2341" t="str">
        <f>'XM.GUI MAIL'!$E$99</f>
        <v>5~6</v>
      </c>
      <c r="AP6" s="2342" t="str">
        <f>'XM.GUI MAIL'!$F$99</f>
        <v>(5.5± 0.5)</v>
      </c>
      <c r="AQ6" s="2308">
        <f>'XM.FILE GOC'!I99</f>
        <v>5.915</v>
      </c>
      <c r="AR6" s="2309" t="s">
        <v>8</v>
      </c>
      <c r="AS6" s="2310">
        <f>'XM.FILE GOC'!L99</f>
        <v>0</v>
      </c>
      <c r="AT6" s="2311" t="s">
        <v>9</v>
      </c>
      <c r="AU6" s="2312"/>
      <c r="AV6" s="2343" t="s">
        <v>8</v>
      </c>
      <c r="AW6" s="2344" t="str">
        <f>IF(AU6=0,"",('XM.FILE GOC'!$G$99-AU6)*8000/1000)</f>
        <v/>
      </c>
      <c r="AX6" s="2345" t="s">
        <v>9</v>
      </c>
      <c r="AY6" s="2316">
        <f>'XM.FILE GOC'!P99</f>
        <v>5.915</v>
      </c>
      <c r="AZ6" s="2309" t="s">
        <v>8</v>
      </c>
      <c r="BA6" s="2310">
        <f>'XM.FILE GOC'!S99</f>
        <v>0</v>
      </c>
      <c r="BB6" s="2311" t="s">
        <v>9</v>
      </c>
      <c r="BC6" s="2312"/>
      <c r="BD6" s="2343" t="s">
        <v>8</v>
      </c>
      <c r="BE6" s="2344" t="str">
        <f>IF(BC6=0,"",('XM.FILE GOC'!$G$99-BC6)*8000/1000)</f>
        <v/>
      </c>
      <c r="BF6" s="2345" t="s">
        <v>9</v>
      </c>
      <c r="BG6" s="2316">
        <f>'XM.FILE GOC'!W99</f>
        <v>5.9799999999999995</v>
      </c>
      <c r="BH6" s="2309" t="s">
        <v>8</v>
      </c>
      <c r="BI6" s="2310">
        <f>'XM.FILE GOC'!Z99</f>
        <v>0</v>
      </c>
      <c r="BJ6" s="2311" t="s">
        <v>9</v>
      </c>
      <c r="BK6" s="2312"/>
      <c r="BL6" s="2343" t="s">
        <v>8</v>
      </c>
      <c r="BM6" s="2344" t="str">
        <f>IF(BK6=0,"",('XM.FILE GOC'!$G$99-BK6)*8000/1000)</f>
        <v/>
      </c>
      <c r="BN6" s="2345" t="s">
        <v>9</v>
      </c>
      <c r="BO6" s="2317" t="s">
        <v>40</v>
      </c>
    </row>
    <row r="7" spans="1:67" ht="45.75" customHeight="1">
      <c r="A7" s="3222"/>
      <c r="B7" s="3225"/>
      <c r="C7" s="3226"/>
      <c r="D7" s="3093" t="s">
        <v>1591</v>
      </c>
      <c r="E7" s="3094"/>
      <c r="F7" s="897"/>
      <c r="G7" s="898" t="s">
        <v>1592</v>
      </c>
      <c r="H7" s="2222"/>
      <c r="I7" s="2211"/>
      <c r="J7" s="59"/>
      <c r="K7" s="954">
        <f>K6/25*8.5</f>
        <v>12.126380330000025</v>
      </c>
      <c r="L7" s="588" t="s">
        <v>10</v>
      </c>
      <c r="M7" s="908"/>
      <c r="N7" s="911" t="s">
        <v>8</v>
      </c>
      <c r="O7" s="1593">
        <f>O6/25*8.5</f>
        <v>10.55156</v>
      </c>
      <c r="P7" s="912" t="s">
        <v>10</v>
      </c>
      <c r="Q7" s="1683"/>
      <c r="R7" s="59"/>
      <c r="S7" s="954">
        <f>S6/25*8.5</f>
        <v>6.9904084999999769</v>
      </c>
      <c r="T7" s="588" t="s">
        <v>10</v>
      </c>
      <c r="U7" s="908"/>
      <c r="V7" s="911"/>
      <c r="W7" s="1593"/>
      <c r="X7" s="912"/>
      <c r="Y7" s="1683"/>
      <c r="Z7" s="59"/>
      <c r="AA7" s="954">
        <f>AA6/25*8.5</f>
        <v>0</v>
      </c>
      <c r="AB7" s="588" t="s">
        <v>10</v>
      </c>
      <c r="AC7" s="908"/>
      <c r="AD7" s="911"/>
      <c r="AE7" s="1593"/>
      <c r="AF7" s="912"/>
      <c r="AG7" s="70"/>
      <c r="AI7" s="2708">
        <v>2</v>
      </c>
      <c r="AJ7" s="3172"/>
      <c r="AK7" s="3173"/>
      <c r="AL7" s="3176" t="s">
        <v>100</v>
      </c>
      <c r="AM7" s="3177"/>
      <c r="AN7" s="2063" t="s">
        <v>4</v>
      </c>
      <c r="AO7" s="2062" t="str">
        <f>'XM.GUI MAIL'!$E$100</f>
        <v>130~140</v>
      </c>
      <c r="AP7" s="2237" t="str">
        <f>'XM.GUI MAIL'!$F$100</f>
        <v>(135 ± 5)</v>
      </c>
      <c r="AQ7" s="2234">
        <f>'XM.FILE GOC'!I100</f>
        <v>136</v>
      </c>
      <c r="AR7" s="972" t="s">
        <v>8</v>
      </c>
      <c r="AS7" s="973">
        <f>'XM.FILE GOC'!L100</f>
        <v>0</v>
      </c>
      <c r="AT7" s="974" t="s">
        <v>9</v>
      </c>
      <c r="AU7" s="1580"/>
      <c r="AV7" s="909" t="s">
        <v>8</v>
      </c>
      <c r="AW7" s="1596" t="str">
        <f>IF(AU7=0,"",('XM.FILE GOC'!$G$100-AU7)*8000/1000)</f>
        <v/>
      </c>
      <c r="AX7" s="910" t="s">
        <v>9</v>
      </c>
      <c r="AY7" s="1782">
        <f>'XM.FILE GOC'!P100</f>
        <v>133.6</v>
      </c>
      <c r="AZ7" s="972" t="s">
        <v>8</v>
      </c>
      <c r="BA7" s="973">
        <f>'XM.FILE GOC'!S100</f>
        <v>11.200000000000045</v>
      </c>
      <c r="BB7" s="974" t="s">
        <v>9</v>
      </c>
      <c r="BC7" s="1580">
        <v>135</v>
      </c>
      <c r="BD7" s="909" t="s">
        <v>8</v>
      </c>
      <c r="BE7" s="1596">
        <f>IF(BC7=0,"",('XM.FILE GOC'!$G$100-BC7)*8000/1000)</f>
        <v>0</v>
      </c>
      <c r="BF7" s="910" t="s">
        <v>9</v>
      </c>
      <c r="BG7" s="1782">
        <f>'XM.FILE GOC'!W100</f>
        <v>135.80000000000001</v>
      </c>
      <c r="BH7" s="972" t="s">
        <v>8</v>
      </c>
      <c r="BI7" s="973">
        <f>'XM.FILE GOC'!Z100</f>
        <v>0</v>
      </c>
      <c r="BJ7" s="910" t="s">
        <v>9</v>
      </c>
      <c r="BK7" s="1580"/>
      <c r="BL7" s="909" t="s">
        <v>8</v>
      </c>
      <c r="BM7" s="1596" t="str">
        <f>IF(BK7=0,"",('XM.FILE GOC'!$G$100-BK7)*8000/1000)</f>
        <v/>
      </c>
      <c r="BN7" s="910" t="s">
        <v>9</v>
      </c>
      <c r="BO7" s="2346" t="s">
        <v>41</v>
      </c>
    </row>
    <row r="8" spans="1:67" ht="45.75" customHeight="1">
      <c r="A8" s="3206">
        <v>2</v>
      </c>
      <c r="B8" s="3223" t="s">
        <v>951</v>
      </c>
      <c r="C8" s="3224"/>
      <c r="D8" s="3093" t="s">
        <v>1590</v>
      </c>
      <c r="E8" s="3094"/>
      <c r="F8" s="2426" t="s">
        <v>4</v>
      </c>
      <c r="G8" s="898" t="str">
        <f>'XM.FILE GOC'!$E$80</f>
        <v>40~60</v>
      </c>
      <c r="H8" s="2222" t="str">
        <f>'XM.FILE GOC'!$F$80</f>
        <v>(50±5)</v>
      </c>
      <c r="I8" s="2225">
        <f>'XM.FILE GOC'!I80</f>
        <v>46.403500000000001</v>
      </c>
      <c r="J8" s="972" t="s">
        <v>8</v>
      </c>
      <c r="K8" s="973">
        <f>'XM.FILE GOC'!L80</f>
        <v>41.269837499999987</v>
      </c>
      <c r="L8" s="974" t="s">
        <v>9</v>
      </c>
      <c r="M8" s="908">
        <v>47</v>
      </c>
      <c r="N8" s="909" t="s">
        <v>8</v>
      </c>
      <c r="O8" s="1595">
        <f>('XM.FILE GOC'!$G$80-M8)*11475/1000</f>
        <v>34.424999999999997</v>
      </c>
      <c r="P8" s="910" t="s">
        <v>9</v>
      </c>
      <c r="Q8" s="1404">
        <f>'XM.FILE GOC'!P80</f>
        <v>47.701499999999996</v>
      </c>
      <c r="R8" s="972" t="s">
        <v>8</v>
      </c>
      <c r="S8" s="973">
        <f>'XM.FILE GOC'!S80</f>
        <v>26.375287500000049</v>
      </c>
      <c r="T8" s="974" t="s">
        <v>9</v>
      </c>
      <c r="U8" s="908">
        <v>50</v>
      </c>
      <c r="V8" s="909"/>
      <c r="W8" s="1595"/>
      <c r="X8" s="910"/>
      <c r="Y8" s="1404">
        <f>'XM.FILE GOC'!W80</f>
        <v>49.973000000000006</v>
      </c>
      <c r="Z8" s="972" t="s">
        <v>8</v>
      </c>
      <c r="AA8" s="973">
        <f>'XM.FILE GOC'!Z80</f>
        <v>0.30982499999993018</v>
      </c>
      <c r="AB8" s="974" t="s">
        <v>9</v>
      </c>
      <c r="AC8" s="908"/>
      <c r="AD8" s="909"/>
      <c r="AE8" s="1595"/>
      <c r="AF8" s="910"/>
      <c r="AG8" s="70" t="s">
        <v>39</v>
      </c>
      <c r="AI8" s="2704">
        <v>3</v>
      </c>
      <c r="AJ8" s="3182" t="s">
        <v>123</v>
      </c>
      <c r="AK8" s="3183"/>
      <c r="AL8" s="3183"/>
      <c r="AM8" s="3184"/>
      <c r="AN8" s="2347" t="s">
        <v>5</v>
      </c>
      <c r="AO8" s="2348" t="str">
        <f>'XM.GUI MAIL'!$E$101</f>
        <v>3.0-4.5</v>
      </c>
      <c r="AP8" s="2349" t="str">
        <f>'XM.GUI MAIL'!$F$101</f>
        <v>(4.3±0.2)</v>
      </c>
      <c r="AQ8" s="2321">
        <f>'XM.FILE GOC'!I101</f>
        <v>4.25</v>
      </c>
      <c r="AR8" s="2330"/>
      <c r="AS8" s="2331"/>
      <c r="AT8" s="2332"/>
      <c r="AU8" s="2325"/>
      <c r="AV8" s="2350"/>
      <c r="AW8" s="2351"/>
      <c r="AX8" s="2352"/>
      <c r="AY8" s="2329">
        <f>'XM.FILE GOC'!P101</f>
        <v>4.2</v>
      </c>
      <c r="AZ8" s="2330"/>
      <c r="BA8" s="2331"/>
      <c r="BB8" s="2332"/>
      <c r="BC8" s="2325"/>
      <c r="BD8" s="2350"/>
      <c r="BE8" s="2351"/>
      <c r="BF8" s="2352"/>
      <c r="BG8" s="2329">
        <f>'XM.FILE GOC'!W101</f>
        <v>4.1900000000000004</v>
      </c>
      <c r="BH8" s="2330"/>
      <c r="BI8" s="2331"/>
      <c r="BJ8" s="2332"/>
      <c r="BK8" s="2325"/>
      <c r="BL8" s="2350"/>
      <c r="BM8" s="2351"/>
      <c r="BN8" s="2352"/>
      <c r="BO8" s="2353" t="s">
        <v>42</v>
      </c>
    </row>
    <row r="9" spans="1:67" ht="45.75" customHeight="1">
      <c r="A9" s="3222"/>
      <c r="B9" s="3225"/>
      <c r="C9" s="3226"/>
      <c r="D9" s="3093" t="s">
        <v>1591</v>
      </c>
      <c r="E9" s="3094"/>
      <c r="F9" s="897"/>
      <c r="G9" s="898" t="s">
        <v>1592</v>
      </c>
      <c r="H9" s="2222"/>
      <c r="I9" s="2211"/>
      <c r="J9" s="59"/>
      <c r="K9" s="954">
        <f>K8/25*8.5</f>
        <v>14.031744749999996</v>
      </c>
      <c r="L9" s="588" t="s">
        <v>10</v>
      </c>
      <c r="M9" s="908"/>
      <c r="N9" s="911" t="s">
        <v>8</v>
      </c>
      <c r="O9" s="1593">
        <f>O8/25*8.5</f>
        <v>11.704499999999998</v>
      </c>
      <c r="P9" s="912" t="s">
        <v>10</v>
      </c>
      <c r="Q9" s="1683"/>
      <c r="R9" s="59"/>
      <c r="S9" s="954">
        <f>S8/25*8.5</f>
        <v>8.9675977500000172</v>
      </c>
      <c r="T9" s="588" t="s">
        <v>10</v>
      </c>
      <c r="U9" s="908"/>
      <c r="V9" s="911"/>
      <c r="W9" s="1593"/>
      <c r="X9" s="912"/>
      <c r="Y9" s="1683"/>
      <c r="Z9" s="59"/>
      <c r="AA9" s="954">
        <f>AA8/25*8.5</f>
        <v>0.10534049999997626</v>
      </c>
      <c r="AB9" s="588" t="s">
        <v>10</v>
      </c>
      <c r="AC9" s="908"/>
      <c r="AD9" s="911"/>
      <c r="AE9" s="1593"/>
      <c r="AF9" s="912"/>
      <c r="AG9" s="70"/>
      <c r="AI9" s="2703"/>
      <c r="AJ9" s="2449" t="s">
        <v>2</v>
      </c>
      <c r="AK9" s="2450"/>
      <c r="AL9" s="2450"/>
      <c r="AM9" s="2450"/>
      <c r="AN9" s="2450"/>
      <c r="AO9" s="2450"/>
      <c r="AP9" s="2450"/>
      <c r="AQ9" s="2450"/>
      <c r="AR9" s="2450"/>
      <c r="AS9" s="2450"/>
      <c r="AT9" s="2450"/>
      <c r="AU9" s="2450"/>
      <c r="AV9" s="2450"/>
      <c r="AW9" s="2450"/>
      <c r="AX9" s="2450"/>
      <c r="AY9" s="2450"/>
      <c r="AZ9" s="2450"/>
      <c r="BA9" s="2450"/>
      <c r="BB9" s="2450"/>
      <c r="BC9" s="2450"/>
      <c r="BD9" s="2450"/>
      <c r="BE9" s="2450"/>
      <c r="BF9" s="2450"/>
      <c r="BG9" s="2450"/>
      <c r="BH9" s="2450"/>
      <c r="BI9" s="2450"/>
      <c r="BJ9" s="2450"/>
      <c r="BK9" s="2450"/>
      <c r="BL9" s="2450"/>
      <c r="BM9" s="2450"/>
      <c r="BN9" s="2450"/>
      <c r="BO9" s="2451"/>
    </row>
    <row r="10" spans="1:67" ht="45.75" customHeight="1">
      <c r="A10" s="3206">
        <v>3</v>
      </c>
      <c r="B10" s="3091" t="s">
        <v>952</v>
      </c>
      <c r="C10" s="3092"/>
      <c r="D10" s="3095" t="s">
        <v>100</v>
      </c>
      <c r="E10" s="3096" t="s">
        <v>232</v>
      </c>
      <c r="F10" s="2426" t="s">
        <v>4</v>
      </c>
      <c r="G10" s="898" t="str">
        <f>'XM.FILE GOC'!$E$82</f>
        <v>50~70</v>
      </c>
      <c r="H10" s="2222" t="str">
        <f>'XM.FILE GOC'!$F$82</f>
        <v>(60±5)</v>
      </c>
      <c r="I10" s="2225">
        <f>'XM.FILE GOC'!I82</f>
        <v>58.443000000000005</v>
      </c>
      <c r="J10" s="59" t="s">
        <v>8</v>
      </c>
      <c r="K10" s="587">
        <f>'XM.FILE GOC'!L82</f>
        <v>12.767399999999959</v>
      </c>
      <c r="L10" s="588" t="s">
        <v>9</v>
      </c>
      <c r="M10" s="908">
        <v>58.2</v>
      </c>
      <c r="N10" s="909" t="s">
        <v>8</v>
      </c>
      <c r="O10" s="1595">
        <f>('XM.FILE GOC'!$G$82-M10)*8200/1000</f>
        <v>14.759999999999977</v>
      </c>
      <c r="P10" s="910" t="s">
        <v>9</v>
      </c>
      <c r="Q10" s="1404">
        <f>'XM.FILE GOC'!P82</f>
        <v>58.211999999999996</v>
      </c>
      <c r="R10" s="59" t="s">
        <v>8</v>
      </c>
      <c r="S10" s="587">
        <f>'XM.FILE GOC'!S82</f>
        <v>14.661600000000032</v>
      </c>
      <c r="T10" s="588" t="s">
        <v>9</v>
      </c>
      <c r="U10" s="908">
        <v>63.2</v>
      </c>
      <c r="V10" s="909"/>
      <c r="W10" s="1595"/>
      <c r="X10" s="910"/>
      <c r="Y10" s="1404">
        <f>'XM.FILE GOC'!W82</f>
        <v>64.680000000000007</v>
      </c>
      <c r="Z10" s="59" t="s">
        <v>8</v>
      </c>
      <c r="AA10" s="587">
        <f>'XM.FILE GOC'!Z82</f>
        <v>0</v>
      </c>
      <c r="AB10" s="974" t="s">
        <v>9</v>
      </c>
      <c r="AC10" s="908"/>
      <c r="AD10" s="909"/>
      <c r="AE10" s="1595"/>
      <c r="AF10" s="910"/>
      <c r="AG10" s="70" t="s">
        <v>39</v>
      </c>
      <c r="AI10" s="2703"/>
      <c r="AJ10" s="3167" t="s">
        <v>958</v>
      </c>
      <c r="AK10" s="3168"/>
      <c r="AL10" s="3168"/>
      <c r="AM10" s="3169"/>
      <c r="AN10" s="2702" t="s">
        <v>959</v>
      </c>
      <c r="AO10" s="2702" t="s">
        <v>1310</v>
      </c>
      <c r="AP10" s="2224" t="s">
        <v>1302</v>
      </c>
      <c r="AQ10" s="3158" t="s">
        <v>960</v>
      </c>
      <c r="AR10" s="3159"/>
      <c r="AS10" s="3160" t="s">
        <v>961</v>
      </c>
      <c r="AT10" s="3159"/>
      <c r="AU10" s="919"/>
      <c r="AV10" s="920"/>
      <c r="AW10" s="920"/>
      <c r="AX10" s="921"/>
      <c r="AY10" s="3160" t="s">
        <v>960</v>
      </c>
      <c r="AZ10" s="3159"/>
      <c r="BA10" s="3160" t="s">
        <v>961</v>
      </c>
      <c r="BB10" s="3159"/>
      <c r="BC10" s="919"/>
      <c r="BD10" s="920"/>
      <c r="BE10" s="920"/>
      <c r="BF10" s="921"/>
      <c r="BG10" s="3160" t="s">
        <v>960</v>
      </c>
      <c r="BH10" s="3159"/>
      <c r="BI10" s="3160" t="s">
        <v>961</v>
      </c>
      <c r="BJ10" s="3159"/>
      <c r="BK10" s="919"/>
      <c r="BL10" s="920"/>
      <c r="BM10" s="920"/>
      <c r="BN10" s="921"/>
      <c r="BO10" s="10"/>
    </row>
    <row r="11" spans="1:67" ht="45.75" customHeight="1">
      <c r="A11" s="3207"/>
      <c r="B11" s="3092"/>
      <c r="C11" s="3092"/>
      <c r="D11" s="3095" t="s">
        <v>1591</v>
      </c>
      <c r="E11" s="3096" t="s">
        <v>233</v>
      </c>
      <c r="F11" s="897"/>
      <c r="G11" s="898" t="s">
        <v>1593</v>
      </c>
      <c r="H11" s="2222"/>
      <c r="I11" s="2211"/>
      <c r="J11" s="59"/>
      <c r="K11" s="954">
        <f>K10/25*8</f>
        <v>4.085567999999987</v>
      </c>
      <c r="L11" s="588" t="s">
        <v>10</v>
      </c>
      <c r="M11" s="908"/>
      <c r="N11" s="911" t="s">
        <v>8</v>
      </c>
      <c r="O11" s="1593">
        <f>O10/25*8</f>
        <v>4.7231999999999923</v>
      </c>
      <c r="P11" s="912" t="s">
        <v>10</v>
      </c>
      <c r="Q11" s="1683"/>
      <c r="R11" s="59"/>
      <c r="S11" s="954">
        <f>S10/25*8</f>
        <v>4.6917120000000105</v>
      </c>
      <c r="T11" s="588" t="s">
        <v>10</v>
      </c>
      <c r="U11" s="908"/>
      <c r="V11" s="911"/>
      <c r="W11" s="1593"/>
      <c r="X11" s="912"/>
      <c r="Y11" s="1683"/>
      <c r="Z11" s="59"/>
      <c r="AA11" s="954">
        <f>AA10/25*8</f>
        <v>0</v>
      </c>
      <c r="AB11" s="588" t="s">
        <v>10</v>
      </c>
      <c r="AC11" s="908"/>
      <c r="AD11" s="911"/>
      <c r="AE11" s="1593"/>
      <c r="AF11" s="912"/>
      <c r="AG11" s="70"/>
      <c r="AI11" s="2703">
        <v>5</v>
      </c>
      <c r="AJ11" s="3161" t="s">
        <v>117</v>
      </c>
      <c r="AK11" s="3162"/>
      <c r="AL11" s="3162"/>
      <c r="AM11" s="3163"/>
      <c r="AN11" s="2064" t="s">
        <v>26</v>
      </c>
      <c r="AO11" s="2065" t="str">
        <f>'XM.GUI MAIL'!$E$117</f>
        <v>24~28</v>
      </c>
      <c r="AP11" s="2239" t="str">
        <f>'XM.GUI MAIL'!$F$117</f>
        <v>(26±2)</v>
      </c>
      <c r="AQ11" s="3164">
        <f>'XM.FILE GOC'!I117</f>
        <v>25</v>
      </c>
      <c r="AR11" s="3024"/>
      <c r="AS11" s="3028">
        <f>'XM.FILE GOC'!L117</f>
        <v>24</v>
      </c>
      <c r="AT11" s="3024"/>
      <c r="AU11" s="922"/>
      <c r="AV11" s="923"/>
      <c r="AW11" s="923"/>
      <c r="AX11" s="924"/>
      <c r="AY11" s="3028">
        <f>'XM.FILE GOC'!P117</f>
        <v>26</v>
      </c>
      <c r="AZ11" s="3024"/>
      <c r="BA11" s="3028">
        <f>'XM.FILE GOC'!S117</f>
        <v>25</v>
      </c>
      <c r="BB11" s="3024"/>
      <c r="BC11" s="922"/>
      <c r="BD11" s="923"/>
      <c r="BE11" s="923"/>
      <c r="BF11" s="924"/>
      <c r="BG11" s="3028">
        <f>'XM.FILE GOC'!W117</f>
        <v>26</v>
      </c>
      <c r="BH11" s="3024"/>
      <c r="BI11" s="3028">
        <f>'XM.FILE GOC'!Z117</f>
        <v>26</v>
      </c>
      <c r="BJ11" s="3024"/>
      <c r="BK11" s="922"/>
      <c r="BL11" s="923"/>
      <c r="BM11" s="923"/>
      <c r="BN11" s="924"/>
      <c r="BO11" s="74"/>
    </row>
    <row r="12" spans="1:67" ht="45.75" customHeight="1">
      <c r="A12" s="3206">
        <v>4</v>
      </c>
      <c r="B12" s="3091" t="s">
        <v>953</v>
      </c>
      <c r="C12" s="3092"/>
      <c r="D12" s="3095" t="s">
        <v>100</v>
      </c>
      <c r="E12" s="3096" t="s">
        <v>232</v>
      </c>
      <c r="F12" s="2426" t="s">
        <v>4</v>
      </c>
      <c r="G12" s="898" t="str">
        <f>'XM.FILE GOC'!$E$84</f>
        <v>50~70</v>
      </c>
      <c r="H12" s="2222" t="str">
        <f>'XM.FILE GOC'!$F$84</f>
        <v>(60±5)</v>
      </c>
      <c r="I12" s="2225">
        <f>'XM.FILE GOC'!I84</f>
        <v>60.06</v>
      </c>
      <c r="J12" s="972" t="s">
        <v>8</v>
      </c>
      <c r="K12" s="973">
        <f>'XM.FILE GOC'!L84</f>
        <v>0</v>
      </c>
      <c r="L12" s="974" t="s">
        <v>9</v>
      </c>
      <c r="M12" s="908"/>
      <c r="N12" s="909"/>
      <c r="O12" s="1596"/>
      <c r="P12" s="910"/>
      <c r="Q12" s="1404">
        <f>'XM.FILE GOC'!P84</f>
        <v>59.598000000000006</v>
      </c>
      <c r="R12" s="972" t="s">
        <v>8</v>
      </c>
      <c r="S12" s="973">
        <f>'XM.FILE GOC'!S84</f>
        <v>3.4845359999999475</v>
      </c>
      <c r="T12" s="974" t="s">
        <v>9</v>
      </c>
      <c r="U12" s="908">
        <v>60.5</v>
      </c>
      <c r="V12" s="909"/>
      <c r="W12" s="1596"/>
      <c r="X12" s="910"/>
      <c r="Y12" s="1404">
        <f>'XM.FILE GOC'!W84</f>
        <v>60.983999999999995</v>
      </c>
      <c r="Z12" s="972" t="s">
        <v>8</v>
      </c>
      <c r="AA12" s="973">
        <f>'XM.FILE GOC'!Z84</f>
        <v>0</v>
      </c>
      <c r="AB12" s="974" t="s">
        <v>9</v>
      </c>
      <c r="AC12" s="908"/>
      <c r="AD12" s="909"/>
      <c r="AE12" s="1596"/>
      <c r="AF12" s="910"/>
      <c r="AG12" s="70" t="s">
        <v>39</v>
      </c>
      <c r="AI12" s="1582">
        <v>6</v>
      </c>
      <c r="AJ12" s="3161" t="s">
        <v>121</v>
      </c>
      <c r="AK12" s="3162"/>
      <c r="AL12" s="3162"/>
      <c r="AM12" s="3163"/>
      <c r="AN12" s="2064" t="s">
        <v>26</v>
      </c>
      <c r="AO12" s="2065" t="str">
        <f>'XM.GUI MAIL'!$E$118</f>
        <v>20~30</v>
      </c>
      <c r="AP12" s="2239" t="str">
        <f>'XM.GUI MAIL'!$F$118</f>
        <v>(25±5)</v>
      </c>
      <c r="AQ12" s="3164">
        <f>'XM.FILE GOC'!I118</f>
        <v>29</v>
      </c>
      <c r="AR12" s="3024"/>
      <c r="AS12" s="3028">
        <f>'XM.FILE GOC'!L118</f>
        <v>29</v>
      </c>
      <c r="AT12" s="3165"/>
      <c r="AU12" s="2197"/>
      <c r="AV12" s="926"/>
      <c r="AW12" s="926"/>
      <c r="AX12" s="927"/>
      <c r="AY12" s="3028">
        <f>'XM.FILE GOC'!P118</f>
        <v>30</v>
      </c>
      <c r="AZ12" s="3024"/>
      <c r="BA12" s="3028">
        <f>'XM.FILE GOC'!S118</f>
        <v>29</v>
      </c>
      <c r="BB12" s="3165"/>
      <c r="BC12" s="2197"/>
      <c r="BD12" s="926"/>
      <c r="BE12" s="926"/>
      <c r="BF12" s="927"/>
      <c r="BG12" s="3028">
        <f>'XM.FILE GOC'!W118</f>
        <v>29</v>
      </c>
      <c r="BH12" s="3024"/>
      <c r="BI12" s="3166">
        <f>'XM.FILE GOC'!Z118</f>
        <v>30</v>
      </c>
      <c r="BJ12" s="3166"/>
      <c r="BK12" s="926"/>
      <c r="BL12" s="926"/>
      <c r="BM12" s="926"/>
      <c r="BN12" s="927"/>
      <c r="BO12" s="2701"/>
    </row>
    <row r="13" spans="1:67" ht="45.75" customHeight="1">
      <c r="A13" s="3207"/>
      <c r="B13" s="3092"/>
      <c r="C13" s="3092"/>
      <c r="D13" s="3095" t="s">
        <v>1591</v>
      </c>
      <c r="E13" s="3096" t="s">
        <v>233</v>
      </c>
      <c r="F13" s="897"/>
      <c r="G13" s="898" t="s">
        <v>1593</v>
      </c>
      <c r="H13" s="2222"/>
      <c r="I13" s="2211"/>
      <c r="J13" s="59"/>
      <c r="K13" s="954">
        <f>K12/25*8</f>
        <v>0</v>
      </c>
      <c r="L13" s="588" t="s">
        <v>10</v>
      </c>
      <c r="M13" s="908"/>
      <c r="N13" s="911"/>
      <c r="O13" s="1593"/>
      <c r="P13" s="912"/>
      <c r="Q13" s="1683"/>
      <c r="R13" s="59"/>
      <c r="S13" s="954">
        <f>S12/25*8</f>
        <v>1.1150515199999831</v>
      </c>
      <c r="T13" s="588" t="s">
        <v>10</v>
      </c>
      <c r="U13" s="908"/>
      <c r="V13" s="911"/>
      <c r="W13" s="1593"/>
      <c r="X13" s="912"/>
      <c r="Y13" s="1683"/>
      <c r="Z13" s="59"/>
      <c r="AA13" s="954">
        <f>AA12/25*8</f>
        <v>0</v>
      </c>
      <c r="AB13" s="588" t="s">
        <v>10</v>
      </c>
      <c r="AC13" s="908"/>
      <c r="AD13" s="911"/>
      <c r="AE13" s="1593"/>
      <c r="AF13" s="912"/>
      <c r="AG13" s="70"/>
      <c r="AI13" s="980"/>
      <c r="AJ13" s="899"/>
      <c r="AK13" s="899"/>
      <c r="AL13" s="899"/>
      <c r="AM13" s="899"/>
      <c r="AN13" s="981"/>
      <c r="AO13" s="981"/>
      <c r="AP13" s="981"/>
      <c r="AQ13" s="981"/>
      <c r="AR13" s="981"/>
      <c r="AS13" s="981"/>
      <c r="AT13" s="981"/>
      <c r="AU13" s="945"/>
      <c r="AV13" s="945"/>
      <c r="AW13" s="945"/>
      <c r="AX13" s="945"/>
      <c r="AY13" s="981"/>
      <c r="AZ13" s="981"/>
      <c r="BA13" s="981"/>
      <c r="BB13" s="981"/>
      <c r="BC13" s="945"/>
      <c r="BD13" s="945"/>
      <c r="BE13" s="945"/>
      <c r="BF13" s="945"/>
      <c r="BG13" s="981"/>
      <c r="BH13" s="981"/>
      <c r="BI13" s="981"/>
      <c r="BJ13" s="981"/>
      <c r="BK13" s="945"/>
      <c r="BL13" s="945"/>
      <c r="BM13" s="945"/>
      <c r="BN13" s="945"/>
      <c r="BO13" s="62"/>
    </row>
    <row r="14" spans="1:67" ht="45.75" customHeight="1">
      <c r="A14" s="3206">
        <v>5</v>
      </c>
      <c r="B14" s="3208" t="s">
        <v>954</v>
      </c>
      <c r="C14" s="3210" t="s">
        <v>955</v>
      </c>
      <c r="D14" s="3211"/>
      <c r="E14" s="3212"/>
      <c r="F14" s="633" t="s">
        <v>4</v>
      </c>
      <c r="G14" s="898" t="str">
        <f>'XM.FILE GOC'!$E$86</f>
        <v>135~ 145</v>
      </c>
      <c r="H14" s="2222" t="str">
        <f>'XM.FILE GOC'!$F$86</f>
        <v>(140±5)</v>
      </c>
      <c r="I14" s="2227">
        <f>'XM.FILE GOC'!I86</f>
        <v>138</v>
      </c>
      <c r="J14" s="972" t="s">
        <v>8</v>
      </c>
      <c r="K14" s="973">
        <f>'XM.FILE GOC'!L86</f>
        <v>106.13200000000001</v>
      </c>
      <c r="L14" s="974" t="s">
        <v>9</v>
      </c>
      <c r="M14" s="908">
        <v>140</v>
      </c>
      <c r="N14" s="909"/>
      <c r="O14" s="1596"/>
      <c r="P14" s="910"/>
      <c r="Q14" s="78">
        <f>'XM.FILE GOC'!P86</f>
        <v>140</v>
      </c>
      <c r="R14" s="972" t="s">
        <v>8</v>
      </c>
      <c r="S14" s="973">
        <f>'XM.FILE GOC'!S86</f>
        <v>0</v>
      </c>
      <c r="T14" s="974" t="s">
        <v>9</v>
      </c>
      <c r="U14" s="908"/>
      <c r="V14" s="909"/>
      <c r="W14" s="1596"/>
      <c r="X14" s="910"/>
      <c r="Y14" s="78">
        <f>'XM.FILE GOC'!W86</f>
        <v>140</v>
      </c>
      <c r="Z14" s="972" t="s">
        <v>8</v>
      </c>
      <c r="AA14" s="973">
        <f>'XM.FILE GOC'!Z86</f>
        <v>0</v>
      </c>
      <c r="AB14" s="974" t="s">
        <v>9</v>
      </c>
      <c r="AC14" s="908"/>
      <c r="AD14" s="909"/>
      <c r="AE14" s="1596"/>
      <c r="AF14" s="910"/>
      <c r="AG14" s="70" t="s">
        <v>40</v>
      </c>
    </row>
    <row r="15" spans="1:67" ht="45.75" customHeight="1">
      <c r="A15" s="3207"/>
      <c r="B15" s="3209"/>
      <c r="C15" s="3210" t="s">
        <v>956</v>
      </c>
      <c r="D15" s="3211"/>
      <c r="E15" s="3212"/>
      <c r="F15" s="633" t="s">
        <v>4</v>
      </c>
      <c r="G15" s="898" t="str">
        <f>'XM.FILE GOC'!$E$87</f>
        <v>7~10</v>
      </c>
      <c r="H15" s="2222" t="str">
        <f>'XM.FILE GOC'!$F$87</f>
        <v>(8.5±1)</v>
      </c>
      <c r="I15" s="2228">
        <f>'XM.FILE GOC'!I87</f>
        <v>8.4500000000000011</v>
      </c>
      <c r="J15" s="972" t="s">
        <v>8</v>
      </c>
      <c r="K15" s="973">
        <f>'XM.FILE GOC'!L87</f>
        <v>2.6532999999999434</v>
      </c>
      <c r="L15" s="974" t="s">
        <v>9</v>
      </c>
      <c r="M15" s="908">
        <v>8.5</v>
      </c>
      <c r="N15" s="909"/>
      <c r="O15" s="1596"/>
      <c r="P15" s="910"/>
      <c r="Q15" s="1930">
        <f>'XM.FILE GOC'!P87</f>
        <v>8.4500000000000011</v>
      </c>
      <c r="R15" s="972" t="s">
        <v>8</v>
      </c>
      <c r="S15" s="973">
        <f>'XM.FILE GOC'!S87</f>
        <v>2.6532999999999434</v>
      </c>
      <c r="T15" s="974" t="s">
        <v>9</v>
      </c>
      <c r="U15" s="908">
        <v>8.5</v>
      </c>
      <c r="V15" s="909"/>
      <c r="W15" s="1596"/>
      <c r="X15" s="910"/>
      <c r="Y15" s="1930">
        <f>'XM.FILE GOC'!W87</f>
        <v>8.3849999999999998</v>
      </c>
      <c r="Z15" s="972" t="s">
        <v>8</v>
      </c>
      <c r="AA15" s="973">
        <f>'XM.FILE GOC'!Z87</f>
        <v>6.1025900000000108</v>
      </c>
      <c r="AB15" s="910" t="s">
        <v>9</v>
      </c>
      <c r="AC15" s="908">
        <v>8.6</v>
      </c>
      <c r="AD15" s="909"/>
      <c r="AE15" s="1596"/>
      <c r="AF15" s="910"/>
      <c r="AG15" s="70" t="s">
        <v>41</v>
      </c>
    </row>
    <row r="16" spans="1:67" s="7" customFormat="1" ht="45.75" customHeight="1">
      <c r="A16" s="3206">
        <v>6</v>
      </c>
      <c r="B16" s="3216" t="s">
        <v>37</v>
      </c>
      <c r="C16" s="3217"/>
      <c r="D16" s="3217"/>
      <c r="E16" s="3220"/>
      <c r="F16" s="633" t="s">
        <v>3</v>
      </c>
      <c r="G16" s="898" t="str">
        <f>'XM.FILE GOC'!$E$88</f>
        <v>5~8</v>
      </c>
      <c r="H16" s="2222" t="str">
        <f>'XM.FILE GOC'!$F$88</f>
        <v>(6±1)</v>
      </c>
      <c r="I16" s="2229">
        <f>'XM.FILE GOC'!I88</f>
        <v>6.4957600000000006</v>
      </c>
      <c r="J16" s="972" t="s">
        <v>8</v>
      </c>
      <c r="K16" s="973">
        <f>'XM.FILE GOC'!L88</f>
        <v>0</v>
      </c>
      <c r="L16" s="974" t="s">
        <v>10</v>
      </c>
      <c r="M16" s="1580"/>
      <c r="N16" s="911"/>
      <c r="O16" s="1595"/>
      <c r="P16" s="912"/>
      <c r="Q16" s="595">
        <f>'XM.FILE GOC'!P88</f>
        <v>6.4745750000000006</v>
      </c>
      <c r="R16" s="972" t="s">
        <v>8</v>
      </c>
      <c r="S16" s="973">
        <f>'XM.FILE GOC'!S88</f>
        <v>0</v>
      </c>
      <c r="T16" s="974" t="s">
        <v>10</v>
      </c>
      <c r="U16" s="1580"/>
      <c r="V16" s="911"/>
      <c r="W16" s="1595"/>
      <c r="X16" s="912"/>
      <c r="Y16" s="595">
        <f>'XM.FILE GOC'!W88</f>
        <v>6.1568000000000005</v>
      </c>
      <c r="Z16" s="972" t="s">
        <v>8</v>
      </c>
      <c r="AA16" s="973">
        <f>'XM.FILE GOC'!Z88</f>
        <v>0</v>
      </c>
      <c r="AB16" s="974" t="s">
        <v>10</v>
      </c>
      <c r="AC16" s="908"/>
      <c r="AD16" s="911"/>
      <c r="AE16" s="1595"/>
      <c r="AF16" s="912"/>
      <c r="AG16" s="70" t="s">
        <v>42</v>
      </c>
      <c r="AH16" s="946"/>
    </row>
    <row r="17" spans="1:34" ht="45.75" customHeight="1">
      <c r="A17" s="3207"/>
      <c r="B17" s="3218"/>
      <c r="C17" s="3219"/>
      <c r="D17" s="3219"/>
      <c r="E17" s="3221"/>
      <c r="F17" s="633" t="s">
        <v>5</v>
      </c>
      <c r="G17" s="898" t="str">
        <f>'XM.FILE GOC'!$E$89</f>
        <v>2.0~2.4</v>
      </c>
      <c r="H17" s="2222" t="str">
        <f>'XM.FILE GOC'!$F$89</f>
        <v>(2.2±0.1)</v>
      </c>
      <c r="I17" s="2250">
        <f>'XM.FILE GOC'!I89</f>
        <v>2.2000000000000002</v>
      </c>
      <c r="J17" s="1375"/>
      <c r="K17" s="1376"/>
      <c r="L17" s="1377"/>
      <c r="M17" s="1580"/>
      <c r="N17" s="913"/>
      <c r="O17" s="937"/>
      <c r="P17" s="914"/>
      <c r="Q17" s="2248">
        <f>'XM.FILE GOC'!P89</f>
        <v>2.1800000000000002</v>
      </c>
      <c r="R17" s="1375"/>
      <c r="S17" s="1376"/>
      <c r="T17" s="1377"/>
      <c r="U17" s="1580"/>
      <c r="V17" s="913"/>
      <c r="W17" s="937"/>
      <c r="X17" s="914"/>
      <c r="Y17" s="2248">
        <f>'XM.FILE GOC'!W89</f>
        <v>2.2000000000000002</v>
      </c>
      <c r="Z17" s="972"/>
      <c r="AA17" s="973"/>
      <c r="AB17" s="974"/>
      <c r="AC17" s="908"/>
      <c r="AD17" s="913"/>
      <c r="AE17" s="937"/>
      <c r="AF17" s="914"/>
      <c r="AG17" s="71"/>
    </row>
    <row r="18" spans="1:34" ht="45.75" customHeight="1">
      <c r="A18" s="2483">
        <v>7</v>
      </c>
      <c r="B18" s="3213" t="s">
        <v>1621</v>
      </c>
      <c r="C18" s="3214"/>
      <c r="D18" s="3214"/>
      <c r="E18" s="3215"/>
      <c r="F18" s="633" t="s">
        <v>6</v>
      </c>
      <c r="G18" s="898" t="str">
        <f>'XM.FILE GOC'!$E$90</f>
        <v>40~50</v>
      </c>
      <c r="H18" s="2222" t="str">
        <f>'XM.FILE GOC'!$F$90</f>
        <v>(45±5)</v>
      </c>
      <c r="I18" s="1754">
        <f>'XM.FILE GOC'!I90</f>
        <v>0.435</v>
      </c>
      <c r="J18" s="972" t="s">
        <v>8</v>
      </c>
      <c r="K18" s="973">
        <f>'XM.FILE GOC'!L90</f>
        <v>48.510000000000041</v>
      </c>
      <c r="L18" s="974" t="s">
        <v>10</v>
      </c>
      <c r="M18" s="915">
        <v>0.44500000000000001</v>
      </c>
      <c r="N18" s="909" t="s">
        <v>8</v>
      </c>
      <c r="O18" s="937">
        <f>('XM.FILE GOC'!$G$90-M18)*3234</f>
        <v>16.170000000000016</v>
      </c>
      <c r="P18" s="910" t="s">
        <v>10</v>
      </c>
      <c r="Q18" s="1754">
        <f>'XM.FILE GOC'!P90</f>
        <v>0.44800000000000001</v>
      </c>
      <c r="R18" s="972" t="s">
        <v>8</v>
      </c>
      <c r="S18" s="973">
        <f>'XM.FILE GOC'!S90</f>
        <v>6.4680000000000053</v>
      </c>
      <c r="T18" s="974" t="s">
        <v>10</v>
      </c>
      <c r="U18" s="915">
        <v>0.46</v>
      </c>
      <c r="V18" s="909"/>
      <c r="W18" s="937"/>
      <c r="X18" s="910"/>
      <c r="Y18" s="1754">
        <f>'XM.FILE GOC'!W90</f>
        <v>0.46500000000000002</v>
      </c>
      <c r="Z18" s="972" t="s">
        <v>8</v>
      </c>
      <c r="AA18" s="973">
        <f>'XM.FILE GOC'!Z90</f>
        <v>0</v>
      </c>
      <c r="AB18" s="974" t="s">
        <v>10</v>
      </c>
      <c r="AC18" s="915"/>
      <c r="AD18" s="909"/>
      <c r="AE18" s="937"/>
      <c r="AF18" s="910"/>
      <c r="AG18" s="2474" t="s">
        <v>44</v>
      </c>
    </row>
    <row r="19" spans="1:34" ht="45.75" hidden="1" customHeight="1">
      <c r="A19" s="975">
        <v>8</v>
      </c>
      <c r="B19" s="3200" t="s">
        <v>1615</v>
      </c>
      <c r="C19" s="3201"/>
      <c r="D19" s="3201"/>
      <c r="E19" s="3202"/>
      <c r="F19" s="633" t="s">
        <v>6</v>
      </c>
      <c r="G19" s="898" t="str">
        <f>'XM.FILE GOC'!$E$91</f>
        <v>15~25</v>
      </c>
      <c r="H19" s="2222" t="str">
        <f>'XM.FILE GOC'!$F$91</f>
        <v>(18±2)</v>
      </c>
      <c r="I19" s="1743">
        <f>'XM.FILE GOC'!I91</f>
        <v>0</v>
      </c>
      <c r="J19" s="972" t="s">
        <v>8</v>
      </c>
      <c r="K19" s="973">
        <f>'XM.FILE GOC'!L91</f>
        <v>604.98</v>
      </c>
      <c r="L19" s="974" t="s">
        <v>10</v>
      </c>
      <c r="M19" s="915"/>
      <c r="N19" s="909" t="s">
        <v>8</v>
      </c>
      <c r="O19" s="1595">
        <f>('XM.FILE GOC'!$G$91-M19)*3361</f>
        <v>604.98</v>
      </c>
      <c r="P19" s="910" t="s">
        <v>10</v>
      </c>
      <c r="Q19" s="1743">
        <f>'XM.FILE GOC'!P91</f>
        <v>0</v>
      </c>
      <c r="R19" s="972" t="s">
        <v>8</v>
      </c>
      <c r="S19" s="973">
        <f>'XM.FILE GOC'!S91</f>
        <v>604.98</v>
      </c>
      <c r="T19" s="974" t="s">
        <v>10</v>
      </c>
      <c r="U19" s="915"/>
      <c r="V19" s="909"/>
      <c r="W19" s="1595"/>
      <c r="X19" s="910"/>
      <c r="Y19" s="1743">
        <f>'XM.FILE GOC'!W91</f>
        <v>0</v>
      </c>
      <c r="Z19" s="972" t="s">
        <v>8</v>
      </c>
      <c r="AA19" s="973">
        <f>'XM.FILE GOC'!Z91</f>
        <v>604.98</v>
      </c>
      <c r="AB19" s="974" t="s">
        <v>10</v>
      </c>
      <c r="AC19" s="915"/>
      <c r="AD19" s="909" t="s">
        <v>8</v>
      </c>
      <c r="AE19" s="1595">
        <f>('XM.FILE GOC'!$G$91-AC19)*3361</f>
        <v>604.98</v>
      </c>
      <c r="AF19" s="910" t="s">
        <v>10</v>
      </c>
      <c r="AG19" s="70" t="s">
        <v>43</v>
      </c>
    </row>
    <row r="20" spans="1:34" ht="45.75" customHeight="1">
      <c r="A20" s="2483">
        <v>9</v>
      </c>
      <c r="B20" s="3213" t="s">
        <v>1613</v>
      </c>
      <c r="C20" s="3214"/>
      <c r="D20" s="3214"/>
      <c r="E20" s="3215"/>
      <c r="F20" s="633" t="s">
        <v>6</v>
      </c>
      <c r="G20" s="898" t="str">
        <f>'XM.FILE GOC'!$E$92</f>
        <v>40~50</v>
      </c>
      <c r="H20" s="2222" t="str">
        <f>'XM.FILE GOC'!$F$92</f>
        <v>(45±5)</v>
      </c>
      <c r="I20" s="1754">
        <f>'XM.FILE GOC'!I92</f>
        <v>0.46081249999999996</v>
      </c>
      <c r="J20" s="972" t="s">
        <v>8</v>
      </c>
      <c r="K20" s="973">
        <f>'XM.FILE GOC'!L92</f>
        <v>0</v>
      </c>
      <c r="L20" s="974" t="s">
        <v>10</v>
      </c>
      <c r="M20" s="915"/>
      <c r="N20" s="909"/>
      <c r="O20" s="1595"/>
      <c r="P20" s="910"/>
      <c r="Q20" s="1754">
        <f>'XM.FILE GOC'!P92</f>
        <v>0.45624999999999999</v>
      </c>
      <c r="R20" s="972" t="s">
        <v>8</v>
      </c>
      <c r="S20" s="973">
        <f>'XM.FILE GOC'!S92</f>
        <v>0</v>
      </c>
      <c r="T20" s="974" t="s">
        <v>10</v>
      </c>
      <c r="U20" s="915"/>
      <c r="V20" s="909"/>
      <c r="W20" s="1595"/>
      <c r="X20" s="910"/>
      <c r="Y20" s="1754">
        <f>'XM.FILE GOC'!W92</f>
        <v>0.46993750000000001</v>
      </c>
      <c r="Z20" s="972" t="s">
        <v>8</v>
      </c>
      <c r="AA20" s="973">
        <f>'XM.FILE GOC'!Z92</f>
        <v>0</v>
      </c>
      <c r="AB20" s="974" t="s">
        <v>10</v>
      </c>
      <c r="AC20" s="915"/>
      <c r="AD20" s="909"/>
      <c r="AE20" s="1595"/>
      <c r="AF20" s="910"/>
      <c r="AG20" s="2474" t="s">
        <v>43</v>
      </c>
    </row>
    <row r="21" spans="1:34" ht="45.75" customHeight="1">
      <c r="A21" s="2703">
        <v>10</v>
      </c>
      <c r="B21" s="3203" t="s">
        <v>1614</v>
      </c>
      <c r="C21" s="3204"/>
      <c r="D21" s="3204"/>
      <c r="E21" s="3205"/>
      <c r="F21" s="633" t="s">
        <v>6</v>
      </c>
      <c r="G21" s="898" t="str">
        <f>'XM.FILE GOC'!$E$93</f>
        <v>40~50</v>
      </c>
      <c r="H21" s="2222" t="str">
        <f>'XM.FILE GOC'!$F$93</f>
        <v>(45±5)</v>
      </c>
      <c r="I21" s="1754">
        <f>'XM.FILE GOC'!I93</f>
        <v>0.46993750000000001</v>
      </c>
      <c r="J21" s="972" t="s">
        <v>8</v>
      </c>
      <c r="K21" s="973">
        <f>'XM.FILE GOC'!L93</f>
        <v>0</v>
      </c>
      <c r="L21" s="974" t="s">
        <v>10</v>
      </c>
      <c r="M21" s="915"/>
      <c r="N21" s="911"/>
      <c r="O21" s="1595"/>
      <c r="P21" s="912"/>
      <c r="Q21" s="1754">
        <f>'XM.FILE GOC'!P93</f>
        <v>0.46993750000000001</v>
      </c>
      <c r="R21" s="972" t="s">
        <v>8</v>
      </c>
      <c r="S21" s="973">
        <f>'XM.FILE GOC'!S93</f>
        <v>0</v>
      </c>
      <c r="T21" s="974" t="s">
        <v>10</v>
      </c>
      <c r="U21" s="915"/>
      <c r="V21" s="911"/>
      <c r="W21" s="1595"/>
      <c r="X21" s="912"/>
      <c r="Y21" s="1754">
        <f>'XM.FILE GOC'!W93</f>
        <v>0.47906250000000006</v>
      </c>
      <c r="Z21" s="972" t="s">
        <v>8</v>
      </c>
      <c r="AA21" s="973">
        <f>'XM.FILE GOC'!Z93</f>
        <v>0</v>
      </c>
      <c r="AB21" s="974" t="s">
        <v>10</v>
      </c>
      <c r="AC21" s="915"/>
      <c r="AD21" s="911"/>
      <c r="AE21" s="1595"/>
      <c r="AF21" s="912"/>
      <c r="AG21" s="69" t="s">
        <v>43</v>
      </c>
    </row>
    <row r="22" spans="1:34" ht="45.75" customHeight="1">
      <c r="A22" s="2483">
        <v>11</v>
      </c>
      <c r="B22" s="3200" t="s">
        <v>957</v>
      </c>
      <c r="C22" s="3201" t="s">
        <v>957</v>
      </c>
      <c r="D22" s="3201" t="s">
        <v>957</v>
      </c>
      <c r="E22" s="3202" t="s">
        <v>957</v>
      </c>
      <c r="F22" s="633" t="s">
        <v>6</v>
      </c>
      <c r="G22" s="898" t="str">
        <f>'XM.FILE GOC'!$E$94</f>
        <v>(1±0.4)=0.6~1.4</v>
      </c>
      <c r="H22" s="2222" t="str">
        <f>'XM.FILE GOC'!$F$94</f>
        <v>(1±0.4)</v>
      </c>
      <c r="I22" s="2230">
        <f>'XM.FILE GOC'!I94</f>
        <v>9.7999999999999997E-3</v>
      </c>
      <c r="J22" s="972" t="s">
        <v>8</v>
      </c>
      <c r="K22" s="976">
        <f>'XM.FILE GOC'!L94</f>
        <v>0.57218543046357762</v>
      </c>
      <c r="L22" s="977" t="s">
        <v>10</v>
      </c>
      <c r="M22" s="1579">
        <v>0.01</v>
      </c>
      <c r="N22" s="911"/>
      <c r="O22" s="1595"/>
      <c r="P22" s="912"/>
      <c r="Q22" s="2186">
        <f>'XM.FILE GOC'!P94</f>
        <v>0.01</v>
      </c>
      <c r="R22" s="972" t="s">
        <v>8</v>
      </c>
      <c r="S22" s="976">
        <f>'XM.FILE GOC'!S94</f>
        <v>0</v>
      </c>
      <c r="T22" s="977" t="s">
        <v>10</v>
      </c>
      <c r="U22" s="1579"/>
      <c r="V22" s="911"/>
      <c r="W22" s="1595"/>
      <c r="X22" s="912"/>
      <c r="Y22" s="2186">
        <f>'XM.FILE GOC'!W94</f>
        <v>1.0200000000000001E-2</v>
      </c>
      <c r="Z22" s="972" t="s">
        <v>8</v>
      </c>
      <c r="AA22" s="976">
        <f>'XM.FILE GOC'!Z94</f>
        <v>0</v>
      </c>
      <c r="AB22" s="977" t="s">
        <v>10</v>
      </c>
      <c r="AC22" s="1579"/>
      <c r="AD22" s="911"/>
      <c r="AE22" s="1595"/>
      <c r="AF22" s="912"/>
      <c r="AG22" s="70" t="s">
        <v>44</v>
      </c>
    </row>
    <row r="23" spans="1:34" ht="45.75" customHeight="1">
      <c r="A23" s="2703">
        <v>12</v>
      </c>
      <c r="B23" s="3083" t="s">
        <v>74</v>
      </c>
      <c r="C23" s="3084"/>
      <c r="D23" s="3084"/>
      <c r="E23" s="3085"/>
      <c r="F23" s="2" t="s">
        <v>3</v>
      </c>
      <c r="G23" s="898" t="str">
        <f>'XM.GUI MAIL'!$E$95</f>
        <v>5~8</v>
      </c>
      <c r="H23" s="2222" t="str">
        <f>'XM.GUI MAIL'!$F$95</f>
        <v>(6±0.5)</v>
      </c>
      <c r="I23" s="1840">
        <f>'XM.FILE GOC'!I95</f>
        <v>5.76</v>
      </c>
      <c r="J23" s="972" t="s">
        <v>8</v>
      </c>
      <c r="K23" s="973">
        <f>'XM.FILE GOC'!L95</f>
        <v>8.9860042105263229</v>
      </c>
      <c r="L23" s="977" t="s">
        <v>10</v>
      </c>
      <c r="M23" s="2258">
        <v>5.9</v>
      </c>
      <c r="N23" s="909" t="s">
        <v>8</v>
      </c>
      <c r="O23" s="937">
        <f>('XM.FILE GOC'!$G$95-M23)*4042/95*1.028</f>
        <v>4.373869473684195</v>
      </c>
      <c r="P23" s="910" t="s">
        <v>10</v>
      </c>
      <c r="Q23" s="1840">
        <f>'XM.FILE GOC'!P95</f>
        <v>5.9</v>
      </c>
      <c r="R23" s="972" t="s">
        <v>8</v>
      </c>
      <c r="S23" s="973">
        <f>'XM.FILE GOC'!S95</f>
        <v>3.7441684210526183</v>
      </c>
      <c r="T23" s="977" t="s">
        <v>10</v>
      </c>
      <c r="U23" s="2258">
        <v>6</v>
      </c>
      <c r="V23" s="909"/>
      <c r="W23" s="937"/>
      <c r="X23" s="910"/>
      <c r="Y23" s="1840">
        <f>'XM.FILE GOC'!W95</f>
        <v>6.1</v>
      </c>
      <c r="Z23" s="972" t="s">
        <v>8</v>
      </c>
      <c r="AA23" s="973">
        <f>'XM.FILE GOC'!Z95</f>
        <v>0</v>
      </c>
      <c r="AB23" s="977" t="s">
        <v>10</v>
      </c>
      <c r="AC23" s="2258"/>
      <c r="AD23" s="909"/>
      <c r="AE23" s="937"/>
      <c r="AF23" s="912"/>
      <c r="AG23" s="2183"/>
    </row>
    <row r="24" spans="1:34" ht="45.75" customHeight="1">
      <c r="A24" s="2483">
        <v>13</v>
      </c>
      <c r="B24" s="3086"/>
      <c r="C24" s="3087"/>
      <c r="D24" s="3087"/>
      <c r="E24" s="3088"/>
      <c r="F24" s="2" t="s">
        <v>5</v>
      </c>
      <c r="G24" s="898" t="str">
        <f>'XM.GUI MAIL'!$E$96</f>
        <v>1.8~2.4</v>
      </c>
      <c r="H24" s="2222" t="str">
        <f>'XM.GUI MAIL'!$F$96</f>
        <v>(2.1±0.1)</v>
      </c>
      <c r="I24" s="1768">
        <f>'XM.FILE GOC'!I96</f>
        <v>2.2000000000000002</v>
      </c>
      <c r="J24" s="972"/>
      <c r="K24" s="976"/>
      <c r="L24" s="977"/>
      <c r="M24" s="916"/>
      <c r="N24" s="948"/>
      <c r="O24" s="1597"/>
      <c r="P24" s="918"/>
      <c r="Q24" s="1768">
        <f>'XM.FILE GOC'!P96</f>
        <v>2.1800000000000002</v>
      </c>
      <c r="R24" s="972"/>
      <c r="S24" s="976"/>
      <c r="T24" s="977"/>
      <c r="U24" s="916"/>
      <c r="V24" s="948"/>
      <c r="W24" s="1597"/>
      <c r="X24" s="918"/>
      <c r="Y24" s="1768">
        <f>'XM.FILE GOC'!W96</f>
        <v>2.12</v>
      </c>
      <c r="Z24" s="972"/>
      <c r="AA24" s="976"/>
      <c r="AB24" s="977"/>
      <c r="AC24" s="916"/>
      <c r="AD24" s="948"/>
      <c r="AE24" s="1597"/>
      <c r="AF24" s="912"/>
      <c r="AG24" s="2183"/>
    </row>
    <row r="25" spans="1:34" ht="44.25" customHeight="1">
      <c r="A25" s="975"/>
      <c r="B25" s="2449" t="s">
        <v>2</v>
      </c>
      <c r="C25" s="2450"/>
      <c r="D25" s="2450"/>
      <c r="E25" s="2450"/>
      <c r="F25" s="2450"/>
      <c r="G25" s="2450"/>
      <c r="H25" s="2450"/>
      <c r="I25" s="2450"/>
      <c r="J25" s="2450"/>
      <c r="K25" s="2450"/>
      <c r="L25" s="2450"/>
      <c r="M25" s="2450"/>
      <c r="N25" s="2450"/>
      <c r="O25" s="2450"/>
      <c r="P25" s="2450"/>
      <c r="Q25" s="2450"/>
      <c r="R25" s="2450"/>
      <c r="S25" s="2450"/>
      <c r="T25" s="2450"/>
      <c r="U25" s="2450"/>
      <c r="V25" s="2450"/>
      <c r="W25" s="2450"/>
      <c r="X25" s="2450"/>
      <c r="Y25" s="2450"/>
      <c r="Z25" s="2450"/>
      <c r="AA25" s="2450"/>
      <c r="AB25" s="2450"/>
      <c r="AC25" s="2450"/>
      <c r="AD25" s="2450"/>
      <c r="AE25" s="2450"/>
      <c r="AF25" s="2450"/>
      <c r="AG25" s="2451"/>
    </row>
    <row r="26" spans="1:34" ht="49.5" customHeight="1">
      <c r="A26" s="975" t="s">
        <v>7</v>
      </c>
      <c r="B26" s="3167" t="s">
        <v>958</v>
      </c>
      <c r="C26" s="3168"/>
      <c r="D26" s="3168"/>
      <c r="E26" s="3169"/>
      <c r="F26" s="978" t="s">
        <v>959</v>
      </c>
      <c r="G26" s="978" t="s">
        <v>1310</v>
      </c>
      <c r="H26" s="2224" t="s">
        <v>1302</v>
      </c>
      <c r="I26" s="3158" t="s">
        <v>960</v>
      </c>
      <c r="J26" s="3159"/>
      <c r="K26" s="3160" t="s">
        <v>961</v>
      </c>
      <c r="L26" s="3159"/>
      <c r="M26" s="919"/>
      <c r="N26" s="920"/>
      <c r="O26" s="920"/>
      <c r="P26" s="921"/>
      <c r="Q26" s="3160" t="s">
        <v>960</v>
      </c>
      <c r="R26" s="3159"/>
      <c r="S26" s="3160" t="s">
        <v>961</v>
      </c>
      <c r="T26" s="3159"/>
      <c r="U26" s="919"/>
      <c r="V26" s="920"/>
      <c r="W26" s="920"/>
      <c r="X26" s="921"/>
      <c r="Y26" s="3160" t="s">
        <v>960</v>
      </c>
      <c r="Z26" s="3159"/>
      <c r="AA26" s="3160" t="s">
        <v>961</v>
      </c>
      <c r="AB26" s="3159"/>
      <c r="AC26" s="919"/>
      <c r="AD26" s="920"/>
      <c r="AE26" s="920"/>
      <c r="AF26" s="921"/>
      <c r="AG26" s="10"/>
    </row>
    <row r="27" spans="1:34" ht="45.75" customHeight="1">
      <c r="A27" s="975">
        <v>1</v>
      </c>
      <c r="B27" s="3167" t="s">
        <v>962</v>
      </c>
      <c r="C27" s="3168"/>
      <c r="D27" s="3168"/>
      <c r="E27" s="3169"/>
      <c r="F27" s="979" t="s">
        <v>963</v>
      </c>
      <c r="G27" s="898" t="str">
        <f>'XM.FILE GOC'!$E$105</f>
        <v>50~70</v>
      </c>
      <c r="H27" s="2222" t="str">
        <f>'XM.FILE GOC'!$F$105</f>
        <v>(60±5)</v>
      </c>
      <c r="I27" s="3113">
        <f>'XM.GUI MAIL'!I105</f>
        <v>60</v>
      </c>
      <c r="J27" s="3112"/>
      <c r="K27" s="3112">
        <f>'XM.FILE GOC'!L105</f>
        <v>60</v>
      </c>
      <c r="L27" s="3112"/>
      <c r="M27" s="922"/>
      <c r="N27" s="923"/>
      <c r="O27" s="923"/>
      <c r="P27" s="924"/>
      <c r="Q27" s="3112">
        <f>'XM.GUI MAIL'!P105</f>
        <v>60</v>
      </c>
      <c r="R27" s="3112"/>
      <c r="S27" s="3112">
        <f>'XM.FILE GOC'!S105</f>
        <v>60</v>
      </c>
      <c r="T27" s="3112"/>
      <c r="U27" s="922"/>
      <c r="V27" s="923"/>
      <c r="W27" s="923"/>
      <c r="X27" s="924"/>
      <c r="Y27" s="3112">
        <f>'XM.GUI MAIL'!W105</f>
        <v>60</v>
      </c>
      <c r="Z27" s="3112"/>
      <c r="AA27" s="3112">
        <f>'XM.FILE GOC'!Z105</f>
        <v>60</v>
      </c>
      <c r="AB27" s="3112"/>
      <c r="AC27" s="922"/>
      <c r="AD27" s="923"/>
      <c r="AE27" s="923"/>
      <c r="AF27" s="924"/>
      <c r="AG27" s="76"/>
    </row>
    <row r="28" spans="1:34" ht="45.75" customHeight="1">
      <c r="A28" s="975">
        <v>2</v>
      </c>
      <c r="B28" s="3167" t="s">
        <v>964</v>
      </c>
      <c r="C28" s="3168"/>
      <c r="D28" s="3168"/>
      <c r="E28" s="3169"/>
      <c r="F28" s="979" t="s">
        <v>963</v>
      </c>
      <c r="G28" s="898" t="str">
        <f>'XM.FILE GOC'!$E$106</f>
        <v>50~70</v>
      </c>
      <c r="H28" s="2222" t="str">
        <f>'XM.FILE GOC'!$F$106</f>
        <v>(60±5)</v>
      </c>
      <c r="I28" s="3113">
        <f>'XM.GUI MAIL'!I106</f>
        <v>61</v>
      </c>
      <c r="J28" s="3112"/>
      <c r="K28" s="3112">
        <f>'XM.FILE GOC'!L106</f>
        <v>60</v>
      </c>
      <c r="L28" s="3112"/>
      <c r="M28" s="922"/>
      <c r="N28" s="923"/>
      <c r="O28" s="923"/>
      <c r="P28" s="924"/>
      <c r="Q28" s="3112">
        <f>'XM.GUI MAIL'!P106</f>
        <v>60</v>
      </c>
      <c r="R28" s="3112"/>
      <c r="S28" s="3112">
        <f>'XM.FILE GOC'!S106</f>
        <v>60</v>
      </c>
      <c r="T28" s="3112"/>
      <c r="U28" s="922"/>
      <c r="V28" s="923"/>
      <c r="W28" s="923"/>
      <c r="X28" s="924"/>
      <c r="Y28" s="3112">
        <f>'XM.GUI MAIL'!W106</f>
        <v>62</v>
      </c>
      <c r="Z28" s="3112"/>
      <c r="AA28" s="3112">
        <f>'XM.FILE GOC'!Z106</f>
        <v>61</v>
      </c>
      <c r="AB28" s="3112"/>
      <c r="AC28" s="922"/>
      <c r="AD28" s="923"/>
      <c r="AE28" s="923"/>
      <c r="AF28" s="924"/>
      <c r="AG28" s="76"/>
    </row>
    <row r="29" spans="1:34" ht="45.75" customHeight="1">
      <c r="A29" s="1367">
        <v>3</v>
      </c>
      <c r="B29" s="3167" t="s">
        <v>965</v>
      </c>
      <c r="C29" s="3168"/>
      <c r="D29" s="3168"/>
      <c r="E29" s="3169"/>
      <c r="F29" s="979" t="s">
        <v>963</v>
      </c>
      <c r="G29" s="898" t="str">
        <f>'XM.FILE GOC'!$E$107</f>
        <v>50~70</v>
      </c>
      <c r="H29" s="2222" t="str">
        <f>'XM.FILE GOC'!$F$107</f>
        <v>(60±5)</v>
      </c>
      <c r="I29" s="3113">
        <f>'XM.GUI MAIL'!I107</f>
        <v>60</v>
      </c>
      <c r="J29" s="3112"/>
      <c r="K29" s="3112">
        <f>'XM.FILE GOC'!L107</f>
        <v>60</v>
      </c>
      <c r="L29" s="3112"/>
      <c r="M29" s="922"/>
      <c r="N29" s="923"/>
      <c r="O29" s="923"/>
      <c r="P29" s="924"/>
      <c r="Q29" s="3112">
        <f>'XM.GUI MAIL'!P107</f>
        <v>60</v>
      </c>
      <c r="R29" s="3112"/>
      <c r="S29" s="3112">
        <f>'XM.FILE GOC'!S107</f>
        <v>61</v>
      </c>
      <c r="T29" s="3112"/>
      <c r="U29" s="922"/>
      <c r="V29" s="923"/>
      <c r="W29" s="923"/>
      <c r="X29" s="924"/>
      <c r="Y29" s="3112">
        <f>'XM.GUI MAIL'!W107</f>
        <v>60</v>
      </c>
      <c r="Z29" s="3112"/>
      <c r="AA29" s="3112">
        <f>'XM.FILE GOC'!Z107</f>
        <v>60</v>
      </c>
      <c r="AB29" s="3112"/>
      <c r="AC29" s="922"/>
      <c r="AD29" s="923"/>
      <c r="AE29" s="923"/>
      <c r="AF29" s="924"/>
      <c r="AG29" s="76"/>
    </row>
    <row r="30" spans="1:34" ht="45.75" customHeight="1">
      <c r="A30" s="1367">
        <v>4</v>
      </c>
      <c r="B30" s="3167" t="s">
        <v>966</v>
      </c>
      <c r="C30" s="3168"/>
      <c r="D30" s="3168"/>
      <c r="E30" s="3169"/>
      <c r="F30" s="979" t="s">
        <v>963</v>
      </c>
      <c r="G30" s="898" t="str">
        <f>'XM.FILE GOC'!$E$108</f>
        <v>50~70</v>
      </c>
      <c r="H30" s="2222" t="str">
        <f>'XM.FILE GOC'!$F$108</f>
        <v>(60±5)</v>
      </c>
      <c r="I30" s="3113">
        <f>'XM.GUI MAIL'!I108</f>
        <v>61</v>
      </c>
      <c r="J30" s="3112"/>
      <c r="K30" s="3112">
        <f>'XM.FILE GOC'!L108</f>
        <v>60</v>
      </c>
      <c r="L30" s="3112"/>
      <c r="M30" s="922"/>
      <c r="N30" s="923"/>
      <c r="O30" s="923"/>
      <c r="P30" s="924"/>
      <c r="Q30" s="3112">
        <f>'XM.GUI MAIL'!P108</f>
        <v>59</v>
      </c>
      <c r="R30" s="3112"/>
      <c r="S30" s="3112">
        <f>'XM.FILE GOC'!S108</f>
        <v>60</v>
      </c>
      <c r="T30" s="3112"/>
      <c r="U30" s="922"/>
      <c r="V30" s="923"/>
      <c r="W30" s="923"/>
      <c r="X30" s="924"/>
      <c r="Y30" s="3112">
        <f>'XM.GUI MAIL'!W108</f>
        <v>60</v>
      </c>
      <c r="Z30" s="3112"/>
      <c r="AA30" s="3112">
        <f>'XM.FILE GOC'!Z108</f>
        <v>60</v>
      </c>
      <c r="AB30" s="3112"/>
      <c r="AC30" s="922"/>
      <c r="AD30" s="923"/>
      <c r="AE30" s="923"/>
      <c r="AF30" s="924"/>
      <c r="AG30" s="76"/>
    </row>
    <row r="31" spans="1:34" ht="45.75" customHeight="1">
      <c r="A31" s="1372">
        <v>5</v>
      </c>
      <c r="B31" s="3167" t="s">
        <v>967</v>
      </c>
      <c r="C31" s="3168"/>
      <c r="D31" s="3168"/>
      <c r="E31" s="3169"/>
      <c r="F31" s="979" t="s">
        <v>963</v>
      </c>
      <c r="G31" s="898" t="str">
        <f>'XM.FILE GOC'!$E$109</f>
        <v>22~28</v>
      </c>
      <c r="H31" s="2222" t="str">
        <f>'XM.FILE GOC'!$F$109</f>
        <v>(25±3)</v>
      </c>
      <c r="I31" s="3199">
        <f>'XM.GUI MAIL'!I109</f>
        <v>26</v>
      </c>
      <c r="J31" s="3166"/>
      <c r="K31" s="3166">
        <f>'XM.FILE GOC'!L109</f>
        <v>26</v>
      </c>
      <c r="L31" s="3166"/>
      <c r="M31" s="922"/>
      <c r="N31" s="923"/>
      <c r="O31" s="923"/>
      <c r="P31" s="924"/>
      <c r="Q31" s="3166">
        <f>'XM.GUI MAIL'!P109</f>
        <v>26</v>
      </c>
      <c r="R31" s="3166"/>
      <c r="S31" s="3166">
        <f>'XM.FILE GOC'!S109</f>
        <v>26</v>
      </c>
      <c r="T31" s="3166"/>
      <c r="U31" s="922"/>
      <c r="V31" s="923"/>
      <c r="W31" s="923"/>
      <c r="X31" s="924"/>
      <c r="Y31" s="3166">
        <f>'XM.GUI MAIL'!W109</f>
        <v>26</v>
      </c>
      <c r="Z31" s="3166"/>
      <c r="AA31" s="3166">
        <f>'XM.FILE GOC'!Z109</f>
        <v>26</v>
      </c>
      <c r="AB31" s="3166"/>
      <c r="AC31" s="922"/>
      <c r="AD31" s="923"/>
      <c r="AE31" s="923"/>
      <c r="AF31" s="924"/>
      <c r="AG31" s="76"/>
    </row>
    <row r="32" spans="1:34" ht="45.75" customHeight="1">
      <c r="A32" s="1372">
        <v>6</v>
      </c>
      <c r="B32" s="3167" t="s">
        <v>968</v>
      </c>
      <c r="C32" s="3168"/>
      <c r="D32" s="3168"/>
      <c r="E32" s="3169"/>
      <c r="F32" s="979" t="s">
        <v>963</v>
      </c>
      <c r="G32" s="898" t="str">
        <f>'XM.FILE GOC'!$E$110</f>
        <v>30~40</v>
      </c>
      <c r="H32" s="2222" t="str">
        <f>'XM.FILE GOC'!$F$110</f>
        <v>(34±3)</v>
      </c>
      <c r="I32" s="3113">
        <f>'XM.GUI MAIL'!I110</f>
        <v>32</v>
      </c>
      <c r="J32" s="3112"/>
      <c r="K32" s="3112">
        <f>'XM.FILE GOC'!L110</f>
        <v>33</v>
      </c>
      <c r="L32" s="3112"/>
      <c r="M32" s="922"/>
      <c r="N32" s="923"/>
      <c r="O32" s="923"/>
      <c r="P32" s="924"/>
      <c r="Q32" s="3112">
        <f>'XM.GUI MAIL'!P110</f>
        <v>33</v>
      </c>
      <c r="R32" s="3112"/>
      <c r="S32" s="3112">
        <f>'XM.FILE GOC'!S110</f>
        <v>33</v>
      </c>
      <c r="T32" s="3112"/>
      <c r="U32" s="922"/>
      <c r="V32" s="923"/>
      <c r="W32" s="923"/>
      <c r="X32" s="924"/>
      <c r="Y32" s="3112">
        <f>'XM.GUI MAIL'!W110</f>
        <v>33</v>
      </c>
      <c r="Z32" s="3112"/>
      <c r="AA32" s="3112">
        <f>'XM.FILE GOC'!Z110</f>
        <v>32</v>
      </c>
      <c r="AB32" s="3112"/>
      <c r="AC32" s="922"/>
      <c r="AD32" s="923"/>
      <c r="AE32" s="923"/>
      <c r="AF32" s="924"/>
      <c r="AG32" s="76"/>
      <c r="AH32" s="946"/>
    </row>
    <row r="33" spans="1:67" ht="45.75" customHeight="1">
      <c r="A33" s="1372">
        <v>7</v>
      </c>
      <c r="B33" s="3167" t="s">
        <v>969</v>
      </c>
      <c r="C33" s="3168"/>
      <c r="D33" s="3168"/>
      <c r="E33" s="3169"/>
      <c r="F33" s="979" t="s">
        <v>963</v>
      </c>
      <c r="G33" s="898" t="str">
        <f>'XM.FILE GOC'!$E$111</f>
        <v>55~65</v>
      </c>
      <c r="H33" s="2222" t="str">
        <f>'XM.FILE GOC'!$F$111</f>
        <v>(60±5)</v>
      </c>
      <c r="I33" s="3113">
        <f>'XM.GUI MAIL'!I111</f>
        <v>55</v>
      </c>
      <c r="J33" s="3112"/>
      <c r="K33" s="3112">
        <f>'XM.FILE GOC'!L111</f>
        <v>56</v>
      </c>
      <c r="L33" s="3112"/>
      <c r="M33" s="922"/>
      <c r="N33" s="923"/>
      <c r="O33" s="923"/>
      <c r="P33" s="924"/>
      <c r="Q33" s="3112">
        <f>'XM.GUI MAIL'!P111</f>
        <v>55</v>
      </c>
      <c r="R33" s="3112"/>
      <c r="S33" s="3112">
        <f>'XM.FILE GOC'!S111</f>
        <v>56</v>
      </c>
      <c r="T33" s="3112"/>
      <c r="U33" s="922"/>
      <c r="V33" s="923"/>
      <c r="W33" s="923"/>
      <c r="X33" s="924"/>
      <c r="Y33" s="3112">
        <f>'XM.GUI MAIL'!W111</f>
        <v>56</v>
      </c>
      <c r="Z33" s="3112"/>
      <c r="AA33" s="3112">
        <f>'XM.FILE GOC'!Z111</f>
        <v>55</v>
      </c>
      <c r="AB33" s="3112"/>
      <c r="AC33" s="922"/>
      <c r="AD33" s="923"/>
      <c r="AE33" s="923"/>
      <c r="AF33" s="924"/>
      <c r="AG33" s="76"/>
    </row>
    <row r="34" spans="1:67" ht="45.75" customHeight="1">
      <c r="A34" s="1372">
        <v>8</v>
      </c>
      <c r="B34" s="3167" t="s">
        <v>970</v>
      </c>
      <c r="C34" s="3168"/>
      <c r="D34" s="3168"/>
      <c r="E34" s="3169"/>
      <c r="F34" s="979" t="s">
        <v>963</v>
      </c>
      <c r="G34" s="898" t="str">
        <f>'XM.FILE GOC'!$E$112</f>
        <v>80~100</v>
      </c>
      <c r="H34" s="2222" t="str">
        <f>'XM.FILE GOC'!$F$112</f>
        <v>(90±5)</v>
      </c>
      <c r="I34" s="3159" t="s">
        <v>47</v>
      </c>
      <c r="J34" s="3191"/>
      <c r="K34" s="3112">
        <f>'XM.FILE GOC'!L112</f>
        <v>90</v>
      </c>
      <c r="L34" s="3112"/>
      <c r="M34" s="922"/>
      <c r="N34" s="923"/>
      <c r="O34" s="923"/>
      <c r="P34" s="924"/>
      <c r="Q34" s="3191" t="s">
        <v>47</v>
      </c>
      <c r="R34" s="3191"/>
      <c r="S34" s="3112">
        <f>'XM.FILE GOC'!S112</f>
        <v>91</v>
      </c>
      <c r="T34" s="3112"/>
      <c r="U34" s="922"/>
      <c r="V34" s="923"/>
      <c r="W34" s="923"/>
      <c r="X34" s="924"/>
      <c r="Y34" s="3191" t="s">
        <v>47</v>
      </c>
      <c r="Z34" s="3191"/>
      <c r="AA34" s="3112">
        <f>'XM.FILE GOC'!Z112</f>
        <v>90</v>
      </c>
      <c r="AB34" s="3112"/>
      <c r="AC34" s="922"/>
      <c r="AD34" s="923"/>
      <c r="AE34" s="923"/>
      <c r="AF34" s="924"/>
      <c r="AG34" s="76"/>
    </row>
    <row r="35" spans="1:67" ht="45.75" customHeight="1">
      <c r="A35" s="1372">
        <v>9</v>
      </c>
      <c r="B35" s="3192" t="s">
        <v>1287</v>
      </c>
      <c r="C35" s="3193"/>
      <c r="D35" s="3193"/>
      <c r="E35" s="3194"/>
      <c r="F35" s="979" t="s">
        <v>963</v>
      </c>
      <c r="G35" s="898" t="str">
        <f>'XM.FILE GOC'!$E$113</f>
        <v>40~60</v>
      </c>
      <c r="H35" s="2222" t="str">
        <f>'XM.FILE GOC'!$F$113</f>
        <v>(50±10)</v>
      </c>
      <c r="I35" s="3190">
        <f>'XM.FILE GOC'!I113</f>
        <v>58</v>
      </c>
      <c r="J35" s="3188"/>
      <c r="K35" s="3188">
        <f>'XM.FILE GOC'!L113</f>
        <v>58</v>
      </c>
      <c r="L35" s="3188"/>
      <c r="M35" s="922"/>
      <c r="N35" s="923"/>
      <c r="O35" s="923"/>
      <c r="P35" s="924"/>
      <c r="Q35" s="3188">
        <f>'XM.FILE GOC'!P113</f>
        <v>60</v>
      </c>
      <c r="R35" s="3188"/>
      <c r="S35" s="3188">
        <f>'XM.FILE GOC'!S113</f>
        <v>59</v>
      </c>
      <c r="T35" s="3188"/>
      <c r="U35" s="922"/>
      <c r="V35" s="923"/>
      <c r="W35" s="923"/>
      <c r="X35" s="924"/>
      <c r="Y35" s="3188">
        <f>'XM.FILE GOC'!W113</f>
        <v>59</v>
      </c>
      <c r="Z35" s="3188"/>
      <c r="AA35" s="3188">
        <f>'XM.FILE GOC'!Z113</f>
        <v>60</v>
      </c>
      <c r="AB35" s="3188"/>
      <c r="AC35" s="922"/>
      <c r="AD35" s="923"/>
      <c r="AE35" s="923"/>
      <c r="AF35" s="924"/>
      <c r="AG35" s="1373"/>
    </row>
    <row r="36" spans="1:67" ht="45.75" customHeight="1">
      <c r="A36" s="1372">
        <v>10</v>
      </c>
      <c r="B36" s="3192" t="s">
        <v>1290</v>
      </c>
      <c r="C36" s="3193"/>
      <c r="D36" s="3193"/>
      <c r="E36" s="3194"/>
      <c r="F36" s="979" t="s">
        <v>963</v>
      </c>
      <c r="G36" s="898" t="str">
        <f>'XM.FILE GOC'!$E$114</f>
        <v>50~70</v>
      </c>
      <c r="H36" s="2222" t="str">
        <f>'XM.FILE GOC'!$F$114</f>
        <v>(60±10)</v>
      </c>
      <c r="I36" s="3190">
        <f>'XM.FILE GOC'!I114</f>
        <v>57</v>
      </c>
      <c r="J36" s="3188"/>
      <c r="K36" s="3188">
        <f>'XM.FILE GOC'!L114</f>
        <v>58</v>
      </c>
      <c r="L36" s="3188"/>
      <c r="M36" s="922"/>
      <c r="N36" s="923"/>
      <c r="O36" s="923"/>
      <c r="P36" s="924"/>
      <c r="Q36" s="3188">
        <f>'XM.FILE GOC'!P114</f>
        <v>58</v>
      </c>
      <c r="R36" s="3188"/>
      <c r="S36" s="3188">
        <f>'XM.FILE GOC'!S114</f>
        <v>58</v>
      </c>
      <c r="T36" s="3188"/>
      <c r="U36" s="922"/>
      <c r="V36" s="923"/>
      <c r="W36" s="923"/>
      <c r="X36" s="924"/>
      <c r="Y36" s="3188">
        <f>'XM.FILE GOC'!W114</f>
        <v>59</v>
      </c>
      <c r="Z36" s="3188"/>
      <c r="AA36" s="3188">
        <f>'XM.FILE GOC'!Z114</f>
        <v>59</v>
      </c>
      <c r="AB36" s="3188"/>
      <c r="AC36" s="922"/>
      <c r="AD36" s="923"/>
      <c r="AE36" s="923"/>
      <c r="AF36" s="924"/>
      <c r="AG36" s="1373"/>
    </row>
    <row r="37" spans="1:67" ht="45.75" hidden="1" customHeight="1">
      <c r="A37" s="2195"/>
      <c r="B37" s="3195" t="s">
        <v>989</v>
      </c>
      <c r="C37" s="3196"/>
      <c r="D37" s="3196"/>
      <c r="E37" s="3197"/>
      <c r="F37" s="11" t="s">
        <v>26</v>
      </c>
      <c r="G37" s="1012" t="str">
        <f>'XM.GUI MAIL'!$E$115</f>
        <v>20~30</v>
      </c>
      <c r="H37" s="2226" t="str">
        <f>'XM.GUI MAIL'!$F$115</f>
        <v>20~30</v>
      </c>
      <c r="I37" s="3187">
        <f>'XM.FILE GOC'!I115</f>
        <v>0</v>
      </c>
      <c r="J37" s="3022"/>
      <c r="K37" s="3035">
        <f>'XM.FILE GOC'!L115</f>
        <v>0</v>
      </c>
      <c r="L37" s="3022"/>
      <c r="M37" s="2197"/>
      <c r="N37" s="926"/>
      <c r="O37" s="926"/>
      <c r="P37" s="927"/>
      <c r="Q37" s="3035">
        <f>'XM.FILE GOC'!P115</f>
        <v>0</v>
      </c>
      <c r="R37" s="3022"/>
      <c r="S37" s="3035">
        <f>'XM.FILE GOC'!S115</f>
        <v>0</v>
      </c>
      <c r="T37" s="3022"/>
      <c r="U37" s="2197"/>
      <c r="V37" s="926"/>
      <c r="W37" s="926"/>
      <c r="X37" s="927"/>
      <c r="Y37" s="3035">
        <f>'XM.FILE GOC'!W115</f>
        <v>0</v>
      </c>
      <c r="Z37" s="3022"/>
      <c r="AA37" s="3035">
        <f>'XM.FILE GOC'!Z115</f>
        <v>0</v>
      </c>
      <c r="AB37" s="3022"/>
      <c r="AC37" s="922"/>
      <c r="AD37" s="923"/>
      <c r="AE37" s="923"/>
      <c r="AF37" s="924"/>
      <c r="AG37" s="2196"/>
    </row>
    <row r="38" spans="1:67" ht="45.75" customHeight="1">
      <c r="A38" s="975"/>
      <c r="B38" s="2449" t="s">
        <v>1311</v>
      </c>
      <c r="C38" s="2450"/>
      <c r="D38" s="2450"/>
      <c r="E38" s="2450"/>
      <c r="F38" s="2450"/>
      <c r="G38" s="2450"/>
      <c r="H38" s="2450"/>
      <c r="I38" s="2450"/>
      <c r="J38" s="2450"/>
      <c r="K38" s="2450"/>
      <c r="L38" s="2450"/>
      <c r="M38" s="2450"/>
      <c r="N38" s="2450"/>
      <c r="O38" s="2450"/>
      <c r="P38" s="2450"/>
      <c r="Q38" s="2450"/>
      <c r="R38" s="2450"/>
      <c r="S38" s="2450"/>
      <c r="T38" s="2450"/>
      <c r="U38" s="2450"/>
      <c r="V38" s="2450"/>
      <c r="W38" s="2450"/>
      <c r="X38" s="2450"/>
      <c r="Y38" s="2450"/>
      <c r="Z38" s="2450"/>
      <c r="AA38" s="2450"/>
      <c r="AB38" s="2450"/>
      <c r="AC38" s="2450"/>
      <c r="AD38" s="2450"/>
      <c r="AE38" s="2450"/>
      <c r="AF38" s="2450"/>
      <c r="AG38" s="2451"/>
    </row>
    <row r="39" spans="1:67" ht="49.5" customHeight="1">
      <c r="A39" s="975" t="s">
        <v>7</v>
      </c>
      <c r="B39" s="3167" t="s">
        <v>971</v>
      </c>
      <c r="C39" s="3168"/>
      <c r="D39" s="3168"/>
      <c r="E39" s="3169"/>
      <c r="F39" s="978" t="s">
        <v>737</v>
      </c>
      <c r="G39" s="978" t="s">
        <v>1310</v>
      </c>
      <c r="H39" s="2224" t="s">
        <v>1302</v>
      </c>
      <c r="I39" s="3158" t="s">
        <v>972</v>
      </c>
      <c r="J39" s="3158"/>
      <c r="K39" s="3158"/>
      <c r="L39" s="3159"/>
      <c r="M39" s="1301"/>
      <c r="N39" s="1302"/>
      <c r="O39" s="1302"/>
      <c r="P39" s="1303"/>
      <c r="Q39" s="3160" t="s">
        <v>972</v>
      </c>
      <c r="R39" s="3158"/>
      <c r="S39" s="3158"/>
      <c r="T39" s="3159"/>
      <c r="U39" s="1301"/>
      <c r="V39" s="1302"/>
      <c r="W39" s="1302"/>
      <c r="X39" s="1303"/>
      <c r="Y39" s="3160" t="s">
        <v>972</v>
      </c>
      <c r="Z39" s="3158"/>
      <c r="AA39" s="3158"/>
      <c r="AB39" s="3159"/>
      <c r="AC39" s="919"/>
      <c r="AD39" s="920"/>
      <c r="AE39" s="920"/>
      <c r="AF39" s="921"/>
      <c r="AG39" s="10"/>
    </row>
    <row r="40" spans="1:67" ht="45" customHeight="1">
      <c r="A40" s="975">
        <v>1</v>
      </c>
      <c r="B40" s="3095" t="s">
        <v>1597</v>
      </c>
      <c r="C40" s="3120"/>
      <c r="D40" s="3120"/>
      <c r="E40" s="3096"/>
      <c r="F40" s="633" t="s">
        <v>48</v>
      </c>
      <c r="G40" s="898" t="str">
        <f>'XM.FILE GOC'!$E$120</f>
        <v>30~50 
(40)</v>
      </c>
      <c r="H40" s="2222" t="str">
        <f>'XM.FILE GOC'!$F$120</f>
        <v>30~50 
(40)</v>
      </c>
      <c r="I40" s="3047">
        <f>'XM.GUI MAIL'!I120</f>
        <v>42</v>
      </c>
      <c r="J40" s="3047"/>
      <c r="K40" s="3047"/>
      <c r="L40" s="3047"/>
      <c r="M40" s="1307"/>
      <c r="N40" s="1308"/>
      <c r="O40" s="1308"/>
      <c r="P40" s="1309"/>
      <c r="Q40" s="3046">
        <f>'XM.GUI MAIL'!P120</f>
        <v>40</v>
      </c>
      <c r="R40" s="3047"/>
      <c r="S40" s="3047"/>
      <c r="T40" s="3047"/>
      <c r="U40" s="1307"/>
      <c r="V40" s="1308"/>
      <c r="W40" s="1308"/>
      <c r="X40" s="1309"/>
      <c r="Y40" s="3046">
        <f>'XM.GUI MAIL'!W120</f>
        <v>42</v>
      </c>
      <c r="Z40" s="3047"/>
      <c r="AA40" s="3047"/>
      <c r="AB40" s="3048"/>
      <c r="AC40" s="928"/>
      <c r="AD40" s="905"/>
      <c r="AE40" s="905"/>
      <c r="AF40" s="929"/>
      <c r="AG40" s="76"/>
    </row>
    <row r="41" spans="1:67" ht="45" customHeight="1">
      <c r="A41" s="975">
        <v>2</v>
      </c>
      <c r="B41" s="3095" t="s">
        <v>1598</v>
      </c>
      <c r="C41" s="3120"/>
      <c r="D41" s="3120"/>
      <c r="E41" s="3096"/>
      <c r="F41" s="633" t="s">
        <v>48</v>
      </c>
      <c r="G41" s="898" t="str">
        <f>'XM.FILE GOC'!$E$121</f>
        <v>160~220
(180)</v>
      </c>
      <c r="H41" s="2222" t="str">
        <f>'XM.FILE GOC'!$F$121</f>
        <v>160~220
(180)</v>
      </c>
      <c r="I41" s="3047">
        <f>'XM.GUI MAIL'!I121</f>
        <v>170</v>
      </c>
      <c r="J41" s="3047"/>
      <c r="K41" s="3047"/>
      <c r="L41" s="3047"/>
      <c r="M41" s="1304"/>
      <c r="N41" s="1305"/>
      <c r="O41" s="1305"/>
      <c r="P41" s="1306"/>
      <c r="Q41" s="3046">
        <f>'XM.GUI MAIL'!P121</f>
        <v>172</v>
      </c>
      <c r="R41" s="3047"/>
      <c r="S41" s="3047"/>
      <c r="T41" s="3047"/>
      <c r="U41" s="1304"/>
      <c r="V41" s="1305"/>
      <c r="W41" s="1305"/>
      <c r="X41" s="1306"/>
      <c r="Y41" s="3046">
        <f>'XM.GUI MAIL'!W121</f>
        <v>172</v>
      </c>
      <c r="Z41" s="3047"/>
      <c r="AA41" s="3047"/>
      <c r="AB41" s="3048"/>
      <c r="AC41" s="930"/>
      <c r="AD41" s="931"/>
      <c r="AE41" s="931"/>
      <c r="AF41" s="932"/>
      <c r="AG41" s="76"/>
    </row>
    <row r="42" spans="1:67" ht="39" customHeight="1">
      <c r="A42" s="980"/>
      <c r="B42" s="2259"/>
      <c r="C42" s="2259"/>
      <c r="D42" s="2259"/>
      <c r="E42" s="2259"/>
      <c r="F42" s="981"/>
      <c r="G42" s="981"/>
      <c r="H42" s="981"/>
      <c r="I42" s="981"/>
      <c r="J42" s="981"/>
      <c r="K42" s="981"/>
      <c r="L42" s="981"/>
      <c r="M42" s="981"/>
      <c r="N42" s="981"/>
      <c r="O42" s="981"/>
      <c r="P42" s="981"/>
      <c r="Q42" s="981"/>
      <c r="R42" s="981"/>
      <c r="S42" s="981"/>
      <c r="T42" s="981"/>
      <c r="U42" s="981"/>
      <c r="V42" s="981"/>
      <c r="W42" s="981"/>
      <c r="X42" s="981"/>
      <c r="Y42" s="981"/>
      <c r="Z42" s="981"/>
      <c r="AA42" s="981"/>
      <c r="AB42" s="2260"/>
      <c r="AC42" s="905"/>
      <c r="AD42" s="905"/>
      <c r="AE42" s="905"/>
      <c r="AF42" s="905"/>
      <c r="AG42" s="62"/>
    </row>
    <row r="43" spans="1:67" ht="36.75" customHeight="1">
      <c r="B43" s="1546" t="s">
        <v>135</v>
      </c>
      <c r="C43" s="1546"/>
      <c r="D43" s="1546"/>
      <c r="E43" s="1546"/>
      <c r="F43" s="1546"/>
      <c r="G43" s="1546"/>
      <c r="H43" s="1546"/>
      <c r="I43" s="1546"/>
      <c r="J43" s="1546"/>
      <c r="K43" s="1546"/>
      <c r="L43" s="1546"/>
      <c r="M43" s="1546"/>
      <c r="N43" s="1546"/>
      <c r="O43" s="1546"/>
      <c r="P43" s="1546"/>
      <c r="Q43" s="1546"/>
      <c r="R43" s="1546"/>
      <c r="S43" s="1546"/>
      <c r="T43" s="1546"/>
      <c r="U43" s="1546"/>
      <c r="V43" s="1546"/>
      <c r="W43" s="1546"/>
      <c r="X43" s="1546"/>
      <c r="Y43" s="1546"/>
      <c r="Z43" s="1546"/>
      <c r="AA43" s="2446"/>
      <c r="AB43" s="2446"/>
      <c r="AC43" s="2447"/>
      <c r="AD43" s="947"/>
      <c r="AE43" s="947"/>
      <c r="AF43" s="947"/>
      <c r="AG43" s="61"/>
      <c r="AJ43" s="1546" t="s">
        <v>135</v>
      </c>
      <c r="AK43" s="1546"/>
      <c r="AL43" s="1546"/>
      <c r="AM43" s="1546"/>
      <c r="AN43" s="1546"/>
      <c r="AO43" s="1546"/>
      <c r="AP43" s="1546"/>
      <c r="AQ43" s="1546"/>
      <c r="AR43" s="1546"/>
      <c r="AS43" s="1546"/>
      <c r="AT43" s="1546"/>
      <c r="AU43" s="1546"/>
      <c r="AV43" s="1546"/>
      <c r="AW43" s="1546"/>
      <c r="AX43" s="1546"/>
      <c r="AY43" s="1546"/>
      <c r="AZ43" s="1546"/>
      <c r="BA43" s="1546"/>
      <c r="BB43" s="1546"/>
      <c r="BC43" s="1546"/>
      <c r="BD43" s="1546"/>
      <c r="BE43" s="1546"/>
      <c r="BF43" s="1546"/>
      <c r="BG43" s="1546"/>
      <c r="BH43" s="1546"/>
      <c r="BI43" s="2446"/>
      <c r="BJ43" s="2446"/>
      <c r="BK43" s="2447"/>
      <c r="BL43" s="947"/>
      <c r="BM43" s="947"/>
      <c r="BN43" s="947"/>
      <c r="BO43" s="61"/>
    </row>
    <row r="44" spans="1:67" ht="51" customHeight="1">
      <c r="B44" s="2448" t="s">
        <v>136</v>
      </c>
      <c r="C44" s="2448"/>
      <c r="D44" s="2448"/>
      <c r="E44" s="2448"/>
      <c r="F44" s="2448"/>
      <c r="G44" s="2448"/>
      <c r="H44" s="2448"/>
      <c r="I44" s="2448"/>
      <c r="J44" s="2448"/>
      <c r="K44" s="2448"/>
      <c r="L44" s="2448"/>
      <c r="M44" s="2448"/>
      <c r="N44" s="2448"/>
      <c r="O44" s="2448"/>
      <c r="P44" s="2448"/>
      <c r="Q44" s="2448"/>
      <c r="R44" s="2448"/>
      <c r="S44" s="2448"/>
      <c r="T44" s="2448"/>
      <c r="U44" s="2448"/>
      <c r="V44" s="2448"/>
      <c r="W44" s="2448"/>
      <c r="X44" s="2448"/>
      <c r="Y44" s="2448"/>
      <c r="Z44" s="2448"/>
      <c r="AA44" s="2440"/>
      <c r="AB44" s="2440"/>
      <c r="AC44" s="2441"/>
      <c r="AD44" s="3121" t="s">
        <v>88</v>
      </c>
      <c r="AE44" s="3121"/>
      <c r="AF44" s="3122" t="s">
        <v>89</v>
      </c>
      <c r="AG44" s="3123"/>
      <c r="AJ44" s="2448" t="s">
        <v>1511</v>
      </c>
      <c r="AK44" s="2448"/>
      <c r="AL44" s="2448"/>
      <c r="AM44" s="2448"/>
      <c r="AN44" s="2448"/>
      <c r="AO44" s="2448"/>
      <c r="AP44" s="2448"/>
      <c r="AQ44" s="2448"/>
      <c r="AR44" s="2448"/>
      <c r="AS44" s="2448"/>
      <c r="AT44" s="2448"/>
      <c r="AU44" s="2448"/>
      <c r="AV44" s="2448"/>
      <c r="AW44" s="2448"/>
      <c r="AX44" s="2448"/>
      <c r="AY44" s="2448"/>
      <c r="AZ44" s="2448"/>
      <c r="BA44" s="2448"/>
      <c r="BB44" s="2448"/>
      <c r="BC44" s="2448"/>
      <c r="BD44" s="2448"/>
      <c r="BE44" s="2448"/>
      <c r="BF44" s="2448"/>
      <c r="BG44" s="2448"/>
      <c r="BH44" s="2448"/>
      <c r="BI44" s="2440"/>
      <c r="BJ44" s="2440"/>
      <c r="BK44" s="2441"/>
      <c r="BL44" s="3121" t="s">
        <v>88</v>
      </c>
      <c r="BM44" s="3121"/>
      <c r="BN44" s="3122" t="s">
        <v>89</v>
      </c>
      <c r="BO44" s="3123"/>
    </row>
    <row r="45" spans="1:67" ht="40.5" customHeight="1">
      <c r="A45" s="969"/>
      <c r="B45" s="1424" t="s">
        <v>127</v>
      </c>
      <c r="C45" s="1425"/>
      <c r="D45" s="1395"/>
      <c r="E45" s="1396"/>
      <c r="F45" s="1397"/>
      <c r="G45" s="1394" t="s">
        <v>1624</v>
      </c>
      <c r="H45" s="1819" t="str">
        <f>MENU!$AC$9</f>
        <v>Thứ 4,</v>
      </c>
      <c r="I45" s="3089" t="str">
        <f>MENU!$AD$9</f>
        <v>2024/05/22</v>
      </c>
      <c r="J45" s="3090"/>
      <c r="K45" s="3090"/>
      <c r="L45" s="3090"/>
      <c r="M45" s="944"/>
      <c r="N45" s="944"/>
      <c r="O45" s="944"/>
      <c r="P45" s="944"/>
      <c r="Q45" s="971"/>
      <c r="R45" s="971"/>
      <c r="S45" s="971"/>
      <c r="T45" s="971"/>
      <c r="U45" s="944"/>
      <c r="V45" s="944"/>
      <c r="W45" s="944"/>
      <c r="X45" s="944"/>
      <c r="Y45" s="971"/>
      <c r="Z45" s="971"/>
      <c r="AA45" s="3150"/>
      <c r="AB45" s="3150"/>
      <c r="AC45" s="942"/>
      <c r="AD45" s="3124" t="str">
        <f>MENU!AE7</f>
        <v>L.Yen</v>
      </c>
      <c r="AE45" s="3124"/>
      <c r="AF45" s="3156" t="s">
        <v>11</v>
      </c>
      <c r="AG45" s="3129"/>
      <c r="AI45" s="969"/>
      <c r="AJ45" s="1424" t="s">
        <v>127</v>
      </c>
      <c r="AK45" s="1425"/>
      <c r="AL45" s="1395"/>
      <c r="AM45" s="1396"/>
      <c r="AN45" s="1397"/>
      <c r="AO45" s="1394" t="s">
        <v>1624</v>
      </c>
      <c r="AP45" s="1819" t="str">
        <f>MENU!$AC$9</f>
        <v>Thứ 4,</v>
      </c>
      <c r="AQ45" s="3089" t="str">
        <f>MENU!$AD$9</f>
        <v>2024/05/22</v>
      </c>
      <c r="AR45" s="3090"/>
      <c r="AS45" s="3090"/>
      <c r="AT45" s="3090"/>
      <c r="AU45" s="944"/>
      <c r="AV45" s="944"/>
      <c r="AW45" s="944"/>
      <c r="AX45" s="944"/>
      <c r="AY45" s="971"/>
      <c r="AZ45" s="971"/>
      <c r="BA45" s="971"/>
      <c r="BB45" s="971"/>
      <c r="BC45" s="944"/>
      <c r="BD45" s="944"/>
      <c r="BE45" s="944"/>
      <c r="BF45" s="944"/>
      <c r="BG45" s="971"/>
      <c r="BH45" s="971"/>
      <c r="BI45" s="3150"/>
      <c r="BJ45" s="3150"/>
      <c r="BK45" s="942"/>
      <c r="BL45" s="3124" t="str">
        <f>MENU!AE7</f>
        <v>L.Yen</v>
      </c>
      <c r="BM45" s="3124"/>
      <c r="BN45" s="3156" t="s">
        <v>11</v>
      </c>
      <c r="BO45" s="3129"/>
    </row>
    <row r="46" spans="1:67" s="62" customFormat="1" ht="36.75" customHeight="1">
      <c r="A46" s="3181" t="s">
        <v>7</v>
      </c>
      <c r="B46" s="3097" t="s">
        <v>76</v>
      </c>
      <c r="C46" s="3098"/>
      <c r="D46" s="3098"/>
      <c r="E46" s="3099"/>
      <c r="F46" s="3133" t="s">
        <v>124</v>
      </c>
      <c r="G46" s="3059" t="s">
        <v>1310</v>
      </c>
      <c r="H46" s="3109" t="s">
        <v>1302</v>
      </c>
      <c r="I46" s="3064">
        <v>0.80208333333333337</v>
      </c>
      <c r="J46" s="3065"/>
      <c r="K46" s="3065"/>
      <c r="L46" s="3066"/>
      <c r="M46" s="3073" t="s">
        <v>944</v>
      </c>
      <c r="N46" s="3074"/>
      <c r="O46" s="3074"/>
      <c r="P46" s="3075"/>
      <c r="Q46" s="3064">
        <v>0.96875</v>
      </c>
      <c r="R46" s="3065"/>
      <c r="S46" s="3065"/>
      <c r="T46" s="3066"/>
      <c r="U46" s="3073" t="s">
        <v>944</v>
      </c>
      <c r="V46" s="3074"/>
      <c r="W46" s="3074"/>
      <c r="X46" s="3075"/>
      <c r="Y46" s="3151">
        <v>0.13541666666666666</v>
      </c>
      <c r="Z46" s="3133"/>
      <c r="AA46" s="3133"/>
      <c r="AB46" s="3133"/>
      <c r="AC46" s="3073" t="s">
        <v>944</v>
      </c>
      <c r="AD46" s="3074"/>
      <c r="AE46" s="3074"/>
      <c r="AF46" s="3075"/>
      <c r="AG46" s="3148" t="s">
        <v>38</v>
      </c>
      <c r="AI46" s="3181" t="s">
        <v>7</v>
      </c>
      <c r="AJ46" s="3097" t="s">
        <v>76</v>
      </c>
      <c r="AK46" s="3098"/>
      <c r="AL46" s="3098"/>
      <c r="AM46" s="3099"/>
      <c r="AN46" s="3133" t="s">
        <v>124</v>
      </c>
      <c r="AO46" s="3059" t="s">
        <v>1310</v>
      </c>
      <c r="AP46" s="3109" t="s">
        <v>1302</v>
      </c>
      <c r="AQ46" s="3155">
        <v>0.80208333333333337</v>
      </c>
      <c r="AR46" s="3065"/>
      <c r="AS46" s="3065"/>
      <c r="AT46" s="3066"/>
      <c r="AU46" s="3073" t="s">
        <v>939</v>
      </c>
      <c r="AV46" s="3074"/>
      <c r="AW46" s="3074"/>
      <c r="AX46" s="3075"/>
      <c r="AY46" s="3064">
        <v>0.96875</v>
      </c>
      <c r="AZ46" s="3065"/>
      <c r="BA46" s="3065"/>
      <c r="BB46" s="3066"/>
      <c r="BC46" s="3073" t="s">
        <v>939</v>
      </c>
      <c r="BD46" s="3074"/>
      <c r="BE46" s="3074"/>
      <c r="BF46" s="3075"/>
      <c r="BG46" s="3151">
        <v>0.13541666666666666</v>
      </c>
      <c r="BH46" s="3133"/>
      <c r="BI46" s="3133"/>
      <c r="BJ46" s="3133"/>
      <c r="BK46" s="3073" t="s">
        <v>939</v>
      </c>
      <c r="BL46" s="3074"/>
      <c r="BM46" s="3074"/>
      <c r="BN46" s="3075"/>
      <c r="BO46" s="3148" t="s">
        <v>38</v>
      </c>
    </row>
    <row r="47" spans="1:67" s="62" customFormat="1" ht="48.75" customHeight="1">
      <c r="A47" s="3181"/>
      <c r="B47" s="3100"/>
      <c r="C47" s="3101"/>
      <c r="D47" s="3101"/>
      <c r="E47" s="3102"/>
      <c r="F47" s="3134"/>
      <c r="G47" s="3060"/>
      <c r="H47" s="3110"/>
      <c r="I47" s="950" t="s">
        <v>129</v>
      </c>
      <c r="J47" s="3070" t="s">
        <v>1</v>
      </c>
      <c r="K47" s="3071"/>
      <c r="L47" s="3072"/>
      <c r="M47" s="907" t="s">
        <v>129</v>
      </c>
      <c r="N47" s="3076" t="s">
        <v>1</v>
      </c>
      <c r="O47" s="3076"/>
      <c r="P47" s="3077"/>
      <c r="Q47" s="950" t="s">
        <v>129</v>
      </c>
      <c r="R47" s="3070" t="s">
        <v>1</v>
      </c>
      <c r="S47" s="3071"/>
      <c r="T47" s="3072"/>
      <c r="U47" s="907" t="s">
        <v>129</v>
      </c>
      <c r="V47" s="3076" t="s">
        <v>1</v>
      </c>
      <c r="W47" s="3076"/>
      <c r="X47" s="3077"/>
      <c r="Y47" s="950" t="s">
        <v>129</v>
      </c>
      <c r="Z47" s="3070" t="s">
        <v>1</v>
      </c>
      <c r="AA47" s="3071"/>
      <c r="AB47" s="3072"/>
      <c r="AC47" s="907" t="s">
        <v>129</v>
      </c>
      <c r="AD47" s="3076" t="s">
        <v>1</v>
      </c>
      <c r="AE47" s="3076"/>
      <c r="AF47" s="3077"/>
      <c r="AG47" s="3149"/>
      <c r="AI47" s="3181"/>
      <c r="AJ47" s="3100"/>
      <c r="AK47" s="3101"/>
      <c r="AL47" s="3101"/>
      <c r="AM47" s="3102"/>
      <c r="AN47" s="3134"/>
      <c r="AO47" s="3060"/>
      <c r="AP47" s="3110"/>
      <c r="AQ47" s="2209" t="s">
        <v>129</v>
      </c>
      <c r="AR47" s="3070" t="s">
        <v>1</v>
      </c>
      <c r="AS47" s="3071"/>
      <c r="AT47" s="3072"/>
      <c r="AU47" s="907" t="s">
        <v>129</v>
      </c>
      <c r="AV47" s="3076" t="s">
        <v>1</v>
      </c>
      <c r="AW47" s="3076"/>
      <c r="AX47" s="3077"/>
      <c r="AY47" s="950" t="s">
        <v>129</v>
      </c>
      <c r="AZ47" s="3070" t="s">
        <v>1</v>
      </c>
      <c r="BA47" s="3071"/>
      <c r="BB47" s="3072"/>
      <c r="BC47" s="907" t="s">
        <v>129</v>
      </c>
      <c r="BD47" s="3076" t="s">
        <v>1</v>
      </c>
      <c r="BE47" s="3076"/>
      <c r="BF47" s="3077"/>
      <c r="BG47" s="950" t="s">
        <v>129</v>
      </c>
      <c r="BH47" s="3070" t="s">
        <v>1</v>
      </c>
      <c r="BI47" s="3071"/>
      <c r="BJ47" s="3072"/>
      <c r="BK47" s="907" t="s">
        <v>129</v>
      </c>
      <c r="BL47" s="3076" t="s">
        <v>1</v>
      </c>
      <c r="BM47" s="3076"/>
      <c r="BN47" s="3077"/>
      <c r="BO47" s="3149"/>
    </row>
    <row r="48" spans="1:67" ht="42" customHeight="1">
      <c r="A48" s="3206">
        <v>1</v>
      </c>
      <c r="B48" s="3223" t="s">
        <v>950</v>
      </c>
      <c r="C48" s="3224"/>
      <c r="D48" s="3093" t="s">
        <v>1590</v>
      </c>
      <c r="E48" s="3094"/>
      <c r="F48" s="2426" t="s">
        <v>4</v>
      </c>
      <c r="G48" s="898" t="str">
        <f>'XM.FILE GOC'!$E$78</f>
        <v>40~60</v>
      </c>
      <c r="H48" s="2222" t="str">
        <f>'XM.FILE GOC'!$F$78</f>
        <v>(50±5)</v>
      </c>
      <c r="I48" s="1404">
        <f>'XM.FILE GOC'!AD78</f>
        <v>51.3</v>
      </c>
      <c r="J48" s="972" t="s">
        <v>8</v>
      </c>
      <c r="K48" s="973">
        <f>'XM.FILE GOC'!AG78</f>
        <v>0</v>
      </c>
      <c r="L48" s="974" t="s">
        <v>9</v>
      </c>
      <c r="M48" s="908"/>
      <c r="N48" s="909" t="s">
        <v>8</v>
      </c>
      <c r="O48" s="1595"/>
      <c r="P48" s="910" t="s">
        <v>9</v>
      </c>
      <c r="Q48" s="1404">
        <f>'XM.FILE GOC'!AK78</f>
        <v>50.5</v>
      </c>
      <c r="R48" s="972" t="s">
        <v>8</v>
      </c>
      <c r="S48" s="973">
        <f>'XM.FILE GOC'!AN78</f>
        <v>0</v>
      </c>
      <c r="T48" s="974" t="s">
        <v>9</v>
      </c>
      <c r="U48" s="908"/>
      <c r="V48" s="909" t="s">
        <v>8</v>
      </c>
      <c r="W48" s="1595"/>
      <c r="X48" s="910" t="s">
        <v>9</v>
      </c>
      <c r="Y48" s="1404">
        <f>'XM.FILE GOC'!AR78</f>
        <v>50.2</v>
      </c>
      <c r="Z48" s="972" t="s">
        <v>8</v>
      </c>
      <c r="AA48" s="973">
        <f>'XM.FILE GOC'!AU78</f>
        <v>0</v>
      </c>
      <c r="AB48" s="974" t="s">
        <v>9</v>
      </c>
      <c r="AC48" s="908"/>
      <c r="AD48" s="909" t="s">
        <v>8</v>
      </c>
      <c r="AE48" s="1595"/>
      <c r="AF48" s="910" t="s">
        <v>9</v>
      </c>
      <c r="AG48" s="70" t="s">
        <v>39</v>
      </c>
      <c r="AI48" s="2707">
        <v>1</v>
      </c>
      <c r="AJ48" s="3170" t="s">
        <v>122</v>
      </c>
      <c r="AK48" s="3171"/>
      <c r="AL48" s="3174" t="s">
        <v>116</v>
      </c>
      <c r="AM48" s="3175"/>
      <c r="AN48" s="2340" t="s">
        <v>4</v>
      </c>
      <c r="AO48" s="2341" t="str">
        <f>'XM.GUI MAIL'!$E$99</f>
        <v>5~6</v>
      </c>
      <c r="AP48" s="2342" t="str">
        <f>'XM.GUI MAIL'!$F$99</f>
        <v>(5.5± 0.5)</v>
      </c>
      <c r="AQ48" s="2308">
        <f>'XM.FILE GOC'!AD99</f>
        <v>5.7200000000000006</v>
      </c>
      <c r="AR48" s="2309" t="s">
        <v>8</v>
      </c>
      <c r="AS48" s="2310">
        <f>'XM.FILE GOC'!AG99</f>
        <v>0</v>
      </c>
      <c r="AT48" s="2311" t="s">
        <v>9</v>
      </c>
      <c r="AU48" s="2312"/>
      <c r="AV48" s="2343" t="s">
        <v>8</v>
      </c>
      <c r="AW48" s="2344" t="str">
        <f>IF(AU48=0,"",('XM.FILE GOC'!$G$99-AU48)*8000/1000)</f>
        <v/>
      </c>
      <c r="AX48" s="2345" t="s">
        <v>9</v>
      </c>
      <c r="AY48" s="2316">
        <f>'XM.FILE GOC'!AK99</f>
        <v>5.7200000000000006</v>
      </c>
      <c r="AZ48" s="2309" t="s">
        <v>8</v>
      </c>
      <c r="BA48" s="2310">
        <f>'XM.FILE GOC'!AN99</f>
        <v>0</v>
      </c>
      <c r="BB48" s="2311" t="s">
        <v>9</v>
      </c>
      <c r="BC48" s="2312"/>
      <c r="BD48" s="2343" t="s">
        <v>8</v>
      </c>
      <c r="BE48" s="2344" t="str">
        <f>IF(BC48=0,"",('XM.FILE GOC'!$G$99-BC48)*8000/1000)</f>
        <v/>
      </c>
      <c r="BF48" s="2345" t="s">
        <v>9</v>
      </c>
      <c r="BG48" s="2316">
        <f>'XM.FILE GOC'!AR99</f>
        <v>5.59</v>
      </c>
      <c r="BH48" s="2309" t="s">
        <v>8</v>
      </c>
      <c r="BI48" s="2310">
        <f>'XM.FILE GOC'!AU99</f>
        <v>0</v>
      </c>
      <c r="BJ48" s="2311" t="s">
        <v>9</v>
      </c>
      <c r="BK48" s="2312"/>
      <c r="BL48" s="2343" t="s">
        <v>8</v>
      </c>
      <c r="BM48" s="2344" t="str">
        <f>IF(BK48=0,"",('XM.FILE GOC'!$G$99-BK48)*8000/1000)</f>
        <v/>
      </c>
      <c r="BN48" s="2345" t="s">
        <v>9</v>
      </c>
      <c r="BO48" s="2317" t="s">
        <v>40</v>
      </c>
    </row>
    <row r="49" spans="1:67" ht="42" customHeight="1">
      <c r="A49" s="3222"/>
      <c r="B49" s="3225"/>
      <c r="C49" s="3226"/>
      <c r="D49" s="3093" t="s">
        <v>1591</v>
      </c>
      <c r="E49" s="3094"/>
      <c r="F49" s="897"/>
      <c r="G49" s="898" t="s">
        <v>1592</v>
      </c>
      <c r="H49" s="2222"/>
      <c r="I49" s="1683"/>
      <c r="J49" s="59"/>
      <c r="K49" s="954">
        <f>K48/25*8.5</f>
        <v>0</v>
      </c>
      <c r="L49" s="588" t="s">
        <v>10</v>
      </c>
      <c r="M49" s="908"/>
      <c r="N49" s="911" t="s">
        <v>8</v>
      </c>
      <c r="O49" s="1593"/>
      <c r="P49" s="912" t="s">
        <v>10</v>
      </c>
      <c r="Q49" s="1683"/>
      <c r="R49" s="59"/>
      <c r="S49" s="954">
        <f>S48/25*8.5</f>
        <v>0</v>
      </c>
      <c r="T49" s="588" t="s">
        <v>10</v>
      </c>
      <c r="U49" s="908"/>
      <c r="V49" s="911" t="s">
        <v>8</v>
      </c>
      <c r="W49" s="1593"/>
      <c r="X49" s="912" t="s">
        <v>10</v>
      </c>
      <c r="Y49" s="1683"/>
      <c r="Z49" s="59"/>
      <c r="AA49" s="954">
        <f>AA48/25*8.5</f>
        <v>0</v>
      </c>
      <c r="AB49" s="588" t="s">
        <v>10</v>
      </c>
      <c r="AC49" s="908"/>
      <c r="AD49" s="911" t="s">
        <v>8</v>
      </c>
      <c r="AE49" s="1593"/>
      <c r="AF49" s="912" t="s">
        <v>10</v>
      </c>
      <c r="AG49" s="70"/>
      <c r="AI49" s="2708">
        <v>2</v>
      </c>
      <c r="AJ49" s="3172"/>
      <c r="AK49" s="3173"/>
      <c r="AL49" s="3176" t="s">
        <v>100</v>
      </c>
      <c r="AM49" s="3177"/>
      <c r="AN49" s="2063" t="s">
        <v>4</v>
      </c>
      <c r="AO49" s="2062" t="str">
        <f>'XM.GUI MAIL'!$E$100</f>
        <v>130~140</v>
      </c>
      <c r="AP49" s="2237" t="str">
        <f>'XM.GUI MAIL'!$F$100</f>
        <v>(135 ± 5)</v>
      </c>
      <c r="AQ49" s="2234">
        <f>'XM.FILE GOC'!AD100</f>
        <v>135.19999999999999</v>
      </c>
      <c r="AR49" s="972" t="s">
        <v>8</v>
      </c>
      <c r="AS49" s="973">
        <f>'XM.FILE GOC'!AG100</f>
        <v>0</v>
      </c>
      <c r="AT49" s="974" t="s">
        <v>9</v>
      </c>
      <c r="AU49" s="1580"/>
      <c r="AV49" s="909" t="s">
        <v>8</v>
      </c>
      <c r="AW49" s="1596" t="str">
        <f>IF(AU49=0,"",('XM.FILE GOC'!$G$100-AU49)*8000/1000)</f>
        <v/>
      </c>
      <c r="AX49" s="910" t="s">
        <v>9</v>
      </c>
      <c r="AY49" s="1782">
        <f>'XM.FILE GOC'!AK100</f>
        <v>134.4</v>
      </c>
      <c r="AZ49" s="972" t="s">
        <v>8</v>
      </c>
      <c r="BA49" s="973">
        <f>'XM.FILE GOC'!AN100</f>
        <v>4.7999999999999545</v>
      </c>
      <c r="BB49" s="974" t="s">
        <v>9</v>
      </c>
      <c r="BC49" s="1580">
        <v>135.19999999999999</v>
      </c>
      <c r="BD49" s="909" t="s">
        <v>8</v>
      </c>
      <c r="BE49" s="1596">
        <f>IF(BC49=0,"",('XM.FILE GOC'!$G$100-BC49)*8000/1000)</f>
        <v>-1.5999999999999091</v>
      </c>
      <c r="BF49" s="910" t="s">
        <v>9</v>
      </c>
      <c r="BG49" s="1782">
        <f>'XM.FILE GOC'!AR100</f>
        <v>135.19999999999999</v>
      </c>
      <c r="BH49" s="972" t="s">
        <v>8</v>
      </c>
      <c r="BI49" s="973">
        <f>'XM.FILE GOC'!AU100</f>
        <v>0</v>
      </c>
      <c r="BJ49" s="910" t="s">
        <v>9</v>
      </c>
      <c r="BK49" s="1580"/>
      <c r="BL49" s="909" t="s">
        <v>8</v>
      </c>
      <c r="BM49" s="1596" t="str">
        <f>IF(BK49=0,"",('XM.FILE GOC'!$G$100-BK49)*8000/1000)</f>
        <v/>
      </c>
      <c r="BN49" s="910" t="s">
        <v>9</v>
      </c>
      <c r="BO49" s="2346" t="s">
        <v>41</v>
      </c>
    </row>
    <row r="50" spans="1:67" ht="42" customHeight="1">
      <c r="A50" s="3206">
        <v>2</v>
      </c>
      <c r="B50" s="3223" t="s">
        <v>951</v>
      </c>
      <c r="C50" s="3224"/>
      <c r="D50" s="3093" t="s">
        <v>1590</v>
      </c>
      <c r="E50" s="3094"/>
      <c r="F50" s="2426" t="s">
        <v>4</v>
      </c>
      <c r="G50" s="898" t="str">
        <f>'XM.FILE GOC'!$E$80</f>
        <v>40~60</v>
      </c>
      <c r="H50" s="2222" t="str">
        <f>'XM.FILE GOC'!$F$80</f>
        <v>(50±5)</v>
      </c>
      <c r="I50" s="1404">
        <f>'XM.FILE GOC'!AD80</f>
        <v>49.2</v>
      </c>
      <c r="J50" s="972" t="s">
        <v>8</v>
      </c>
      <c r="K50" s="973">
        <f>'XM.FILE GOC'!AG80</f>
        <v>9.1799999999999677</v>
      </c>
      <c r="L50" s="974" t="s">
        <v>9</v>
      </c>
      <c r="M50" s="908">
        <v>52.3</v>
      </c>
      <c r="N50" s="909" t="s">
        <v>8</v>
      </c>
      <c r="O50" s="1595"/>
      <c r="P50" s="910" t="s">
        <v>9</v>
      </c>
      <c r="Q50" s="1404">
        <f>'XM.FILE GOC'!AK80</f>
        <v>51.3</v>
      </c>
      <c r="R50" s="972" t="s">
        <v>8</v>
      </c>
      <c r="S50" s="973">
        <f>'XM.FILE GOC'!AN80</f>
        <v>0</v>
      </c>
      <c r="T50" s="974" t="s">
        <v>9</v>
      </c>
      <c r="U50" s="908"/>
      <c r="V50" s="909" t="s">
        <v>8</v>
      </c>
      <c r="W50" s="1595"/>
      <c r="X50" s="910" t="s">
        <v>9</v>
      </c>
      <c r="Y50" s="1404">
        <f>'XM.FILE GOC'!AR80</f>
        <v>51</v>
      </c>
      <c r="Z50" s="972" t="s">
        <v>8</v>
      </c>
      <c r="AA50" s="973">
        <f>'XM.FILE GOC'!AU80</f>
        <v>0</v>
      </c>
      <c r="AB50" s="974" t="s">
        <v>9</v>
      </c>
      <c r="AC50" s="908"/>
      <c r="AD50" s="909" t="s">
        <v>8</v>
      </c>
      <c r="AE50" s="1595"/>
      <c r="AF50" s="910" t="s">
        <v>9</v>
      </c>
      <c r="AG50" s="70" t="s">
        <v>39</v>
      </c>
      <c r="AI50" s="2704">
        <v>3</v>
      </c>
      <c r="AJ50" s="3178" t="s">
        <v>1625</v>
      </c>
      <c r="AK50" s="3179"/>
      <c r="AL50" s="3179"/>
      <c r="AM50" s="3180"/>
      <c r="AN50" s="2347" t="s">
        <v>5</v>
      </c>
      <c r="AO50" s="2348" t="str">
        <f>'XM.GUI MAIL'!$E$101</f>
        <v>3.0-4.5</v>
      </c>
      <c r="AP50" s="2349" t="str">
        <f>'XM.GUI MAIL'!$F$101</f>
        <v>(4.3±0.2)</v>
      </c>
      <c r="AQ50" s="2321">
        <f>'XM.FILE GOC'!AD101</f>
        <v>4.2300000000000004</v>
      </c>
      <c r="AR50" s="2330"/>
      <c r="AS50" s="2331"/>
      <c r="AT50" s="2332"/>
      <c r="AU50" s="2325"/>
      <c r="AV50" s="2350"/>
      <c r="AW50" s="2351"/>
      <c r="AX50" s="2352"/>
      <c r="AY50" s="2329">
        <f>'XM.FILE GOC'!AK101</f>
        <v>4.2</v>
      </c>
      <c r="AZ50" s="2330"/>
      <c r="BA50" s="2331"/>
      <c r="BB50" s="2332"/>
      <c r="BC50" s="2325"/>
      <c r="BD50" s="2350"/>
      <c r="BE50" s="2351"/>
      <c r="BF50" s="2352"/>
      <c r="BG50" s="2329">
        <f>'XM.FILE GOC'!AR101</f>
        <v>4.2300000000000004</v>
      </c>
      <c r="BH50" s="2330"/>
      <c r="BI50" s="2331"/>
      <c r="BJ50" s="2332"/>
      <c r="BK50" s="2325"/>
      <c r="BL50" s="2350"/>
      <c r="BM50" s="2351"/>
      <c r="BN50" s="2352"/>
      <c r="BO50" s="2353" t="s">
        <v>42</v>
      </c>
    </row>
    <row r="51" spans="1:67" ht="42" customHeight="1">
      <c r="A51" s="3222"/>
      <c r="B51" s="3225"/>
      <c r="C51" s="3226"/>
      <c r="D51" s="3093" t="s">
        <v>1591</v>
      </c>
      <c r="E51" s="3094"/>
      <c r="F51" s="897"/>
      <c r="G51" s="898" t="s">
        <v>1592</v>
      </c>
      <c r="H51" s="2222"/>
      <c r="I51" s="1683"/>
      <c r="J51" s="59"/>
      <c r="K51" s="954">
        <f>K50/25*8.5</f>
        <v>3.1211999999999889</v>
      </c>
      <c r="L51" s="588" t="s">
        <v>10</v>
      </c>
      <c r="M51" s="908"/>
      <c r="N51" s="911" t="s">
        <v>8</v>
      </c>
      <c r="O51" s="1593"/>
      <c r="P51" s="912" t="s">
        <v>10</v>
      </c>
      <c r="Q51" s="1683"/>
      <c r="R51" s="59"/>
      <c r="S51" s="954">
        <f>S50/25*8.5</f>
        <v>0</v>
      </c>
      <c r="T51" s="588" t="s">
        <v>10</v>
      </c>
      <c r="U51" s="908"/>
      <c r="V51" s="911" t="s">
        <v>8</v>
      </c>
      <c r="W51" s="1593"/>
      <c r="X51" s="912" t="s">
        <v>10</v>
      </c>
      <c r="Y51" s="1683"/>
      <c r="Z51" s="59"/>
      <c r="AA51" s="954">
        <f>AA50/25*8.5</f>
        <v>0</v>
      </c>
      <c r="AB51" s="588" t="s">
        <v>10</v>
      </c>
      <c r="AC51" s="908"/>
      <c r="AD51" s="911" t="s">
        <v>8</v>
      </c>
      <c r="AE51" s="1593"/>
      <c r="AF51" s="912" t="s">
        <v>10</v>
      </c>
      <c r="AG51" s="70"/>
      <c r="AI51" s="2703"/>
      <c r="AJ51" s="2449" t="s">
        <v>1312</v>
      </c>
      <c r="AK51" s="2450"/>
      <c r="AL51" s="2450"/>
      <c r="AM51" s="2450"/>
      <c r="AN51" s="2450"/>
      <c r="AO51" s="2450"/>
      <c r="AP51" s="2450"/>
      <c r="AQ51" s="2450"/>
      <c r="AR51" s="2450"/>
      <c r="AS51" s="2450"/>
      <c r="AT51" s="2450"/>
      <c r="AU51" s="2450"/>
      <c r="AV51" s="2450"/>
      <c r="AW51" s="2450"/>
      <c r="AX51" s="2450"/>
      <c r="AY51" s="2450"/>
      <c r="AZ51" s="2450"/>
      <c r="BA51" s="2450"/>
      <c r="BB51" s="2450"/>
      <c r="BC51" s="2450"/>
      <c r="BD51" s="2450"/>
      <c r="BE51" s="2450"/>
      <c r="BF51" s="2450"/>
      <c r="BG51" s="2450"/>
      <c r="BH51" s="2450"/>
      <c r="BI51" s="2450"/>
      <c r="BJ51" s="2450"/>
      <c r="BK51" s="2450"/>
      <c r="BL51" s="2450"/>
      <c r="BM51" s="2450"/>
      <c r="BN51" s="2450"/>
      <c r="BO51" s="2451"/>
    </row>
    <row r="52" spans="1:67" ht="43.5" customHeight="1">
      <c r="A52" s="3206">
        <v>3</v>
      </c>
      <c r="B52" s="3091" t="s">
        <v>952</v>
      </c>
      <c r="C52" s="3092"/>
      <c r="D52" s="3095" t="s">
        <v>100</v>
      </c>
      <c r="E52" s="3096" t="s">
        <v>232</v>
      </c>
      <c r="F52" s="2426" t="s">
        <v>4</v>
      </c>
      <c r="G52" s="898" t="str">
        <f>'XM.FILE GOC'!$E$82</f>
        <v>50~70</v>
      </c>
      <c r="H52" s="2222" t="str">
        <f>'XM.FILE GOC'!$F$82</f>
        <v>(60±5)</v>
      </c>
      <c r="I52" s="1404">
        <f>'XM.FILE GOC'!AD82</f>
        <v>63.2</v>
      </c>
      <c r="J52" s="59" t="s">
        <v>8</v>
      </c>
      <c r="K52" s="587">
        <f>'XM.FILE GOC'!AG82</f>
        <v>0</v>
      </c>
      <c r="L52" s="588" t="s">
        <v>9</v>
      </c>
      <c r="M52" s="908"/>
      <c r="N52" s="909" t="s">
        <v>8</v>
      </c>
      <c r="O52" s="1595"/>
      <c r="P52" s="910" t="s">
        <v>9</v>
      </c>
      <c r="Q52" s="1404">
        <f>'XM.FILE GOC'!AK82</f>
        <v>62.2</v>
      </c>
      <c r="R52" s="59" t="s">
        <v>8</v>
      </c>
      <c r="S52" s="587">
        <f>'XM.FILE GOC'!AN82</f>
        <v>0</v>
      </c>
      <c r="T52" s="588" t="s">
        <v>9</v>
      </c>
      <c r="U52" s="908"/>
      <c r="V52" s="909" t="s">
        <v>8</v>
      </c>
      <c r="W52" s="1595"/>
      <c r="X52" s="910" t="s">
        <v>9</v>
      </c>
      <c r="Y52" s="1404">
        <f>'XM.FILE GOC'!AR82</f>
        <v>61.5</v>
      </c>
      <c r="Z52" s="59" t="s">
        <v>8</v>
      </c>
      <c r="AA52" s="587">
        <f>'XM.FILE GOC'!AU82</f>
        <v>0</v>
      </c>
      <c r="AB52" s="974" t="s">
        <v>9</v>
      </c>
      <c r="AC52" s="908"/>
      <c r="AD52" s="909" t="s">
        <v>8</v>
      </c>
      <c r="AE52" s="1595"/>
      <c r="AF52" s="910" t="s">
        <v>9</v>
      </c>
      <c r="AG52" s="70" t="s">
        <v>39</v>
      </c>
      <c r="AI52" s="2703"/>
      <c r="AJ52" s="3167" t="s">
        <v>958</v>
      </c>
      <c r="AK52" s="3168"/>
      <c r="AL52" s="3168"/>
      <c r="AM52" s="3169"/>
      <c r="AN52" s="2702" t="s">
        <v>959</v>
      </c>
      <c r="AO52" s="2702" t="s">
        <v>1310</v>
      </c>
      <c r="AP52" s="2224" t="s">
        <v>1302</v>
      </c>
      <c r="AQ52" s="3158" t="s">
        <v>960</v>
      </c>
      <c r="AR52" s="3159"/>
      <c r="AS52" s="3160" t="s">
        <v>961</v>
      </c>
      <c r="AT52" s="3159"/>
      <c r="AU52" s="919"/>
      <c r="AV52" s="920"/>
      <c r="AW52" s="920"/>
      <c r="AX52" s="921"/>
      <c r="AY52" s="3160" t="s">
        <v>960</v>
      </c>
      <c r="AZ52" s="3159"/>
      <c r="BA52" s="3160" t="s">
        <v>961</v>
      </c>
      <c r="BB52" s="3159"/>
      <c r="BC52" s="919"/>
      <c r="BD52" s="920"/>
      <c r="BE52" s="920"/>
      <c r="BF52" s="921"/>
      <c r="BG52" s="3160" t="s">
        <v>960</v>
      </c>
      <c r="BH52" s="3159"/>
      <c r="BI52" s="3160" t="s">
        <v>961</v>
      </c>
      <c r="BJ52" s="3159"/>
      <c r="BK52" s="919"/>
      <c r="BL52" s="920"/>
      <c r="BM52" s="920"/>
      <c r="BN52" s="921"/>
      <c r="BO52" s="10"/>
    </row>
    <row r="53" spans="1:67" ht="42" customHeight="1">
      <c r="A53" s="3207"/>
      <c r="B53" s="3092"/>
      <c r="C53" s="3092"/>
      <c r="D53" s="3095" t="s">
        <v>1591</v>
      </c>
      <c r="E53" s="3096" t="s">
        <v>233</v>
      </c>
      <c r="F53" s="897"/>
      <c r="G53" s="898" t="s">
        <v>1593</v>
      </c>
      <c r="H53" s="2222"/>
      <c r="I53" s="1683"/>
      <c r="J53" s="59"/>
      <c r="K53" s="954">
        <f>K52/25*8</f>
        <v>0</v>
      </c>
      <c r="L53" s="588" t="s">
        <v>10</v>
      </c>
      <c r="M53" s="908"/>
      <c r="N53" s="911" t="s">
        <v>8</v>
      </c>
      <c r="O53" s="1593"/>
      <c r="P53" s="912" t="s">
        <v>10</v>
      </c>
      <c r="Q53" s="1683"/>
      <c r="R53" s="59"/>
      <c r="S53" s="954">
        <f>S52/25*8</f>
        <v>0</v>
      </c>
      <c r="T53" s="588" t="s">
        <v>10</v>
      </c>
      <c r="U53" s="908"/>
      <c r="V53" s="911" t="s">
        <v>8</v>
      </c>
      <c r="W53" s="1593"/>
      <c r="X53" s="912" t="s">
        <v>10</v>
      </c>
      <c r="Y53" s="1683"/>
      <c r="Z53" s="59"/>
      <c r="AA53" s="954">
        <f>AA52/25*8</f>
        <v>0</v>
      </c>
      <c r="AB53" s="588" t="s">
        <v>10</v>
      </c>
      <c r="AC53" s="908"/>
      <c r="AD53" s="911" t="s">
        <v>8</v>
      </c>
      <c r="AE53" s="1593"/>
      <c r="AF53" s="912" t="s">
        <v>10</v>
      </c>
      <c r="AG53" s="70"/>
      <c r="AI53" s="2703">
        <v>4</v>
      </c>
      <c r="AJ53" s="3161" t="s">
        <v>117</v>
      </c>
      <c r="AK53" s="3162"/>
      <c r="AL53" s="3162"/>
      <c r="AM53" s="3163"/>
      <c r="AN53" s="2064" t="s">
        <v>26</v>
      </c>
      <c r="AO53" s="2065" t="str">
        <f>'XM.GUI MAIL'!$E$117</f>
        <v>24~28</v>
      </c>
      <c r="AP53" s="2239" t="str">
        <f>'XM.GUI MAIL'!$F$117</f>
        <v>(26±2)</v>
      </c>
      <c r="AQ53" s="3164">
        <f>'XM.FILE GOC'!AD117</f>
        <v>24</v>
      </c>
      <c r="AR53" s="3024"/>
      <c r="AS53" s="3028">
        <v>24</v>
      </c>
      <c r="AT53" s="3024"/>
      <c r="AU53" s="922"/>
      <c r="AV53" s="923"/>
      <c r="AW53" s="923"/>
      <c r="AX53" s="924"/>
      <c r="AY53" s="3028">
        <f>'XM.FILE GOC'!AK117</f>
        <v>25</v>
      </c>
      <c r="AZ53" s="3024"/>
      <c r="BA53" s="3028">
        <f>'XM.FILE GOC'!AN117</f>
        <v>24</v>
      </c>
      <c r="BB53" s="3024"/>
      <c r="BC53" s="922"/>
      <c r="BD53" s="923"/>
      <c r="BE53" s="923"/>
      <c r="BF53" s="924"/>
      <c r="BG53" s="3028">
        <f>'XM.FILE GOC'!AR117</f>
        <v>25</v>
      </c>
      <c r="BH53" s="3024"/>
      <c r="BI53" s="3028">
        <f>'XM.FILE GOC'!AU117</f>
        <v>24</v>
      </c>
      <c r="BJ53" s="3024"/>
      <c r="BK53" s="922"/>
      <c r="BL53" s="923"/>
      <c r="BM53" s="923"/>
      <c r="BN53" s="924"/>
      <c r="BO53" s="2705"/>
    </row>
    <row r="54" spans="1:67" ht="42" customHeight="1">
      <c r="A54" s="3206">
        <v>4</v>
      </c>
      <c r="B54" s="3091" t="s">
        <v>953</v>
      </c>
      <c r="C54" s="3092"/>
      <c r="D54" s="3095" t="s">
        <v>100</v>
      </c>
      <c r="E54" s="3096" t="s">
        <v>232</v>
      </c>
      <c r="F54" s="2426" t="s">
        <v>4</v>
      </c>
      <c r="G54" s="898" t="str">
        <f>'XM.FILE GOC'!$E$84</f>
        <v>50~70</v>
      </c>
      <c r="H54" s="2222" t="str">
        <f>'XM.FILE GOC'!$F$84</f>
        <v>(60±5)</v>
      </c>
      <c r="I54" s="1404">
        <f>'XM.FILE GOC'!AD84</f>
        <v>60.06</v>
      </c>
      <c r="J54" s="972" t="s">
        <v>8</v>
      </c>
      <c r="K54" s="973">
        <f>'XM.FILE GOC'!AG84</f>
        <v>0</v>
      </c>
      <c r="L54" s="974" t="s">
        <v>9</v>
      </c>
      <c r="M54" s="908"/>
      <c r="N54" s="909" t="s">
        <v>8</v>
      </c>
      <c r="O54" s="1596"/>
      <c r="P54" s="910" t="s">
        <v>9</v>
      </c>
      <c r="Q54" s="1404">
        <f>'XM.FILE GOC'!AK84</f>
        <v>59.4</v>
      </c>
      <c r="R54" s="972" t="s">
        <v>8</v>
      </c>
      <c r="S54" s="973">
        <f>'XM.FILE GOC'!AN84</f>
        <v>5.2008000000000116</v>
      </c>
      <c r="T54" s="974" t="s">
        <v>9</v>
      </c>
      <c r="U54" s="908">
        <v>62.3</v>
      </c>
      <c r="V54" s="909" t="s">
        <v>8</v>
      </c>
      <c r="W54" s="1596"/>
      <c r="X54" s="910" t="s">
        <v>9</v>
      </c>
      <c r="Y54" s="1404">
        <f>'XM.FILE GOC'!AR84</f>
        <v>61.6</v>
      </c>
      <c r="Z54" s="972" t="s">
        <v>8</v>
      </c>
      <c r="AA54" s="973">
        <f>'XM.FILE GOC'!AU84</f>
        <v>0</v>
      </c>
      <c r="AB54" s="974" t="s">
        <v>9</v>
      </c>
      <c r="AC54" s="908"/>
      <c r="AD54" s="909" t="s">
        <v>8</v>
      </c>
      <c r="AE54" s="1596"/>
      <c r="AF54" s="910" t="s">
        <v>9</v>
      </c>
      <c r="AG54" s="70" t="s">
        <v>39</v>
      </c>
      <c r="AI54" s="2703">
        <v>5</v>
      </c>
      <c r="AJ54" s="3161" t="s">
        <v>1626</v>
      </c>
      <c r="AK54" s="3162"/>
      <c r="AL54" s="3162"/>
      <c r="AM54" s="3163"/>
      <c r="AN54" s="2064" t="s">
        <v>26</v>
      </c>
      <c r="AO54" s="2065" t="str">
        <f>'XM.GUI MAIL'!$E$118</f>
        <v>20~30</v>
      </c>
      <c r="AP54" s="2239" t="str">
        <f>'XM.GUI MAIL'!$F$118</f>
        <v>(25±5)</v>
      </c>
      <c r="AQ54" s="3164">
        <f>'XM.FILE GOC'!AD118</f>
        <v>30</v>
      </c>
      <c r="AR54" s="3024"/>
      <c r="AS54" s="3028">
        <f>'XM.FILE GOC'!AG118</f>
        <v>29</v>
      </c>
      <c r="AT54" s="3165"/>
      <c r="AU54" s="2197"/>
      <c r="AV54" s="926"/>
      <c r="AW54" s="926"/>
      <c r="AX54" s="927"/>
      <c r="AY54" s="3028">
        <f>'XM.FILE GOC'!AK118</f>
        <v>30</v>
      </c>
      <c r="AZ54" s="3024"/>
      <c r="BA54" s="3028">
        <f>'XM.FILE GOC'!AN118</f>
        <v>29</v>
      </c>
      <c r="BB54" s="3165"/>
      <c r="BC54" s="2197"/>
      <c r="BD54" s="926"/>
      <c r="BE54" s="926"/>
      <c r="BF54" s="927"/>
      <c r="BG54" s="3028">
        <f>'XM.FILE GOC'!AR118</f>
        <v>30</v>
      </c>
      <c r="BH54" s="3024"/>
      <c r="BI54" s="3166">
        <f>'XM.FILE GOC'!AU118</f>
        <v>29</v>
      </c>
      <c r="BJ54" s="3166"/>
      <c r="BK54" s="2197"/>
      <c r="BL54" s="926"/>
      <c r="BM54" s="926"/>
      <c r="BN54" s="927"/>
      <c r="BO54" s="2705"/>
    </row>
    <row r="55" spans="1:67" ht="42" customHeight="1">
      <c r="A55" s="3207"/>
      <c r="B55" s="3092"/>
      <c r="C55" s="3092"/>
      <c r="D55" s="3095" t="s">
        <v>1591</v>
      </c>
      <c r="E55" s="3096" t="s">
        <v>233</v>
      </c>
      <c r="F55" s="897"/>
      <c r="G55" s="898" t="s">
        <v>1593</v>
      </c>
      <c r="H55" s="2222"/>
      <c r="I55" s="1683"/>
      <c r="J55" s="59"/>
      <c r="K55" s="954">
        <f>K54/25*8</f>
        <v>0</v>
      </c>
      <c r="L55" s="588" t="s">
        <v>10</v>
      </c>
      <c r="M55" s="908"/>
      <c r="N55" s="911" t="s">
        <v>8</v>
      </c>
      <c r="O55" s="1593"/>
      <c r="P55" s="912" t="s">
        <v>10</v>
      </c>
      <c r="Q55" s="1683"/>
      <c r="R55" s="59"/>
      <c r="S55" s="954">
        <f>S54/25*8</f>
        <v>1.6642560000000037</v>
      </c>
      <c r="T55" s="588" t="s">
        <v>10</v>
      </c>
      <c r="U55" s="908"/>
      <c r="V55" s="911" t="s">
        <v>8</v>
      </c>
      <c r="W55" s="1593"/>
      <c r="X55" s="912" t="s">
        <v>10</v>
      </c>
      <c r="Y55" s="1683"/>
      <c r="Z55" s="59"/>
      <c r="AA55" s="954">
        <f>AA54/25*8</f>
        <v>0</v>
      </c>
      <c r="AB55" s="588" t="s">
        <v>10</v>
      </c>
      <c r="AC55" s="908"/>
      <c r="AD55" s="911" t="s">
        <v>8</v>
      </c>
      <c r="AE55" s="1593"/>
      <c r="AF55" s="912" t="s">
        <v>10</v>
      </c>
      <c r="AG55" s="70"/>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row>
    <row r="56" spans="1:67" ht="42" customHeight="1">
      <c r="A56" s="3206">
        <v>5</v>
      </c>
      <c r="B56" s="3208" t="s">
        <v>954</v>
      </c>
      <c r="C56" s="3210" t="s">
        <v>955</v>
      </c>
      <c r="D56" s="3211"/>
      <c r="E56" s="3212"/>
      <c r="F56" s="633" t="s">
        <v>4</v>
      </c>
      <c r="G56" s="898" t="str">
        <f>'XM.FILE GOC'!$E$86</f>
        <v>135~ 145</v>
      </c>
      <c r="H56" s="2222" t="str">
        <f>'XM.FILE GOC'!$F$86</f>
        <v>(140±5)</v>
      </c>
      <c r="I56" s="78">
        <f>'XM.FILE GOC'!AD86</f>
        <v>139.19999999999999</v>
      </c>
      <c r="J56" s="972" t="s">
        <v>8</v>
      </c>
      <c r="K56" s="973">
        <f>'XM.FILE GOC'!AG86</f>
        <v>42.452800000000607</v>
      </c>
      <c r="L56" s="974" t="s">
        <v>9</v>
      </c>
      <c r="M56" s="908">
        <v>140</v>
      </c>
      <c r="N56" s="909" t="s">
        <v>8</v>
      </c>
      <c r="O56" s="1596"/>
      <c r="P56" s="910" t="s">
        <v>9</v>
      </c>
      <c r="Q56" s="78">
        <f>'XM.FILE GOC'!AK86</f>
        <v>140</v>
      </c>
      <c r="R56" s="972" t="s">
        <v>8</v>
      </c>
      <c r="S56" s="973">
        <f>'XM.FILE GOC'!AN86</f>
        <v>0</v>
      </c>
      <c r="T56" s="974" t="s">
        <v>9</v>
      </c>
      <c r="U56" s="908"/>
      <c r="V56" s="909" t="s">
        <v>8</v>
      </c>
      <c r="W56" s="1596"/>
      <c r="X56" s="910" t="s">
        <v>9</v>
      </c>
      <c r="Y56" s="78">
        <f>'XM.FILE GOC'!AR86</f>
        <v>139.19999999999999</v>
      </c>
      <c r="Z56" s="972" t="s">
        <v>8</v>
      </c>
      <c r="AA56" s="973">
        <f>'XM.FILE GOC'!AU86</f>
        <v>42.452800000000607</v>
      </c>
      <c r="AB56" s="974" t="s">
        <v>9</v>
      </c>
      <c r="AC56" s="908">
        <v>140</v>
      </c>
      <c r="AD56" s="909" t="s">
        <v>8</v>
      </c>
      <c r="AE56" s="1596"/>
      <c r="AF56" s="910" t="s">
        <v>9</v>
      </c>
      <c r="AG56" s="70" t="s">
        <v>40</v>
      </c>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row>
    <row r="57" spans="1:67" ht="42" customHeight="1">
      <c r="A57" s="3207"/>
      <c r="B57" s="3209"/>
      <c r="C57" s="3210" t="s">
        <v>956</v>
      </c>
      <c r="D57" s="3211"/>
      <c r="E57" s="3212"/>
      <c r="F57" s="633" t="s">
        <v>4</v>
      </c>
      <c r="G57" s="898" t="str">
        <f>'XM.FILE GOC'!$E$87</f>
        <v>7~10</v>
      </c>
      <c r="H57" s="2222" t="str">
        <f>'XM.FILE GOC'!$F$87</f>
        <v>(8.5±1)</v>
      </c>
      <c r="I57" s="1930">
        <f>'XM.FILE GOC'!AD87</f>
        <v>8.5150000000000006</v>
      </c>
      <c r="J57" s="972" t="s">
        <v>8</v>
      </c>
      <c r="K57" s="973">
        <f>'XM.FILE GOC'!AG87</f>
        <v>0</v>
      </c>
      <c r="L57" s="974" t="s">
        <v>9</v>
      </c>
      <c r="M57" s="908"/>
      <c r="N57" s="909" t="s">
        <v>8</v>
      </c>
      <c r="O57" s="1596"/>
      <c r="P57" s="910" t="s">
        <v>9</v>
      </c>
      <c r="Q57" s="1930">
        <f>'XM.FILE GOC'!AK87</f>
        <v>8.4500000000000011</v>
      </c>
      <c r="R57" s="972" t="s">
        <v>8</v>
      </c>
      <c r="S57" s="973">
        <f>'XM.FILE GOC'!AN87</f>
        <v>2.6532999999999434</v>
      </c>
      <c r="T57" s="974" t="s">
        <v>9</v>
      </c>
      <c r="U57" s="908">
        <v>8.6</v>
      </c>
      <c r="V57" s="909" t="s">
        <v>8</v>
      </c>
      <c r="W57" s="1596"/>
      <c r="X57" s="910" t="s">
        <v>9</v>
      </c>
      <c r="Y57" s="1930">
        <f>'XM.FILE GOC'!AR87</f>
        <v>8.6</v>
      </c>
      <c r="Z57" s="972" t="s">
        <v>8</v>
      </c>
      <c r="AA57" s="973">
        <f>'XM.FILE GOC'!AU87</f>
        <v>0</v>
      </c>
      <c r="AB57" s="910" t="s">
        <v>9</v>
      </c>
      <c r="AC57" s="908"/>
      <c r="AD57" s="909" t="s">
        <v>8</v>
      </c>
      <c r="AE57" s="1596"/>
      <c r="AF57" s="910" t="s">
        <v>9</v>
      </c>
      <c r="AG57" s="70" t="s">
        <v>41</v>
      </c>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row>
    <row r="58" spans="1:67" s="7" customFormat="1" ht="42" customHeight="1">
      <c r="A58" s="3206">
        <v>6</v>
      </c>
      <c r="B58" s="3216" t="s">
        <v>37</v>
      </c>
      <c r="C58" s="3217"/>
      <c r="D58" s="3217"/>
      <c r="E58" s="3220"/>
      <c r="F58" s="633" t="s">
        <v>3</v>
      </c>
      <c r="G58" s="898" t="str">
        <f>'XM.FILE GOC'!$E$88</f>
        <v>5~8</v>
      </c>
      <c r="H58" s="2222" t="str">
        <f>'XM.FILE GOC'!$F$88</f>
        <v>(6±1)</v>
      </c>
      <c r="I58" s="1738">
        <f>'XM.FILE GOC'!AD88</f>
        <v>6.1</v>
      </c>
      <c r="J58" s="972" t="s">
        <v>8</v>
      </c>
      <c r="K58" s="973">
        <f>'XM.FILE GOC'!AG88</f>
        <v>0</v>
      </c>
      <c r="L58" s="974" t="s">
        <v>10</v>
      </c>
      <c r="M58" s="1580"/>
      <c r="N58" s="911" t="s">
        <v>8</v>
      </c>
      <c r="O58" s="1595"/>
      <c r="P58" s="912" t="s">
        <v>10</v>
      </c>
      <c r="Q58" s="595">
        <f>'XM.FILE GOC'!AK88</f>
        <v>6</v>
      </c>
      <c r="R58" s="972" t="s">
        <v>8</v>
      </c>
      <c r="S58" s="973">
        <f>'XM.FILE GOC'!AN88</f>
        <v>0</v>
      </c>
      <c r="T58" s="974" t="s">
        <v>10</v>
      </c>
      <c r="U58" s="1580"/>
      <c r="V58" s="911" t="s">
        <v>8</v>
      </c>
      <c r="W58" s="1595"/>
      <c r="X58" s="912" t="s">
        <v>10</v>
      </c>
      <c r="Y58" s="595">
        <f>'XM.FILE GOC'!AR88</f>
        <v>6</v>
      </c>
      <c r="Z58" s="972" t="s">
        <v>8</v>
      </c>
      <c r="AA58" s="973">
        <f>'XM.FILE GOC'!AU88</f>
        <v>0</v>
      </c>
      <c r="AB58" s="974" t="s">
        <v>10</v>
      </c>
      <c r="AC58" s="908"/>
      <c r="AD58" s="911" t="s">
        <v>8</v>
      </c>
      <c r="AE58" s="1595"/>
      <c r="AF58" s="912" t="s">
        <v>10</v>
      </c>
      <c r="AG58" s="70" t="s">
        <v>42</v>
      </c>
      <c r="AH58" s="946"/>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row>
    <row r="59" spans="1:67" ht="42" customHeight="1">
      <c r="A59" s="3207"/>
      <c r="B59" s="3218"/>
      <c r="C59" s="3219"/>
      <c r="D59" s="3219"/>
      <c r="E59" s="3221"/>
      <c r="F59" s="633" t="s">
        <v>5</v>
      </c>
      <c r="G59" s="898" t="str">
        <f>'XM.FILE GOC'!E89</f>
        <v>2.0~2.4</v>
      </c>
      <c r="H59" s="2222" t="str">
        <f>'XM.FILE GOC'!$F$89</f>
        <v>(2.2±0.1)</v>
      </c>
      <c r="I59" s="1930">
        <f>'XM.FILE GOC'!AD89</f>
        <v>2.1800000000000002</v>
      </c>
      <c r="J59" s="1375"/>
      <c r="K59" s="1376"/>
      <c r="L59" s="1377"/>
      <c r="M59" s="1580"/>
      <c r="N59" s="913"/>
      <c r="O59" s="937"/>
      <c r="P59" s="914"/>
      <c r="Q59" s="1930">
        <f>'XM.FILE GOC'!AK89</f>
        <v>2.15</v>
      </c>
      <c r="R59" s="1375"/>
      <c r="S59" s="1376"/>
      <c r="T59" s="1377"/>
      <c r="U59" s="1580"/>
      <c r="V59" s="913"/>
      <c r="W59" s="937"/>
      <c r="X59" s="914"/>
      <c r="Y59" s="1930">
        <f>'XM.FILE GOC'!AR89</f>
        <v>2.1800000000000002</v>
      </c>
      <c r="Z59" s="972"/>
      <c r="AA59" s="973"/>
      <c r="AB59" s="974"/>
      <c r="AC59" s="908"/>
      <c r="AD59" s="913"/>
      <c r="AE59" s="937"/>
      <c r="AF59" s="914"/>
      <c r="AG59" s="71"/>
    </row>
    <row r="60" spans="1:67" ht="42" customHeight="1">
      <c r="A60" s="2483">
        <v>7</v>
      </c>
      <c r="B60" s="3213" t="s">
        <v>1621</v>
      </c>
      <c r="C60" s="3214"/>
      <c r="D60" s="3214"/>
      <c r="E60" s="3215"/>
      <c r="F60" s="633" t="s">
        <v>6</v>
      </c>
      <c r="G60" s="898" t="str">
        <f>'XM.FILE GOC'!$E$90</f>
        <v>40~50</v>
      </c>
      <c r="H60" s="2222" t="str">
        <f>'XM.FILE GOC'!$F$90</f>
        <v>(45±5)</v>
      </c>
      <c r="I60" s="1754">
        <f>'XM.FILE GOC'!AD90</f>
        <v>0.46</v>
      </c>
      <c r="J60" s="972" t="s">
        <v>8</v>
      </c>
      <c r="K60" s="973">
        <f>'XM.FILE GOC'!AG90</f>
        <v>0</v>
      </c>
      <c r="L60" s="974" t="s">
        <v>10</v>
      </c>
      <c r="M60" s="915"/>
      <c r="N60" s="909" t="s">
        <v>8</v>
      </c>
      <c r="O60" s="937"/>
      <c r="P60" s="910" t="s">
        <v>10</v>
      </c>
      <c r="Q60" s="1754">
        <f>'XM.FILE GOC'!AK90</f>
        <v>0.45600000000000002</v>
      </c>
      <c r="R60" s="972" t="s">
        <v>8</v>
      </c>
      <c r="S60" s="973">
        <f>'XM.FILE GOC'!AN90</f>
        <v>0</v>
      </c>
      <c r="T60" s="974" t="s">
        <v>10</v>
      </c>
      <c r="U60" s="915"/>
      <c r="V60" s="909" t="s">
        <v>8</v>
      </c>
      <c r="W60" s="937"/>
      <c r="X60" s="910" t="s">
        <v>10</v>
      </c>
      <c r="Y60" s="1754">
        <f>'XM.FILE GOC'!AR90</f>
        <v>0.45200000000000001</v>
      </c>
      <c r="Z60" s="972" t="s">
        <v>8</v>
      </c>
      <c r="AA60" s="973">
        <f>'XM.FILE GOC'!AU90</f>
        <v>0</v>
      </c>
      <c r="AB60" s="974" t="s">
        <v>10</v>
      </c>
      <c r="AC60" s="915"/>
      <c r="AD60" s="909" t="s">
        <v>8</v>
      </c>
      <c r="AE60" s="937"/>
      <c r="AF60" s="910" t="s">
        <v>10</v>
      </c>
      <c r="AG60" s="2474" t="s">
        <v>44</v>
      </c>
    </row>
    <row r="61" spans="1:67" ht="42" hidden="1" customHeight="1">
      <c r="A61" s="2703">
        <v>8</v>
      </c>
      <c r="B61" s="3200" t="s">
        <v>1615</v>
      </c>
      <c r="C61" s="3201"/>
      <c r="D61" s="3201"/>
      <c r="E61" s="3202"/>
      <c r="F61" s="633" t="s">
        <v>6</v>
      </c>
      <c r="G61" s="898" t="str">
        <f>'XM.FILE GOC'!$E$91</f>
        <v>15~25</v>
      </c>
      <c r="H61" s="2222" t="str">
        <f>'XM.FILE GOC'!$F$91</f>
        <v>(18±2)</v>
      </c>
      <c r="I61" s="1743">
        <f>'XM.FILE GOC'!AD91</f>
        <v>0</v>
      </c>
      <c r="J61" s="972" t="s">
        <v>8</v>
      </c>
      <c r="K61" s="973">
        <f>'XM.FILE GOC'!AG91</f>
        <v>604.98</v>
      </c>
      <c r="L61" s="974" t="s">
        <v>10</v>
      </c>
      <c r="M61" s="915"/>
      <c r="N61" s="909" t="s">
        <v>8</v>
      </c>
      <c r="O61" s="1595"/>
      <c r="P61" s="910" t="s">
        <v>10</v>
      </c>
      <c r="Q61" s="1743">
        <f>'XM.FILE GOC'!AK91</f>
        <v>0</v>
      </c>
      <c r="R61" s="972" t="s">
        <v>8</v>
      </c>
      <c r="S61" s="973">
        <f>'XM.FILE GOC'!AN91</f>
        <v>604.98</v>
      </c>
      <c r="T61" s="974" t="s">
        <v>10</v>
      </c>
      <c r="U61" s="915"/>
      <c r="V61" s="909" t="s">
        <v>8</v>
      </c>
      <c r="W61" s="1595"/>
      <c r="X61" s="910" t="s">
        <v>10</v>
      </c>
      <c r="Y61" s="1743">
        <f>'XM.FILE GOC'!AR91</f>
        <v>0</v>
      </c>
      <c r="Z61" s="972" t="s">
        <v>8</v>
      </c>
      <c r="AA61" s="973">
        <f>'XM.FILE GOC'!AU91</f>
        <v>604.98</v>
      </c>
      <c r="AB61" s="974" t="s">
        <v>10</v>
      </c>
      <c r="AC61" s="915"/>
      <c r="AD61" s="909" t="s">
        <v>8</v>
      </c>
      <c r="AE61" s="1595"/>
      <c r="AF61" s="910" t="s">
        <v>10</v>
      </c>
      <c r="AG61" s="70" t="s">
        <v>43</v>
      </c>
    </row>
    <row r="62" spans="1:67" ht="42" customHeight="1">
      <c r="A62" s="2483">
        <v>9</v>
      </c>
      <c r="B62" s="3213" t="s">
        <v>1613</v>
      </c>
      <c r="C62" s="3214"/>
      <c r="D62" s="3214"/>
      <c r="E62" s="3215"/>
      <c r="F62" s="633" t="s">
        <v>6</v>
      </c>
      <c r="G62" s="898" t="str">
        <f>'XM.FILE GOC'!$E$92</f>
        <v>40~50</v>
      </c>
      <c r="H62" s="2222" t="str">
        <f>'XM.FILE GOC'!$F$92</f>
        <v>(45±5)</v>
      </c>
      <c r="I62" s="1754">
        <f>'XM.FILE GOC'!AD92</f>
        <v>0.46600000000000003</v>
      </c>
      <c r="J62" s="972" t="s">
        <v>8</v>
      </c>
      <c r="K62" s="973">
        <f>'XM.FILE GOC'!AG92</f>
        <v>0</v>
      </c>
      <c r="L62" s="974" t="s">
        <v>10</v>
      </c>
      <c r="M62" s="915"/>
      <c r="N62" s="909" t="s">
        <v>8</v>
      </c>
      <c r="O62" s="1595"/>
      <c r="P62" s="910" t="s">
        <v>10</v>
      </c>
      <c r="Q62" s="1754">
        <f>'XM.FILE GOC'!AK92</f>
        <v>0.46537500000000004</v>
      </c>
      <c r="R62" s="972" t="s">
        <v>8</v>
      </c>
      <c r="S62" s="973">
        <f>'XM.FILE GOC'!AN92</f>
        <v>0</v>
      </c>
      <c r="T62" s="974" t="s">
        <v>10</v>
      </c>
      <c r="U62" s="915"/>
      <c r="V62" s="909" t="s">
        <v>8</v>
      </c>
      <c r="W62" s="1595"/>
      <c r="X62" s="910" t="s">
        <v>10</v>
      </c>
      <c r="Y62" s="1754">
        <f>'XM.FILE GOC'!AR92</f>
        <v>0.46081249999999996</v>
      </c>
      <c r="Z62" s="972" t="s">
        <v>8</v>
      </c>
      <c r="AA62" s="973">
        <f>'XM.FILE GOC'!AU92</f>
        <v>0</v>
      </c>
      <c r="AB62" s="974" t="s">
        <v>10</v>
      </c>
      <c r="AC62" s="915"/>
      <c r="AD62" s="909" t="s">
        <v>8</v>
      </c>
      <c r="AE62" s="1595"/>
      <c r="AF62" s="910" t="s">
        <v>10</v>
      </c>
      <c r="AG62" s="2474" t="s">
        <v>43</v>
      </c>
    </row>
    <row r="63" spans="1:67" ht="42" customHeight="1">
      <c r="A63" s="2703">
        <v>10</v>
      </c>
      <c r="B63" s="3203" t="s">
        <v>1614</v>
      </c>
      <c r="C63" s="3204"/>
      <c r="D63" s="3204"/>
      <c r="E63" s="3205"/>
      <c r="F63" s="633" t="s">
        <v>6</v>
      </c>
      <c r="G63" s="898" t="str">
        <f>'XM.FILE GOC'!$E$93</f>
        <v>40~50</v>
      </c>
      <c r="H63" s="2222" t="str">
        <f>'XM.FILE GOC'!$F$93</f>
        <v>(45±5)</v>
      </c>
      <c r="I63" s="1754">
        <f>'XM.FILE GOC'!AD93</f>
        <v>0.47299999999999998</v>
      </c>
      <c r="J63" s="972" t="s">
        <v>8</v>
      </c>
      <c r="K63" s="973">
        <f>'XM.FILE GOC'!AG93</f>
        <v>0</v>
      </c>
      <c r="L63" s="974" t="s">
        <v>10</v>
      </c>
      <c r="M63" s="915"/>
      <c r="N63" s="911" t="s">
        <v>8</v>
      </c>
      <c r="O63" s="1595"/>
      <c r="P63" s="912" t="s">
        <v>10</v>
      </c>
      <c r="Q63" s="1754">
        <f>'XM.FILE GOC'!AK93</f>
        <v>0.47</v>
      </c>
      <c r="R63" s="972" t="s">
        <v>8</v>
      </c>
      <c r="S63" s="973">
        <f>'XM.FILE GOC'!AN93</f>
        <v>0</v>
      </c>
      <c r="T63" s="974" t="s">
        <v>10</v>
      </c>
      <c r="U63" s="915"/>
      <c r="V63" s="911" t="s">
        <v>8</v>
      </c>
      <c r="W63" s="1595"/>
      <c r="X63" s="912" t="s">
        <v>10</v>
      </c>
      <c r="Y63" s="1754">
        <f>'XM.FILE GOC'!AR93</f>
        <v>0.46800000000000003</v>
      </c>
      <c r="Z63" s="972" t="s">
        <v>8</v>
      </c>
      <c r="AA63" s="973">
        <f>'XM.FILE GOC'!AU93</f>
        <v>0</v>
      </c>
      <c r="AB63" s="974" t="s">
        <v>10</v>
      </c>
      <c r="AC63" s="915"/>
      <c r="AD63" s="911" t="s">
        <v>8</v>
      </c>
      <c r="AE63" s="1595"/>
      <c r="AF63" s="912" t="s">
        <v>10</v>
      </c>
      <c r="AG63" s="69" t="s">
        <v>43</v>
      </c>
    </row>
    <row r="64" spans="1:67" ht="42" customHeight="1">
      <c r="A64" s="2483">
        <v>11</v>
      </c>
      <c r="B64" s="3200" t="s">
        <v>957</v>
      </c>
      <c r="C64" s="3201" t="s">
        <v>957</v>
      </c>
      <c r="D64" s="3201" t="s">
        <v>957</v>
      </c>
      <c r="E64" s="3202" t="s">
        <v>957</v>
      </c>
      <c r="F64" s="633" t="s">
        <v>6</v>
      </c>
      <c r="G64" s="898" t="str">
        <f>'XM.FILE GOC'!$E$94</f>
        <v>(1±0.4)=0.6~1.4</v>
      </c>
      <c r="H64" s="2222" t="str">
        <f>'XM.FILE GOC'!$F$94</f>
        <v>(1±0.4)</v>
      </c>
      <c r="I64" s="1774">
        <f>'XM.FILE GOC'!AD94</f>
        <v>7.8120000000000004E-3</v>
      </c>
      <c r="J64" s="972" t="s">
        <v>8</v>
      </c>
      <c r="K64" s="976">
        <f>'XM.FILE GOC'!AG94</f>
        <v>6.2597086092715228</v>
      </c>
      <c r="L64" s="977" t="s">
        <v>10</v>
      </c>
      <c r="M64" s="1579">
        <v>0.01</v>
      </c>
      <c r="N64" s="911" t="s">
        <v>8</v>
      </c>
      <c r="O64" s="1595"/>
      <c r="P64" s="912" t="s">
        <v>10</v>
      </c>
      <c r="Q64" s="2186">
        <f>'XM.FILE GOC'!AK94</f>
        <v>0.01</v>
      </c>
      <c r="R64" s="972" t="s">
        <v>8</v>
      </c>
      <c r="S64" s="976">
        <f>'XM.FILE GOC'!AN94</f>
        <v>0</v>
      </c>
      <c r="T64" s="977" t="s">
        <v>10</v>
      </c>
      <c r="U64" s="1579"/>
      <c r="V64" s="911" t="s">
        <v>8</v>
      </c>
      <c r="W64" s="1595"/>
      <c r="X64" s="912" t="s">
        <v>10</v>
      </c>
      <c r="Y64" s="2186">
        <f>'XM.FILE GOC'!AR94</f>
        <v>8.064E-3</v>
      </c>
      <c r="Z64" s="972" t="s">
        <v>8</v>
      </c>
      <c r="AA64" s="976">
        <f>'XM.FILE GOC'!AU94</f>
        <v>5.5387549668874172</v>
      </c>
      <c r="AB64" s="977" t="s">
        <v>10</v>
      </c>
      <c r="AC64" s="1579">
        <v>0.01</v>
      </c>
      <c r="AD64" s="911" t="s">
        <v>8</v>
      </c>
      <c r="AE64" s="1595"/>
      <c r="AF64" s="912" t="s">
        <v>10</v>
      </c>
      <c r="AG64" s="70" t="s">
        <v>44</v>
      </c>
    </row>
    <row r="65" spans="1:34" ht="42" customHeight="1">
      <c r="A65" s="2703">
        <v>12</v>
      </c>
      <c r="B65" s="3083" t="s">
        <v>74</v>
      </c>
      <c r="C65" s="3084"/>
      <c r="D65" s="3084"/>
      <c r="E65" s="3085"/>
      <c r="F65" s="2" t="s">
        <v>3</v>
      </c>
      <c r="G65" s="898" t="str">
        <f>'XM.GUI MAIL'!$E$95</f>
        <v>5~8</v>
      </c>
      <c r="H65" s="2222" t="str">
        <f>'XM.GUI MAIL'!$F$95</f>
        <v>(6±0.5)</v>
      </c>
      <c r="I65" s="1840">
        <f>'XM.FILE GOC'!AD95</f>
        <v>6</v>
      </c>
      <c r="J65" s="972" t="s">
        <v>8</v>
      </c>
      <c r="K65" s="973">
        <f>'XM.FILE GOC'!AG95</f>
        <v>0</v>
      </c>
      <c r="L65" s="977" t="s">
        <v>10</v>
      </c>
      <c r="M65" s="2258"/>
      <c r="N65" s="909" t="s">
        <v>8</v>
      </c>
      <c r="O65" s="937"/>
      <c r="P65" s="910" t="s">
        <v>10</v>
      </c>
      <c r="Q65" s="1840">
        <f>'XM.FILE GOC'!AK95</f>
        <v>5.76</v>
      </c>
      <c r="R65" s="972" t="s">
        <v>8</v>
      </c>
      <c r="S65" s="973">
        <f>'XM.FILE GOC'!AN95</f>
        <v>8.9860042105263229</v>
      </c>
      <c r="T65" s="977" t="s">
        <v>10</v>
      </c>
      <c r="U65" s="2258">
        <v>6.2</v>
      </c>
      <c r="V65" s="909" t="s">
        <v>8</v>
      </c>
      <c r="W65" s="937">
        <f>('XM.FILE GOC'!$G$95-U65)*4042/95*1.028</f>
        <v>-8.7477389473684308</v>
      </c>
      <c r="X65" s="910" t="s">
        <v>10</v>
      </c>
      <c r="Y65" s="1840">
        <f>'XM.FILE GOC'!AR95</f>
        <v>6.1</v>
      </c>
      <c r="Z65" s="972" t="s">
        <v>8</v>
      </c>
      <c r="AA65" s="973">
        <f>'XM.FILE GOC'!AU95</f>
        <v>0</v>
      </c>
      <c r="AB65" s="977" t="s">
        <v>10</v>
      </c>
      <c r="AC65" s="2258"/>
      <c r="AD65" s="909" t="s">
        <v>8</v>
      </c>
      <c r="AE65" s="937"/>
      <c r="AF65" s="910" t="s">
        <v>10</v>
      </c>
      <c r="AG65" s="2182"/>
    </row>
    <row r="66" spans="1:34" ht="42" customHeight="1">
      <c r="A66" s="2483">
        <v>13</v>
      </c>
      <c r="B66" s="3086"/>
      <c r="C66" s="3087"/>
      <c r="D66" s="3087"/>
      <c r="E66" s="3088"/>
      <c r="F66" s="2" t="s">
        <v>5</v>
      </c>
      <c r="G66" s="898" t="str">
        <f>'XM.GUI MAIL'!$E$96</f>
        <v>1.8~2.4</v>
      </c>
      <c r="H66" s="2222" t="str">
        <f>'XM.GUI MAIL'!$F$96</f>
        <v>(2.1±0.1)</v>
      </c>
      <c r="I66" s="1768">
        <f>'XM.FILE GOC'!AD96</f>
        <v>2</v>
      </c>
      <c r="J66" s="972"/>
      <c r="K66" s="976"/>
      <c r="L66" s="977"/>
      <c r="M66" s="916"/>
      <c r="N66" s="948"/>
      <c r="O66" s="1597"/>
      <c r="P66" s="918"/>
      <c r="Q66" s="1768">
        <f>'XM.FILE GOC'!AK96</f>
        <v>2.0299999999999998</v>
      </c>
      <c r="R66" s="972"/>
      <c r="S66" s="976"/>
      <c r="T66" s="977"/>
      <c r="U66" s="916"/>
      <c r="V66" s="948"/>
      <c r="W66" s="1597"/>
      <c r="X66" s="918"/>
      <c r="Y66" s="1768">
        <f>'XM.FILE GOC'!AR96</f>
        <v>2.02</v>
      </c>
      <c r="Z66" s="972"/>
      <c r="AA66" s="976"/>
      <c r="AB66" s="977"/>
      <c r="AC66" s="916"/>
      <c r="AD66" s="948"/>
      <c r="AE66" s="1597"/>
      <c r="AF66" s="918"/>
      <c r="AG66" s="2182"/>
    </row>
    <row r="67" spans="1:34" ht="35.25" customHeight="1">
      <c r="A67" s="975"/>
      <c r="B67" s="2449" t="s">
        <v>1312</v>
      </c>
      <c r="C67" s="2450"/>
      <c r="D67" s="2450"/>
      <c r="E67" s="2450"/>
      <c r="F67" s="2450"/>
      <c r="G67" s="2450"/>
      <c r="H67" s="2450"/>
      <c r="I67" s="2450"/>
      <c r="J67" s="2450"/>
      <c r="K67" s="2450"/>
      <c r="L67" s="2450"/>
      <c r="M67" s="2450"/>
      <c r="N67" s="2450"/>
      <c r="O67" s="2450"/>
      <c r="P67" s="2450"/>
      <c r="Q67" s="2450"/>
      <c r="R67" s="2450"/>
      <c r="S67" s="2450"/>
      <c r="T67" s="2450"/>
      <c r="U67" s="2450"/>
      <c r="V67" s="2450"/>
      <c r="W67" s="2450"/>
      <c r="X67" s="2450"/>
      <c r="Y67" s="2450"/>
      <c r="Z67" s="2450"/>
      <c r="AA67" s="2450"/>
      <c r="AB67" s="2450"/>
      <c r="AC67" s="2450"/>
      <c r="AD67" s="2450"/>
      <c r="AE67" s="2450"/>
      <c r="AF67" s="2450"/>
      <c r="AG67" s="2451"/>
    </row>
    <row r="68" spans="1:34" ht="53.25" customHeight="1">
      <c r="A68" s="975" t="s">
        <v>7</v>
      </c>
      <c r="B68" s="3167" t="s">
        <v>958</v>
      </c>
      <c r="C68" s="3168"/>
      <c r="D68" s="3168"/>
      <c r="E68" s="3169"/>
      <c r="F68" s="978" t="s">
        <v>959</v>
      </c>
      <c r="G68" s="978" t="s">
        <v>1310</v>
      </c>
      <c r="H68" s="2224" t="s">
        <v>1302</v>
      </c>
      <c r="I68" s="3160" t="s">
        <v>960</v>
      </c>
      <c r="J68" s="3159"/>
      <c r="K68" s="3160" t="s">
        <v>961</v>
      </c>
      <c r="L68" s="3158"/>
      <c r="M68" s="919"/>
      <c r="N68" s="920"/>
      <c r="O68" s="920"/>
      <c r="P68" s="921"/>
      <c r="Q68" s="3158" t="s">
        <v>960</v>
      </c>
      <c r="R68" s="3159"/>
      <c r="S68" s="3160" t="s">
        <v>961</v>
      </c>
      <c r="T68" s="3159"/>
      <c r="U68" s="919"/>
      <c r="V68" s="920"/>
      <c r="W68" s="920"/>
      <c r="X68" s="921"/>
      <c r="Y68" s="3160" t="s">
        <v>960</v>
      </c>
      <c r="Z68" s="3159"/>
      <c r="AA68" s="3160" t="s">
        <v>961</v>
      </c>
      <c r="AB68" s="3159"/>
      <c r="AC68" s="919"/>
      <c r="AD68" s="920"/>
      <c r="AE68" s="920"/>
      <c r="AF68" s="921"/>
      <c r="AG68" s="10"/>
    </row>
    <row r="69" spans="1:34" ht="49.5" customHeight="1">
      <c r="A69" s="975">
        <v>1</v>
      </c>
      <c r="B69" s="3167" t="s">
        <v>962</v>
      </c>
      <c r="C69" s="3168"/>
      <c r="D69" s="3168"/>
      <c r="E69" s="3169"/>
      <c r="F69" s="979" t="s">
        <v>963</v>
      </c>
      <c r="G69" s="898" t="str">
        <f>'XM.FILE GOC'!$E$105</f>
        <v>50~70</v>
      </c>
      <c r="H69" s="2222" t="str">
        <f>'XM.FILE GOC'!$F$105</f>
        <v>(60±5)</v>
      </c>
      <c r="I69" s="3112">
        <f>'XM.GUI MAIL'!AD105</f>
        <v>61</v>
      </c>
      <c r="J69" s="3112"/>
      <c r="K69" s="3112">
        <f>'XM.FILE GOC'!AG105</f>
        <v>60</v>
      </c>
      <c r="L69" s="3143"/>
      <c r="M69" s="922"/>
      <c r="N69" s="923"/>
      <c r="O69" s="923"/>
      <c r="P69" s="924"/>
      <c r="Q69" s="3113">
        <f>'XM.GUI MAIL'!AK105</f>
        <v>61</v>
      </c>
      <c r="R69" s="3112"/>
      <c r="S69" s="3112">
        <f>'XM.FILE GOC'!AN105</f>
        <v>60</v>
      </c>
      <c r="T69" s="3112"/>
      <c r="U69" s="922"/>
      <c r="V69" s="923"/>
      <c r="W69" s="923"/>
      <c r="X69" s="924"/>
      <c r="Y69" s="3112">
        <f>'XM.GUI MAIL'!AR105</f>
        <v>61</v>
      </c>
      <c r="Z69" s="3112"/>
      <c r="AA69" s="3112">
        <f>'XM.FILE GOC'!AU105</f>
        <v>60</v>
      </c>
      <c r="AB69" s="3112"/>
      <c r="AC69" s="922"/>
      <c r="AD69" s="923"/>
      <c r="AE69" s="923"/>
      <c r="AF69" s="924"/>
      <c r="AG69" s="76"/>
    </row>
    <row r="70" spans="1:34" ht="49.5" customHeight="1">
      <c r="A70" s="975">
        <v>2</v>
      </c>
      <c r="B70" s="3167" t="s">
        <v>964</v>
      </c>
      <c r="C70" s="3168"/>
      <c r="D70" s="3168"/>
      <c r="E70" s="3169"/>
      <c r="F70" s="979" t="s">
        <v>963</v>
      </c>
      <c r="G70" s="898" t="str">
        <f>'XM.FILE GOC'!$E$106</f>
        <v>50~70</v>
      </c>
      <c r="H70" s="2222" t="str">
        <f>'XM.FILE GOC'!$F$106</f>
        <v>(60±5)</v>
      </c>
      <c r="I70" s="3112">
        <f>'XM.GUI MAIL'!AD106</f>
        <v>61</v>
      </c>
      <c r="J70" s="3112"/>
      <c r="K70" s="3112">
        <f>'XM.FILE GOC'!AG106</f>
        <v>60</v>
      </c>
      <c r="L70" s="3143"/>
      <c r="M70" s="922"/>
      <c r="N70" s="923"/>
      <c r="O70" s="923"/>
      <c r="P70" s="924"/>
      <c r="Q70" s="3113">
        <f>'XM.GUI MAIL'!AK106</f>
        <v>61</v>
      </c>
      <c r="R70" s="3112"/>
      <c r="S70" s="3112">
        <f>'XM.FILE GOC'!AN106</f>
        <v>60</v>
      </c>
      <c r="T70" s="3112"/>
      <c r="U70" s="922"/>
      <c r="V70" s="923"/>
      <c r="W70" s="923"/>
      <c r="X70" s="924"/>
      <c r="Y70" s="3112">
        <f>'XM.GUI MAIL'!AR106</f>
        <v>62</v>
      </c>
      <c r="Z70" s="3112"/>
      <c r="AA70" s="3112">
        <f>'XM.FILE GOC'!AU106</f>
        <v>61</v>
      </c>
      <c r="AB70" s="3112"/>
      <c r="AC70" s="922"/>
      <c r="AD70" s="923"/>
      <c r="AE70" s="923"/>
      <c r="AF70" s="924"/>
      <c r="AG70" s="76"/>
    </row>
    <row r="71" spans="1:34" ht="49.5" customHeight="1">
      <c r="A71" s="1372">
        <v>3</v>
      </c>
      <c r="B71" s="3167" t="s">
        <v>965</v>
      </c>
      <c r="C71" s="3168"/>
      <c r="D71" s="3168"/>
      <c r="E71" s="3169"/>
      <c r="F71" s="979" t="s">
        <v>963</v>
      </c>
      <c r="G71" s="898" t="str">
        <f>'XM.FILE GOC'!$E$107</f>
        <v>50~70</v>
      </c>
      <c r="H71" s="2222" t="str">
        <f>'XM.FILE GOC'!$F$107</f>
        <v>(60±5)</v>
      </c>
      <c r="I71" s="3112">
        <f>'XM.GUI MAIL'!AD107</f>
        <v>61</v>
      </c>
      <c r="J71" s="3112"/>
      <c r="K71" s="3112">
        <f>'XM.FILE GOC'!AG107</f>
        <v>60</v>
      </c>
      <c r="L71" s="3143"/>
      <c r="M71" s="922"/>
      <c r="N71" s="923"/>
      <c r="O71" s="923"/>
      <c r="P71" s="924"/>
      <c r="Q71" s="3113">
        <f>'XM.GUI MAIL'!AK107</f>
        <v>61</v>
      </c>
      <c r="R71" s="3112"/>
      <c r="S71" s="3112">
        <f>'XM.FILE GOC'!AN107</f>
        <v>60</v>
      </c>
      <c r="T71" s="3112"/>
      <c r="U71" s="922"/>
      <c r="V71" s="923"/>
      <c r="W71" s="923"/>
      <c r="X71" s="924"/>
      <c r="Y71" s="3112">
        <f>'XM.GUI MAIL'!AR107</f>
        <v>61</v>
      </c>
      <c r="Z71" s="3112"/>
      <c r="AA71" s="3112">
        <f>'XM.FILE GOC'!AU107</f>
        <v>60</v>
      </c>
      <c r="AB71" s="3112"/>
      <c r="AC71" s="922"/>
      <c r="AD71" s="923"/>
      <c r="AE71" s="923"/>
      <c r="AF71" s="924"/>
      <c r="AG71" s="76"/>
    </row>
    <row r="72" spans="1:34" ht="49.5" customHeight="1">
      <c r="A72" s="1372">
        <v>4</v>
      </c>
      <c r="B72" s="3167" t="s">
        <v>966</v>
      </c>
      <c r="C72" s="3168"/>
      <c r="D72" s="3168"/>
      <c r="E72" s="3169"/>
      <c r="F72" s="979" t="s">
        <v>963</v>
      </c>
      <c r="G72" s="898" t="str">
        <f>'XM.FILE GOC'!$E$108</f>
        <v>50~70</v>
      </c>
      <c r="H72" s="2222" t="str">
        <f>'XM.FILE GOC'!$F$108</f>
        <v>(60±5)</v>
      </c>
      <c r="I72" s="3112">
        <f>'XM.GUI MAIL'!AD108</f>
        <v>60</v>
      </c>
      <c r="J72" s="3112"/>
      <c r="K72" s="3112">
        <f>'XM.FILE GOC'!AG108</f>
        <v>59</v>
      </c>
      <c r="L72" s="3143"/>
      <c r="M72" s="922"/>
      <c r="N72" s="923"/>
      <c r="O72" s="923"/>
      <c r="P72" s="924"/>
      <c r="Q72" s="3113">
        <f>'XM.GUI MAIL'!AK108</f>
        <v>60</v>
      </c>
      <c r="R72" s="3112"/>
      <c r="S72" s="3112">
        <f>'XM.FILE GOC'!AN108</f>
        <v>59</v>
      </c>
      <c r="T72" s="3112"/>
      <c r="U72" s="922"/>
      <c r="V72" s="923"/>
      <c r="W72" s="923"/>
      <c r="X72" s="924"/>
      <c r="Y72" s="3112">
        <f>'XM.GUI MAIL'!AR108</f>
        <v>60</v>
      </c>
      <c r="Z72" s="3112"/>
      <c r="AA72" s="3112">
        <f>'XM.FILE GOC'!AU108</f>
        <v>59</v>
      </c>
      <c r="AB72" s="3112"/>
      <c r="AC72" s="922"/>
      <c r="AD72" s="923"/>
      <c r="AE72" s="923"/>
      <c r="AF72" s="924"/>
      <c r="AG72" s="76"/>
    </row>
    <row r="73" spans="1:34" ht="49.5" customHeight="1">
      <c r="A73" s="1372">
        <v>5</v>
      </c>
      <c r="B73" s="3167" t="s">
        <v>967</v>
      </c>
      <c r="C73" s="3168"/>
      <c r="D73" s="3168"/>
      <c r="E73" s="3169"/>
      <c r="F73" s="979" t="s">
        <v>963</v>
      </c>
      <c r="G73" s="898" t="str">
        <f>'XM.FILE GOC'!$E$109</f>
        <v>22~28</v>
      </c>
      <c r="H73" s="2222" t="str">
        <f>'XM.FILE GOC'!$F$109</f>
        <v>(25±3)</v>
      </c>
      <c r="I73" s="3166">
        <f>'XM.GUI MAIL'!AD109</f>
        <v>25</v>
      </c>
      <c r="J73" s="3166"/>
      <c r="K73" s="3166">
        <f>'XM.FILE GOC'!AG109</f>
        <v>24</v>
      </c>
      <c r="L73" s="3198"/>
      <c r="M73" s="922"/>
      <c r="N73" s="923"/>
      <c r="O73" s="923"/>
      <c r="P73" s="924"/>
      <c r="Q73" s="3199">
        <f>'XM.GUI MAIL'!AK109</f>
        <v>25</v>
      </c>
      <c r="R73" s="3166"/>
      <c r="S73" s="3166">
        <f>'XM.FILE GOC'!AN109</f>
        <v>24</v>
      </c>
      <c r="T73" s="3166"/>
      <c r="U73" s="922"/>
      <c r="V73" s="923"/>
      <c r="W73" s="923"/>
      <c r="X73" s="924"/>
      <c r="Y73" s="3166">
        <f>'XM.GUI MAIL'!AR109</f>
        <v>26</v>
      </c>
      <c r="Z73" s="3166"/>
      <c r="AA73" s="3166">
        <f>'XM.FILE GOC'!AU109</f>
        <v>25</v>
      </c>
      <c r="AB73" s="3166"/>
      <c r="AC73" s="922"/>
      <c r="AD73" s="923"/>
      <c r="AE73" s="923"/>
      <c r="AF73" s="924"/>
      <c r="AG73" s="76"/>
    </row>
    <row r="74" spans="1:34" ht="49.5" customHeight="1">
      <c r="A74" s="1372">
        <v>6</v>
      </c>
      <c r="B74" s="3167" t="s">
        <v>968</v>
      </c>
      <c r="C74" s="3168"/>
      <c r="D74" s="3168"/>
      <c r="E74" s="3169"/>
      <c r="F74" s="979" t="s">
        <v>963</v>
      </c>
      <c r="G74" s="898" t="str">
        <f>'XM.FILE GOC'!$E$110</f>
        <v>30~40</v>
      </c>
      <c r="H74" s="2222" t="str">
        <f>'XM.FILE GOC'!$F$110</f>
        <v>(34±3)</v>
      </c>
      <c r="I74" s="3112">
        <f>'XM.GUI MAIL'!AD110</f>
        <v>34</v>
      </c>
      <c r="J74" s="3112"/>
      <c r="K74" s="3112">
        <f>'XM.FILE GOC'!AG110</f>
        <v>33</v>
      </c>
      <c r="L74" s="3143"/>
      <c r="M74" s="922"/>
      <c r="N74" s="923"/>
      <c r="O74" s="923"/>
      <c r="P74" s="924"/>
      <c r="Q74" s="3113">
        <f>'XM.GUI MAIL'!AK110</f>
        <v>34</v>
      </c>
      <c r="R74" s="3112"/>
      <c r="S74" s="3112">
        <f>'XM.FILE GOC'!AN110</f>
        <v>33</v>
      </c>
      <c r="T74" s="3112"/>
      <c r="U74" s="922"/>
      <c r="V74" s="923"/>
      <c r="W74" s="923"/>
      <c r="X74" s="924"/>
      <c r="Y74" s="3112">
        <f>'XM.GUI MAIL'!AR110</f>
        <v>34</v>
      </c>
      <c r="Z74" s="3112"/>
      <c r="AA74" s="3112">
        <f>'XM.FILE GOC'!AU110</f>
        <v>33</v>
      </c>
      <c r="AB74" s="3112"/>
      <c r="AC74" s="922"/>
      <c r="AD74" s="923"/>
      <c r="AE74" s="923"/>
      <c r="AF74" s="924"/>
      <c r="AG74" s="76"/>
      <c r="AH74" s="946"/>
    </row>
    <row r="75" spans="1:34" ht="49.5" customHeight="1">
      <c r="A75" s="1372">
        <v>7</v>
      </c>
      <c r="B75" s="3167" t="s">
        <v>969</v>
      </c>
      <c r="C75" s="3168"/>
      <c r="D75" s="3168"/>
      <c r="E75" s="3169"/>
      <c r="F75" s="979" t="s">
        <v>963</v>
      </c>
      <c r="G75" s="898" t="str">
        <f>'XM.FILE GOC'!$E$111</f>
        <v>55~65</v>
      </c>
      <c r="H75" s="2222" t="str">
        <f>'XM.FILE GOC'!$F$111</f>
        <v>(60±5)</v>
      </c>
      <c r="I75" s="3112">
        <f>'XM.GUI MAIL'!AD111</f>
        <v>57</v>
      </c>
      <c r="J75" s="3112"/>
      <c r="K75" s="3112">
        <f>'XM.FILE GOC'!AG111</f>
        <v>56</v>
      </c>
      <c r="L75" s="3143"/>
      <c r="M75" s="922"/>
      <c r="N75" s="923"/>
      <c r="O75" s="923"/>
      <c r="P75" s="924"/>
      <c r="Q75" s="3113">
        <f>'XM.GUI MAIL'!AK111</f>
        <v>58</v>
      </c>
      <c r="R75" s="3112"/>
      <c r="S75" s="3112">
        <f>'XM.FILE GOC'!AN111</f>
        <v>57</v>
      </c>
      <c r="T75" s="3112"/>
      <c r="U75" s="922"/>
      <c r="V75" s="923"/>
      <c r="W75" s="923"/>
      <c r="X75" s="924"/>
      <c r="Y75" s="3112">
        <f>'XM.GUI MAIL'!AR111</f>
        <v>59</v>
      </c>
      <c r="Z75" s="3112"/>
      <c r="AA75" s="3112">
        <f>'XM.FILE GOC'!AU111</f>
        <v>58</v>
      </c>
      <c r="AB75" s="3112"/>
      <c r="AC75" s="922"/>
      <c r="AD75" s="923"/>
      <c r="AE75" s="923"/>
      <c r="AF75" s="924"/>
      <c r="AG75" s="76"/>
    </row>
    <row r="76" spans="1:34" ht="49.5" customHeight="1">
      <c r="A76" s="1372">
        <v>8</v>
      </c>
      <c r="B76" s="3167" t="s">
        <v>970</v>
      </c>
      <c r="C76" s="3168"/>
      <c r="D76" s="3168"/>
      <c r="E76" s="3169"/>
      <c r="F76" s="979" t="s">
        <v>963</v>
      </c>
      <c r="G76" s="898" t="str">
        <f>'XM.FILE GOC'!$E$112</f>
        <v>80~100</v>
      </c>
      <c r="H76" s="2222" t="str">
        <f>'XM.FILE GOC'!$F$112</f>
        <v>(90±5)</v>
      </c>
      <c r="I76" s="3191" t="s">
        <v>47</v>
      </c>
      <c r="J76" s="3191"/>
      <c r="K76" s="3112">
        <f>'XM.FILE GOC'!AG112</f>
        <v>94</v>
      </c>
      <c r="L76" s="3143"/>
      <c r="M76" s="922"/>
      <c r="N76" s="923"/>
      <c r="O76" s="923"/>
      <c r="P76" s="924"/>
      <c r="Q76" s="3159" t="s">
        <v>47</v>
      </c>
      <c r="R76" s="3191"/>
      <c r="S76" s="3112">
        <f>'XM.FILE GOC'!AN112</f>
        <v>92</v>
      </c>
      <c r="T76" s="3112"/>
      <c r="U76" s="922"/>
      <c r="V76" s="923"/>
      <c r="W76" s="923"/>
      <c r="X76" s="924"/>
      <c r="Y76" s="3191" t="s">
        <v>47</v>
      </c>
      <c r="Z76" s="3191"/>
      <c r="AA76" s="3112">
        <f>'XM.FILE GOC'!AU112</f>
        <v>92</v>
      </c>
      <c r="AB76" s="3112"/>
      <c r="AC76" s="922"/>
      <c r="AD76" s="923"/>
      <c r="AE76" s="923"/>
      <c r="AF76" s="924"/>
      <c r="AG76" s="76"/>
    </row>
    <row r="77" spans="1:34" ht="49.5" customHeight="1">
      <c r="A77" s="1372">
        <v>9</v>
      </c>
      <c r="B77" s="3192" t="s">
        <v>1288</v>
      </c>
      <c r="C77" s="3193"/>
      <c r="D77" s="3193"/>
      <c r="E77" s="3194"/>
      <c r="F77" s="979" t="s">
        <v>963</v>
      </c>
      <c r="G77" s="898" t="str">
        <f>'XM.FILE GOC'!$E$113</f>
        <v>40~60</v>
      </c>
      <c r="H77" s="2222" t="str">
        <f>'XM.FILE GOC'!$F$113</f>
        <v>(50±10)</v>
      </c>
      <c r="I77" s="3188">
        <f>'XM.FILE GOC'!AD113</f>
        <v>60</v>
      </c>
      <c r="J77" s="3188"/>
      <c r="K77" s="3188">
        <f>'XM.FILE GOC'!AG113</f>
        <v>59</v>
      </c>
      <c r="L77" s="3189"/>
      <c r="M77" s="922"/>
      <c r="N77" s="923"/>
      <c r="O77" s="923"/>
      <c r="P77" s="924"/>
      <c r="Q77" s="3190">
        <f>'XM.FILE GOC'!AK113</f>
        <v>59</v>
      </c>
      <c r="R77" s="3188"/>
      <c r="S77" s="3188">
        <f>'XM.FILE GOC'!AN113</f>
        <v>58</v>
      </c>
      <c r="T77" s="3188"/>
      <c r="U77" s="922"/>
      <c r="V77" s="923"/>
      <c r="W77" s="923"/>
      <c r="X77" s="924"/>
      <c r="Y77" s="3188">
        <f>'XM.FILE GOC'!AR113</f>
        <v>59</v>
      </c>
      <c r="Z77" s="3188"/>
      <c r="AA77" s="3188">
        <f>'XM.FILE GOC'!AU113</f>
        <v>58</v>
      </c>
      <c r="AB77" s="3188"/>
      <c r="AC77" s="922"/>
      <c r="AD77" s="923"/>
      <c r="AE77" s="923"/>
      <c r="AF77" s="924"/>
      <c r="AG77" s="896"/>
    </row>
    <row r="78" spans="1:34" ht="49.5" customHeight="1">
      <c r="A78" s="1372">
        <v>10</v>
      </c>
      <c r="B78" s="3192" t="s">
        <v>1290</v>
      </c>
      <c r="C78" s="3193"/>
      <c r="D78" s="3193"/>
      <c r="E78" s="3194"/>
      <c r="F78" s="979" t="s">
        <v>963</v>
      </c>
      <c r="G78" s="898" t="str">
        <f>'XM.FILE GOC'!$E$114</f>
        <v>50~70</v>
      </c>
      <c r="H78" s="2222" t="str">
        <f>'XM.FILE GOC'!$F$114</f>
        <v>(60±10)</v>
      </c>
      <c r="I78" s="3188">
        <f>'XM.FILE GOC'!AD114</f>
        <v>58</v>
      </c>
      <c r="J78" s="3188"/>
      <c r="K78" s="3188">
        <f>'XM.FILE GOC'!AG114</f>
        <v>57</v>
      </c>
      <c r="L78" s="3189"/>
      <c r="M78" s="922"/>
      <c r="N78" s="923"/>
      <c r="O78" s="923"/>
      <c r="P78" s="924"/>
      <c r="Q78" s="3190">
        <f>'XM.FILE GOC'!AK114</f>
        <v>60</v>
      </c>
      <c r="R78" s="3188"/>
      <c r="S78" s="3188">
        <f>'XM.FILE GOC'!AN114</f>
        <v>59</v>
      </c>
      <c r="T78" s="3188"/>
      <c r="U78" s="922"/>
      <c r="V78" s="923"/>
      <c r="W78" s="923"/>
      <c r="X78" s="924"/>
      <c r="Y78" s="3188">
        <f>'XM.FILE GOC'!AR114</f>
        <v>55</v>
      </c>
      <c r="Z78" s="3188"/>
      <c r="AA78" s="3188">
        <f>'XM.FILE GOC'!AU114</f>
        <v>54</v>
      </c>
      <c r="AB78" s="3188"/>
      <c r="AC78" s="922"/>
      <c r="AD78" s="923"/>
      <c r="AE78" s="923"/>
      <c r="AF78" s="924"/>
      <c r="AG78" s="896"/>
    </row>
    <row r="79" spans="1:34" ht="49.5" hidden="1" customHeight="1">
      <c r="A79" s="2195">
        <v>11</v>
      </c>
      <c r="B79" s="3195" t="s">
        <v>989</v>
      </c>
      <c r="C79" s="3196"/>
      <c r="D79" s="3196"/>
      <c r="E79" s="3197"/>
      <c r="F79" s="11" t="s">
        <v>26</v>
      </c>
      <c r="G79" s="1012" t="str">
        <f>'XM.GUI MAIL'!$E$115</f>
        <v>20~30</v>
      </c>
      <c r="H79" s="2226" t="str">
        <f>'XM.GUI MAIL'!$F$115</f>
        <v>20~30</v>
      </c>
      <c r="I79" s="3035">
        <f>'XM.FILE GOC'!AD115</f>
        <v>0</v>
      </c>
      <c r="J79" s="3022"/>
      <c r="K79" s="3035">
        <f>'XM.FILE GOC'!AG115</f>
        <v>0</v>
      </c>
      <c r="L79" s="3036"/>
      <c r="M79" s="2197"/>
      <c r="N79" s="926"/>
      <c r="O79" s="926"/>
      <c r="P79" s="927"/>
      <c r="Q79" s="3187">
        <f>'XM.FILE GOC'!AK115</f>
        <v>0</v>
      </c>
      <c r="R79" s="3022"/>
      <c r="S79" s="3035">
        <f>'XM.FILE GOC'!AN115</f>
        <v>0</v>
      </c>
      <c r="T79" s="3022"/>
      <c r="U79" s="2197"/>
      <c r="V79" s="926"/>
      <c r="W79" s="926"/>
      <c r="X79" s="927"/>
      <c r="Y79" s="3035">
        <f>'XM.FILE GOC'!AR115</f>
        <v>0</v>
      </c>
      <c r="Z79" s="3022"/>
      <c r="AA79" s="3188">
        <f>'XM.FILE GOC'!AU115</f>
        <v>0</v>
      </c>
      <c r="AB79" s="3188"/>
      <c r="AC79" s="923"/>
      <c r="AD79" s="923"/>
      <c r="AE79" s="923"/>
      <c r="AF79" s="923"/>
      <c r="AG79" s="896"/>
    </row>
    <row r="80" spans="1:34" ht="36.75" customHeight="1">
      <c r="A80" s="975"/>
      <c r="B80" s="2449" t="s">
        <v>1311</v>
      </c>
      <c r="C80" s="2450"/>
      <c r="D80" s="2450"/>
      <c r="E80" s="2450"/>
      <c r="F80" s="2450"/>
      <c r="G80" s="2450"/>
      <c r="H80" s="2450"/>
      <c r="I80" s="2450"/>
      <c r="J80" s="2450"/>
      <c r="K80" s="2450"/>
      <c r="L80" s="2450"/>
      <c r="M80" s="2450"/>
      <c r="N80" s="2450"/>
      <c r="O80" s="2450"/>
      <c r="P80" s="2450"/>
      <c r="Q80" s="2450"/>
      <c r="R80" s="2450"/>
      <c r="S80" s="2450"/>
      <c r="T80" s="2450"/>
      <c r="U80" s="2450"/>
      <c r="V80" s="2450"/>
      <c r="W80" s="2450"/>
      <c r="X80" s="2450"/>
      <c r="Y80" s="2450"/>
      <c r="Z80" s="2450"/>
      <c r="AA80" s="2450"/>
      <c r="AB80" s="2450"/>
      <c r="AC80" s="2450"/>
      <c r="AD80" s="2450"/>
      <c r="AE80" s="2450"/>
      <c r="AF80" s="2450"/>
      <c r="AG80" s="2451"/>
    </row>
    <row r="81" spans="1:33" ht="51.75" customHeight="1">
      <c r="A81" s="975" t="s">
        <v>7</v>
      </c>
      <c r="B81" s="3167" t="s">
        <v>971</v>
      </c>
      <c r="C81" s="3168"/>
      <c r="D81" s="3168"/>
      <c r="E81" s="3169"/>
      <c r="F81" s="978" t="s">
        <v>737</v>
      </c>
      <c r="G81" s="978" t="s">
        <v>1310</v>
      </c>
      <c r="H81" s="2224" t="s">
        <v>1302</v>
      </c>
      <c r="I81" s="3160" t="s">
        <v>972</v>
      </c>
      <c r="J81" s="3158"/>
      <c r="K81" s="3158"/>
      <c r="L81" s="3159"/>
      <c r="M81" s="919"/>
      <c r="N81" s="920"/>
      <c r="O81" s="920"/>
      <c r="P81" s="921"/>
      <c r="Q81" s="3160" t="s">
        <v>972</v>
      </c>
      <c r="R81" s="3158"/>
      <c r="S81" s="3158"/>
      <c r="T81" s="3159"/>
      <c r="U81" s="919"/>
      <c r="V81" s="920"/>
      <c r="W81" s="920"/>
      <c r="X81" s="921"/>
      <c r="Y81" s="3160" t="s">
        <v>972</v>
      </c>
      <c r="Z81" s="3158"/>
      <c r="AA81" s="3158"/>
      <c r="AB81" s="3159"/>
      <c r="AC81" s="919"/>
      <c r="AD81" s="920"/>
      <c r="AE81" s="920"/>
      <c r="AF81" s="921"/>
      <c r="AG81" s="10"/>
    </row>
    <row r="82" spans="1:33" ht="55.5" customHeight="1">
      <c r="A82" s="975">
        <v>1</v>
      </c>
      <c r="B82" s="3095" t="s">
        <v>1597</v>
      </c>
      <c r="C82" s="3120"/>
      <c r="D82" s="3120"/>
      <c r="E82" s="3096"/>
      <c r="F82" s="633" t="s">
        <v>48</v>
      </c>
      <c r="G82" s="898" t="str">
        <f>'XM.FILE GOC'!$E$120</f>
        <v>30~50 
(40)</v>
      </c>
      <c r="H82" s="2222" t="str">
        <f>'XM.FILE GOC'!$F$120</f>
        <v>30~50 
(40)</v>
      </c>
      <c r="I82" s="3046">
        <f>'XM.GUI MAIL'!AD120</f>
        <v>42</v>
      </c>
      <c r="J82" s="3047"/>
      <c r="K82" s="3047"/>
      <c r="L82" s="3047"/>
      <c r="M82" s="1307"/>
      <c r="N82" s="1308"/>
      <c r="O82" s="1308"/>
      <c r="P82" s="1309"/>
      <c r="Q82" s="3046">
        <f>'XM.GUI MAIL'!AK120</f>
        <v>43</v>
      </c>
      <c r="R82" s="3047"/>
      <c r="S82" s="3047"/>
      <c r="T82" s="3047"/>
      <c r="U82" s="1307"/>
      <c r="V82" s="1308"/>
      <c r="W82" s="1308"/>
      <c r="X82" s="1309"/>
      <c r="Y82" s="3046">
        <f>'XM.GUI MAIL'!AR120</f>
        <v>42</v>
      </c>
      <c r="Z82" s="3047"/>
      <c r="AA82" s="3047"/>
      <c r="AB82" s="3048"/>
      <c r="AC82" s="928"/>
      <c r="AD82" s="905"/>
      <c r="AE82" s="905"/>
      <c r="AF82" s="929"/>
      <c r="AG82" s="76"/>
    </row>
    <row r="83" spans="1:33" ht="55.5" customHeight="1">
      <c r="A83" s="975">
        <v>2</v>
      </c>
      <c r="B83" s="3095" t="s">
        <v>1598</v>
      </c>
      <c r="C83" s="3120"/>
      <c r="D83" s="3120"/>
      <c r="E83" s="3096"/>
      <c r="F83" s="633" t="s">
        <v>48</v>
      </c>
      <c r="G83" s="898" t="str">
        <f>'XM.FILE GOC'!$E$121</f>
        <v>160~220
(180)</v>
      </c>
      <c r="H83" s="2222" t="str">
        <f>'XM.FILE GOC'!$F$121</f>
        <v>160~220
(180)</v>
      </c>
      <c r="I83" s="3046">
        <f>'XM.GUI MAIL'!AD121</f>
        <v>170</v>
      </c>
      <c r="J83" s="3047"/>
      <c r="K83" s="3047"/>
      <c r="L83" s="3047"/>
      <c r="M83" s="1304"/>
      <c r="N83" s="1305"/>
      <c r="O83" s="1305"/>
      <c r="P83" s="1306"/>
      <c r="Q83" s="3046">
        <f>'XM.GUI MAIL'!AK121</f>
        <v>170</v>
      </c>
      <c r="R83" s="3047"/>
      <c r="S83" s="3047"/>
      <c r="T83" s="3047"/>
      <c r="U83" s="1304"/>
      <c r="V83" s="1305"/>
      <c r="W83" s="1305"/>
      <c r="X83" s="1306"/>
      <c r="Y83" s="3046">
        <f>'XM.GUI MAIL'!AR121</f>
        <v>175</v>
      </c>
      <c r="Z83" s="3047"/>
      <c r="AA83" s="3047"/>
      <c r="AB83" s="3048"/>
      <c r="AC83" s="930"/>
      <c r="AD83" s="931"/>
      <c r="AE83" s="931"/>
      <c r="AF83" s="932"/>
      <c r="AG83" s="76"/>
    </row>
  </sheetData>
  <sheetProtection selectLockedCells="1"/>
  <mergeCells count="394">
    <mergeCell ref="A8:A9"/>
    <mergeCell ref="B8:C9"/>
    <mergeCell ref="D8:E8"/>
    <mergeCell ref="D9:E9"/>
    <mergeCell ref="A10:A11"/>
    <mergeCell ref="B10:C11"/>
    <mergeCell ref="D10:E10"/>
    <mergeCell ref="D11:E11"/>
    <mergeCell ref="A16:A17"/>
    <mergeCell ref="B16:D17"/>
    <mergeCell ref="E16:E17"/>
    <mergeCell ref="AG4:AG5"/>
    <mergeCell ref="J5:L5"/>
    <mergeCell ref="R5:T5"/>
    <mergeCell ref="Z5:AB5"/>
    <mergeCell ref="A6:A7"/>
    <mergeCell ref="B6:C7"/>
    <mergeCell ref="D6:E6"/>
    <mergeCell ref="D7:E7"/>
    <mergeCell ref="M4:P4"/>
    <mergeCell ref="N5:P5"/>
    <mergeCell ref="U4:X4"/>
    <mergeCell ref="V5:X5"/>
    <mergeCell ref="AC4:AF4"/>
    <mergeCell ref="AD5:AF5"/>
    <mergeCell ref="H4:H5"/>
    <mergeCell ref="A4:A5"/>
    <mergeCell ref="B4:E5"/>
    <mergeCell ref="F4:F5"/>
    <mergeCell ref="G4:G5"/>
    <mergeCell ref="I4:L4"/>
    <mergeCell ref="Q4:T4"/>
    <mergeCell ref="Y4:AB4"/>
    <mergeCell ref="AA26:AB26"/>
    <mergeCell ref="B23:E24"/>
    <mergeCell ref="B19:E19"/>
    <mergeCell ref="B21:E21"/>
    <mergeCell ref="A12:A13"/>
    <mergeCell ref="B12:C13"/>
    <mergeCell ref="D12:E12"/>
    <mergeCell ref="D13:E13"/>
    <mergeCell ref="A14:A15"/>
    <mergeCell ref="C14:E14"/>
    <mergeCell ref="C15:E15"/>
    <mergeCell ref="B14:B15"/>
    <mergeCell ref="B18:E18"/>
    <mergeCell ref="B20:E20"/>
    <mergeCell ref="B27:E27"/>
    <mergeCell ref="I27:J27"/>
    <mergeCell ref="K27:L27"/>
    <mergeCell ref="Q27:R27"/>
    <mergeCell ref="S27:T27"/>
    <mergeCell ref="Y27:Z27"/>
    <mergeCell ref="B22:E22"/>
    <mergeCell ref="B26:E26"/>
    <mergeCell ref="I26:J26"/>
    <mergeCell ref="K26:L26"/>
    <mergeCell ref="Q26:R26"/>
    <mergeCell ref="S26:T26"/>
    <mergeCell ref="Y26:Z26"/>
    <mergeCell ref="B29:E29"/>
    <mergeCell ref="I29:J29"/>
    <mergeCell ref="K29:L29"/>
    <mergeCell ref="Q29:R29"/>
    <mergeCell ref="S29:T29"/>
    <mergeCell ref="Y29:Z29"/>
    <mergeCell ref="B28:E28"/>
    <mergeCell ref="I28:J28"/>
    <mergeCell ref="K28:L28"/>
    <mergeCell ref="Q28:R28"/>
    <mergeCell ref="S28:T28"/>
    <mergeCell ref="Y28:Z28"/>
    <mergeCell ref="I35:J35"/>
    <mergeCell ref="K35:L35"/>
    <mergeCell ref="Q35:R35"/>
    <mergeCell ref="S35:T35"/>
    <mergeCell ref="Y35:Z35"/>
    <mergeCell ref="B35:E35"/>
    <mergeCell ref="AA35:AB35"/>
    <mergeCell ref="B30:E30"/>
    <mergeCell ref="I30:J30"/>
    <mergeCell ref="K30:L30"/>
    <mergeCell ref="Q30:R30"/>
    <mergeCell ref="S30:T30"/>
    <mergeCell ref="Y30:Z30"/>
    <mergeCell ref="AA30:AB30"/>
    <mergeCell ref="AA32:AB32"/>
    <mergeCell ref="B31:E31"/>
    <mergeCell ref="I31:J31"/>
    <mergeCell ref="K31:L31"/>
    <mergeCell ref="B34:E34"/>
    <mergeCell ref="I34:J34"/>
    <mergeCell ref="K34:L34"/>
    <mergeCell ref="Q34:R34"/>
    <mergeCell ref="S34:T34"/>
    <mergeCell ref="Y34:Z34"/>
    <mergeCell ref="B32:E32"/>
    <mergeCell ref="I32:J32"/>
    <mergeCell ref="K32:L32"/>
    <mergeCell ref="Q32:R32"/>
    <mergeCell ref="S32:T32"/>
    <mergeCell ref="Y32:Z32"/>
    <mergeCell ref="Q33:R33"/>
    <mergeCell ref="S33:T33"/>
    <mergeCell ref="Y33:Z33"/>
    <mergeCell ref="B33:E33"/>
    <mergeCell ref="I33:J33"/>
    <mergeCell ref="K33:L33"/>
    <mergeCell ref="I41:L41"/>
    <mergeCell ref="Q41:T41"/>
    <mergeCell ref="Y41:AB41"/>
    <mergeCell ref="I39:L39"/>
    <mergeCell ref="Q39:T39"/>
    <mergeCell ref="AG46:AG47"/>
    <mergeCell ref="J47:L47"/>
    <mergeCell ref="R47:T47"/>
    <mergeCell ref="Z47:AB47"/>
    <mergeCell ref="Y39:AB39"/>
    <mergeCell ref="I40:L40"/>
    <mergeCell ref="Q40:T40"/>
    <mergeCell ref="Y40:AB40"/>
    <mergeCell ref="B36:E36"/>
    <mergeCell ref="B41:E41"/>
    <mergeCell ref="A48:A49"/>
    <mergeCell ref="B48:C49"/>
    <mergeCell ref="D48:E48"/>
    <mergeCell ref="D49:E49"/>
    <mergeCell ref="A46:A47"/>
    <mergeCell ref="B46:E47"/>
    <mergeCell ref="B40:E40"/>
    <mergeCell ref="B39:E39"/>
    <mergeCell ref="F46:F47"/>
    <mergeCell ref="G46:G47"/>
    <mergeCell ref="I46:L46"/>
    <mergeCell ref="Q46:T46"/>
    <mergeCell ref="Y46:AB46"/>
    <mergeCell ref="A58:A59"/>
    <mergeCell ref="B58:D59"/>
    <mergeCell ref="E58:E59"/>
    <mergeCell ref="B61:E61"/>
    <mergeCell ref="A50:A51"/>
    <mergeCell ref="B50:C51"/>
    <mergeCell ref="D50:E50"/>
    <mergeCell ref="D51:E51"/>
    <mergeCell ref="A52:A53"/>
    <mergeCell ref="B52:C53"/>
    <mergeCell ref="D52:E52"/>
    <mergeCell ref="D53:E53"/>
    <mergeCell ref="H46:H47"/>
    <mergeCell ref="AA68:AB68"/>
    <mergeCell ref="B65:E66"/>
    <mergeCell ref="B63:E63"/>
    <mergeCell ref="A54:A55"/>
    <mergeCell ref="B54:C55"/>
    <mergeCell ref="D54:E54"/>
    <mergeCell ref="D55:E55"/>
    <mergeCell ref="A56:A57"/>
    <mergeCell ref="B56:B57"/>
    <mergeCell ref="C56:E56"/>
    <mergeCell ref="C57:E57"/>
    <mergeCell ref="B60:E60"/>
    <mergeCell ref="B62:E62"/>
    <mergeCell ref="B69:E69"/>
    <mergeCell ref="I69:J69"/>
    <mergeCell ref="K69:L69"/>
    <mergeCell ref="Q69:R69"/>
    <mergeCell ref="S69:T69"/>
    <mergeCell ref="Y69:Z69"/>
    <mergeCell ref="B64:E64"/>
    <mergeCell ref="B68:E68"/>
    <mergeCell ref="I68:J68"/>
    <mergeCell ref="K68:L68"/>
    <mergeCell ref="Q68:R68"/>
    <mergeCell ref="S68:T68"/>
    <mergeCell ref="Y68:Z68"/>
    <mergeCell ref="AA72:AB72"/>
    <mergeCell ref="B71:E71"/>
    <mergeCell ref="I71:J71"/>
    <mergeCell ref="K71:L71"/>
    <mergeCell ref="Q71:R71"/>
    <mergeCell ref="S71:T71"/>
    <mergeCell ref="Y71:Z71"/>
    <mergeCell ref="B70:E70"/>
    <mergeCell ref="I70:J70"/>
    <mergeCell ref="K70:L70"/>
    <mergeCell ref="Q70:R70"/>
    <mergeCell ref="S70:T70"/>
    <mergeCell ref="Y70:Z70"/>
    <mergeCell ref="AA70:AB70"/>
    <mergeCell ref="B73:E73"/>
    <mergeCell ref="I73:J73"/>
    <mergeCell ref="K73:L73"/>
    <mergeCell ref="Q73:R73"/>
    <mergeCell ref="S73:T73"/>
    <mergeCell ref="Y73:Z73"/>
    <mergeCell ref="B72:E72"/>
    <mergeCell ref="I72:J72"/>
    <mergeCell ref="K72:L72"/>
    <mergeCell ref="Q72:R72"/>
    <mergeCell ref="S72:T72"/>
    <mergeCell ref="Y72:Z72"/>
    <mergeCell ref="I3:L3"/>
    <mergeCell ref="I45:L45"/>
    <mergeCell ref="B83:E83"/>
    <mergeCell ref="I83:L83"/>
    <mergeCell ref="Q83:T83"/>
    <mergeCell ref="Y83:AB83"/>
    <mergeCell ref="B81:E81"/>
    <mergeCell ref="I81:L81"/>
    <mergeCell ref="Q81:T81"/>
    <mergeCell ref="Y81:AB81"/>
    <mergeCell ref="B82:E82"/>
    <mergeCell ref="I82:L82"/>
    <mergeCell ref="Q82:T82"/>
    <mergeCell ref="Y82:AB82"/>
    <mergeCell ref="B79:E79"/>
    <mergeCell ref="B78:E78"/>
    <mergeCell ref="B76:E76"/>
    <mergeCell ref="AA73:AB73"/>
    <mergeCell ref="B74:E74"/>
    <mergeCell ref="I74:J74"/>
    <mergeCell ref="K74:L74"/>
    <mergeCell ref="Q74:R74"/>
    <mergeCell ref="S74:T74"/>
    <mergeCell ref="Y74:Z74"/>
    <mergeCell ref="AD2:AE2"/>
    <mergeCell ref="AF2:AG2"/>
    <mergeCell ref="AD3:AE3"/>
    <mergeCell ref="AF3:AG3"/>
    <mergeCell ref="M46:P46"/>
    <mergeCell ref="N47:P47"/>
    <mergeCell ref="U46:X46"/>
    <mergeCell ref="V47:X47"/>
    <mergeCell ref="AC46:AF46"/>
    <mergeCell ref="AD47:AF47"/>
    <mergeCell ref="AD44:AE44"/>
    <mergeCell ref="AF44:AG44"/>
    <mergeCell ref="AD45:AE45"/>
    <mergeCell ref="AF45:AG45"/>
    <mergeCell ref="AA45:AB45"/>
    <mergeCell ref="AA33:AB33"/>
    <mergeCell ref="AA31:AB31"/>
    <mergeCell ref="AA29:AB29"/>
    <mergeCell ref="AA27:AB27"/>
    <mergeCell ref="Q31:R31"/>
    <mergeCell ref="S31:T31"/>
    <mergeCell ref="Y31:Z31"/>
    <mergeCell ref="AA34:AB34"/>
    <mergeCell ref="AA28:AB28"/>
    <mergeCell ref="I36:J36"/>
    <mergeCell ref="K36:L36"/>
    <mergeCell ref="Q36:R36"/>
    <mergeCell ref="S36:T36"/>
    <mergeCell ref="Y36:Z36"/>
    <mergeCell ref="AA36:AB36"/>
    <mergeCell ref="B77:E77"/>
    <mergeCell ref="I77:J77"/>
    <mergeCell ref="K77:L77"/>
    <mergeCell ref="Q77:R77"/>
    <mergeCell ref="S77:T77"/>
    <mergeCell ref="Y77:Z77"/>
    <mergeCell ref="AA77:AB77"/>
    <mergeCell ref="AA75:AB75"/>
    <mergeCell ref="K76:L76"/>
    <mergeCell ref="Q76:R76"/>
    <mergeCell ref="S76:T76"/>
    <mergeCell ref="Y76:Z76"/>
    <mergeCell ref="AA76:AB76"/>
    <mergeCell ref="B75:E75"/>
    <mergeCell ref="I75:J75"/>
    <mergeCell ref="K75:L75"/>
    <mergeCell ref="Q75:R75"/>
    <mergeCell ref="B37:E37"/>
    <mergeCell ref="I37:J37"/>
    <mergeCell ref="K37:L37"/>
    <mergeCell ref="Q37:R37"/>
    <mergeCell ref="S37:T37"/>
    <mergeCell ref="Y37:Z37"/>
    <mergeCell ref="AA37:AB37"/>
    <mergeCell ref="I79:J79"/>
    <mergeCell ref="K79:L79"/>
    <mergeCell ref="Q79:R79"/>
    <mergeCell ref="S79:T79"/>
    <mergeCell ref="Y79:Z79"/>
    <mergeCell ref="AA79:AB79"/>
    <mergeCell ref="I78:J78"/>
    <mergeCell ref="K78:L78"/>
    <mergeCell ref="Q78:R78"/>
    <mergeCell ref="S78:T78"/>
    <mergeCell ref="Y78:Z78"/>
    <mergeCell ref="AA78:AB78"/>
    <mergeCell ref="I76:J76"/>
    <mergeCell ref="S75:T75"/>
    <mergeCell ref="Y75:Z75"/>
    <mergeCell ref="AA71:AB71"/>
    <mergeCell ref="AA69:AB69"/>
    <mergeCell ref="AA74:AB74"/>
    <mergeCell ref="AI4:AI5"/>
    <mergeCell ref="AJ4:AM5"/>
    <mergeCell ref="AN4:AN5"/>
    <mergeCell ref="AO4:AO5"/>
    <mergeCell ref="AP4:AP5"/>
    <mergeCell ref="AQ4:AT4"/>
    <mergeCell ref="AU4:AX4"/>
    <mergeCell ref="AY4:BB4"/>
    <mergeCell ref="BC4:BF4"/>
    <mergeCell ref="AR5:AT5"/>
    <mergeCell ref="AV5:AX5"/>
    <mergeCell ref="AZ5:BB5"/>
    <mergeCell ref="BD5:BF5"/>
    <mergeCell ref="AJ6:AK7"/>
    <mergeCell ref="AL6:AM6"/>
    <mergeCell ref="AL7:AM7"/>
    <mergeCell ref="AJ8:AM8"/>
    <mergeCell ref="BL2:BM2"/>
    <mergeCell ref="BN2:BO2"/>
    <mergeCell ref="AQ3:AT3"/>
    <mergeCell ref="BL3:BM3"/>
    <mergeCell ref="BN3:BO3"/>
    <mergeCell ref="BG4:BJ4"/>
    <mergeCell ref="BK4:BN4"/>
    <mergeCell ref="BO4:BO5"/>
    <mergeCell ref="BH5:BJ5"/>
    <mergeCell ref="BL5:BN5"/>
    <mergeCell ref="AJ11:AM11"/>
    <mergeCell ref="AQ11:AR11"/>
    <mergeCell ref="AS11:AT11"/>
    <mergeCell ref="AY11:AZ11"/>
    <mergeCell ref="BA11:BB11"/>
    <mergeCell ref="BG11:BH11"/>
    <mergeCell ref="BI11:BJ11"/>
    <mergeCell ref="BA10:BB10"/>
    <mergeCell ref="BG10:BH10"/>
    <mergeCell ref="BI10:BJ10"/>
    <mergeCell ref="AJ10:AM10"/>
    <mergeCell ref="AQ10:AR10"/>
    <mergeCell ref="AS10:AT10"/>
    <mergeCell ref="AY10:AZ10"/>
    <mergeCell ref="BH47:BJ47"/>
    <mergeCell ref="BL47:BN47"/>
    <mergeCell ref="BL44:BM44"/>
    <mergeCell ref="BN44:BO44"/>
    <mergeCell ref="AJ12:AM12"/>
    <mergeCell ref="AQ12:AR12"/>
    <mergeCell ref="AS12:AT12"/>
    <mergeCell ref="AY12:AZ12"/>
    <mergeCell ref="BA12:BB12"/>
    <mergeCell ref="BG12:BH12"/>
    <mergeCell ref="BI12:BJ12"/>
    <mergeCell ref="AJ48:AK49"/>
    <mergeCell ref="AL48:AM48"/>
    <mergeCell ref="AL49:AM49"/>
    <mergeCell ref="AJ50:AM50"/>
    <mergeCell ref="AQ45:AT45"/>
    <mergeCell ref="BI45:BJ45"/>
    <mergeCell ref="BL45:BM45"/>
    <mergeCell ref="BN45:BO45"/>
    <mergeCell ref="AI46:AI47"/>
    <mergeCell ref="AJ46:AM47"/>
    <mergeCell ref="AN46:AN47"/>
    <mergeCell ref="AO46:AO47"/>
    <mergeCell ref="AP46:AP47"/>
    <mergeCell ref="AQ46:AT46"/>
    <mergeCell ref="AU46:AX46"/>
    <mergeCell ref="AY46:BB46"/>
    <mergeCell ref="BC46:BF46"/>
    <mergeCell ref="BG46:BJ46"/>
    <mergeCell ref="BK46:BN46"/>
    <mergeCell ref="BO46:BO47"/>
    <mergeCell ref="AR47:AT47"/>
    <mergeCell ref="AV47:AX47"/>
    <mergeCell ref="AZ47:BB47"/>
    <mergeCell ref="BD47:BF47"/>
    <mergeCell ref="AQ52:AR52"/>
    <mergeCell ref="AS52:AT52"/>
    <mergeCell ref="AY52:AZ52"/>
    <mergeCell ref="BA52:BB52"/>
    <mergeCell ref="BG52:BH52"/>
    <mergeCell ref="BI52:BJ52"/>
    <mergeCell ref="AJ54:AM54"/>
    <mergeCell ref="AQ54:AR54"/>
    <mergeCell ref="AS54:AT54"/>
    <mergeCell ref="AY54:AZ54"/>
    <mergeCell ref="BA54:BB54"/>
    <mergeCell ref="BG54:BH54"/>
    <mergeCell ref="BI54:BJ54"/>
    <mergeCell ref="AJ53:AM53"/>
    <mergeCell ref="AQ53:AR53"/>
    <mergeCell ref="AS53:AT53"/>
    <mergeCell ref="AY53:AZ53"/>
    <mergeCell ref="BA53:BB53"/>
    <mergeCell ref="BG53:BH53"/>
    <mergeCell ref="BI53:BJ53"/>
    <mergeCell ref="AJ52:AM52"/>
  </mergeCells>
  <phoneticPr fontId="7" type="noConversion"/>
  <conditionalFormatting sqref="I82 Y82 Q82 I40 Y40 Q40">
    <cfRule type="expression" dxfId="3199" priority="2280">
      <formula>I40&lt;30</formula>
    </cfRule>
    <cfRule type="expression" dxfId="3198" priority="2281">
      <formula>I40&gt;50</formula>
    </cfRule>
  </conditionalFormatting>
  <conditionalFormatting sqref="I83 Y83 Q83 Y41 Q41 I41">
    <cfRule type="expression" dxfId="3197" priority="2278">
      <formula>I41&lt;160</formula>
    </cfRule>
    <cfRule type="expression" dxfId="3196" priority="2279">
      <formula>I41&gt;220</formula>
    </cfRule>
  </conditionalFormatting>
  <conditionalFormatting sqref="I73:L73 Q73:T73 Y73:AB73 I31:L31 Q31:T31 Y31:AB31">
    <cfRule type="expression" dxfId="3195" priority="806">
      <formula>I31&lt;22</formula>
    </cfRule>
    <cfRule type="expression" dxfId="3194" priority="807">
      <formula>I31&gt;28</formula>
    </cfRule>
  </conditionalFormatting>
  <conditionalFormatting sqref="I69:L72 Q69:T72 Y69:AB72 I27:L30 Q27:T30 Y27:AB30">
    <cfRule type="cellIs" dxfId="3193" priority="802" operator="between">
      <formula>50</formula>
      <formula>54.9</formula>
    </cfRule>
    <cfRule type="cellIs" dxfId="3192" priority="803" operator="between">
      <formula>65.1</formula>
      <formula>70</formula>
    </cfRule>
    <cfRule type="expression" dxfId="3191" priority="804">
      <formula>I27&lt;50</formula>
    </cfRule>
    <cfRule type="expression" dxfId="3190" priority="805">
      <formula>I27&gt;70</formula>
    </cfRule>
  </conditionalFormatting>
  <conditionalFormatting sqref="K74 I74 S74 Q74 AA74 Y74 K32 I32 S32 Q32 AA32 Y32">
    <cfRule type="cellIs" dxfId="3189" priority="798" operator="between">
      <formula>30</formula>
      <formula>30.9</formula>
    </cfRule>
    <cfRule type="cellIs" dxfId="3188" priority="799" operator="between">
      <formula>37.1</formula>
      <formula>40</formula>
    </cfRule>
    <cfRule type="expression" dxfId="3187" priority="800">
      <formula>I32&lt;30</formula>
    </cfRule>
    <cfRule type="expression" dxfId="3186" priority="801">
      <formula>I32&gt;40</formula>
    </cfRule>
  </conditionalFormatting>
  <conditionalFormatting sqref="K75 I75 S75 Q75 AA75 Y75 K33 I33 S33 Q33 AA33 Y33">
    <cfRule type="expression" dxfId="3185" priority="796">
      <formula>I33&lt;55</formula>
    </cfRule>
    <cfRule type="expression" dxfId="3184" priority="797">
      <formula>I33&gt;65</formula>
    </cfRule>
  </conditionalFormatting>
  <conditionalFormatting sqref="K76 S76 AA76 K34 S34 AA34">
    <cfRule type="cellIs" dxfId="3183" priority="792" operator="between">
      <formula>80</formula>
      <formula>84.9</formula>
    </cfRule>
    <cfRule type="cellIs" dxfId="3182" priority="793" operator="between">
      <formula>95.1</formula>
      <formula>100</formula>
    </cfRule>
    <cfRule type="expression" dxfId="3181" priority="794">
      <formula>K34&lt;80</formula>
    </cfRule>
    <cfRule type="expression" dxfId="3180" priority="795">
      <formula>K34&gt;100</formula>
    </cfRule>
  </conditionalFormatting>
  <conditionalFormatting sqref="K77 I77 S77 Q77 AA77 Y77 K35 I35 S35 Q35 AA35 Y35">
    <cfRule type="expression" dxfId="3179" priority="790">
      <formula>I35&lt;40</formula>
    </cfRule>
    <cfRule type="expression" dxfId="3178" priority="791">
      <formula>I35&gt;60</formula>
    </cfRule>
  </conditionalFormatting>
  <conditionalFormatting sqref="K78 I78 S78 Q78 AA78 Y78 I36 S36 Q36 AA36 Y36 K36">
    <cfRule type="expression" dxfId="3177" priority="788">
      <formula>I36&lt;50</formula>
    </cfRule>
    <cfRule type="expression" dxfId="3176" priority="789">
      <formula>I36&gt;70</formula>
    </cfRule>
  </conditionalFormatting>
  <conditionalFormatting sqref="I56 Q56 Y56 I14 Q14 Y14">
    <cfRule type="expression" dxfId="3175" priority="539" stopIfTrue="1">
      <formula>I14&lt;135</formula>
    </cfRule>
  </conditionalFormatting>
  <conditionalFormatting sqref="I56 Q56 Y56 I14 Q14 Y14">
    <cfRule type="expression" dxfId="3174" priority="538" stopIfTrue="1">
      <formula>I14&gt;145</formula>
    </cfRule>
  </conditionalFormatting>
  <conditionalFormatting sqref="I58 Q58 Y58 I16 Q16 Y16">
    <cfRule type="cellIs" dxfId="3173" priority="533" operator="between">
      <formula>7.01</formula>
      <formula>8</formula>
    </cfRule>
    <cfRule type="expression" dxfId="3172" priority="534">
      <formula>I16&lt;5</formula>
    </cfRule>
    <cfRule type="expression" dxfId="3171" priority="535">
      <formula>I16&gt;8</formula>
    </cfRule>
  </conditionalFormatting>
  <conditionalFormatting sqref="I52 I54 Q52 Q54 Y52 Y54 I10 I12 Q10 Q12 Y10 Y12">
    <cfRule type="cellIs" dxfId="3170" priority="525" operator="between">
      <formula>50</formula>
      <formula>54.99</formula>
    </cfRule>
    <cfRule type="cellIs" dxfId="3169" priority="526" operator="between">
      <formula>65.01</formula>
      <formula>70</formula>
    </cfRule>
    <cfRule type="expression" dxfId="3168" priority="527">
      <formula>I10&lt;50</formula>
    </cfRule>
    <cfRule type="expression" dxfId="3167" priority="528">
      <formula>I10&gt;70</formula>
    </cfRule>
  </conditionalFormatting>
  <conditionalFormatting sqref="I48 I50 Q48 Q50 Y48 Y50 I6 I8 Q6 Q8 Y6 Y8">
    <cfRule type="cellIs" dxfId="3166" priority="521" operator="between">
      <formula>40</formula>
      <formula>44.99</formula>
    </cfRule>
    <cfRule type="cellIs" dxfId="3165" priority="522" operator="between">
      <formula>55.1</formula>
      <formula>60</formula>
    </cfRule>
    <cfRule type="expression" dxfId="3164" priority="523">
      <formula>I6&lt;40</formula>
    </cfRule>
    <cfRule type="expression" dxfId="3163" priority="524">
      <formula>I6&gt;60</formula>
    </cfRule>
  </conditionalFormatting>
  <conditionalFormatting sqref="I64 Q64 Y64 I22 Q22 Y22">
    <cfRule type="expression" dxfId="3162" priority="517">
      <formula>I22&lt;0.6%</formula>
    </cfRule>
    <cfRule type="expression" dxfId="3161" priority="518">
      <formula>I22&gt;1.4%</formula>
    </cfRule>
  </conditionalFormatting>
  <conditionalFormatting sqref="AQ54 BG54 AS54 AY54 BA54 BI54 I79 K79 Q79 S79 Y79 AA79 I37 K37 Q37 S37 Y37 AA37 AQ12 BG12 AS12 AY12 BA12 BI12">
    <cfRule type="expression" dxfId="3160" priority="352">
      <formula>I12&lt;20</formula>
    </cfRule>
    <cfRule type="expression" dxfId="3159" priority="353">
      <formula>I12&gt;30</formula>
    </cfRule>
  </conditionalFormatting>
  <conditionalFormatting sqref="I57 Q57 Y57 I15 Q15 Y15">
    <cfRule type="cellIs" dxfId="3158" priority="326" operator="between">
      <formula>7</formula>
      <formula>7.499</formula>
    </cfRule>
    <cfRule type="cellIs" dxfId="3157" priority="327" operator="between">
      <formula>9.51</formula>
      <formula>10</formula>
    </cfRule>
    <cfRule type="expression" dxfId="3156" priority="328">
      <formula>I15&lt;7</formula>
    </cfRule>
    <cfRule type="expression" dxfId="3155" priority="329">
      <formula>I15&gt;10</formula>
    </cfRule>
  </conditionalFormatting>
  <conditionalFormatting sqref="Q59 Y59 I59 I17 Q17 Y17">
    <cfRule type="cellIs" dxfId="3154" priority="302" operator="between">
      <formula>2</formula>
      <formula>2.099</formula>
    </cfRule>
    <cfRule type="cellIs" dxfId="3153" priority="303" operator="between">
      <formula>2.31</formula>
      <formula>2.4</formula>
    </cfRule>
    <cfRule type="expression" dxfId="3152" priority="304">
      <formula>I17&lt;2</formula>
    </cfRule>
    <cfRule type="expression" dxfId="3151" priority="305">
      <formula>I17&gt;2.4</formula>
    </cfRule>
  </conditionalFormatting>
  <conditionalFormatting sqref="I65 Q65 Y65 I23 Q23 Y23">
    <cfRule type="cellIs" dxfId="3150" priority="278" operator="between">
      <formula>5</formula>
      <formula>5.499</formula>
    </cfRule>
    <cfRule type="cellIs" dxfId="3149" priority="279" operator="between">
      <formula>6.51</formula>
      <formula>8</formula>
    </cfRule>
    <cfRule type="expression" dxfId="3148" priority="280">
      <formula>I23&lt;5</formula>
    </cfRule>
    <cfRule type="expression" dxfId="3147" priority="281">
      <formula>I23&gt;8</formula>
    </cfRule>
  </conditionalFormatting>
  <conditionalFormatting sqref="I66 Q66 Y66 I24 Q24 Y24">
    <cfRule type="cellIs" dxfId="3146" priority="274" operator="between">
      <formula>1.8</formula>
      <formula>1.999</formula>
    </cfRule>
    <cfRule type="cellIs" dxfId="3145" priority="275" operator="between">
      <formula>2.21</formula>
      <formula>2.4</formula>
    </cfRule>
    <cfRule type="expression" dxfId="3144" priority="276">
      <formula>I24&lt;1.8</formula>
    </cfRule>
    <cfRule type="expression" dxfId="3143" priority="277">
      <formula>I24&gt;2.4</formula>
    </cfRule>
  </conditionalFormatting>
  <conditionalFormatting sqref="I18 I20:I21 Q18 Q20:Q21 Y18 Y20:Y21 I60 I62:I63 Q60 Q62:Q63 Y60 Y62:Y63">
    <cfRule type="expression" dxfId="3142" priority="222">
      <formula>I18&lt;40%</formula>
    </cfRule>
    <cfRule type="expression" dxfId="3141" priority="223">
      <formula>I18&gt;50%</formula>
    </cfRule>
  </conditionalFormatting>
  <conditionalFormatting sqref="AQ53 BG53 AS53 AY53 BA53 BI53 AQ11 BG11 AS11 AY11 BA11 BI11">
    <cfRule type="expression" dxfId="3140" priority="156">
      <formula>AQ11&lt;24</formula>
    </cfRule>
    <cfRule type="expression" dxfId="3139" priority="157">
      <formula>AQ11&gt;28</formula>
    </cfRule>
  </conditionalFormatting>
  <conditionalFormatting sqref="AQ7 AY7 BG7 AQ49 AY49 BG49">
    <cfRule type="expression" dxfId="3138" priority="154" stopIfTrue="1">
      <formula>AQ7&gt;140</formula>
    </cfRule>
    <cfRule type="expression" dxfId="3137" priority="155" stopIfTrue="1">
      <formula>AQ7&lt;130</formula>
    </cfRule>
  </conditionalFormatting>
  <conditionalFormatting sqref="AQ8 AY8 BG8 AQ50 AY50 BG50">
    <cfRule type="cellIs" dxfId="3136" priority="151" operator="between">
      <formula>3</formula>
      <formula>4.099</formula>
    </cfRule>
    <cfRule type="expression" dxfId="3135" priority="152">
      <formula>AQ8&lt;3</formula>
    </cfRule>
    <cfRule type="expression" dxfId="3134" priority="153">
      <formula>AQ8&gt;4.5</formula>
    </cfRule>
  </conditionalFormatting>
  <conditionalFormatting sqref="AQ6 AY6 BG6 AQ48 AY48 BG48">
    <cfRule type="expression" dxfId="3133" priority="149">
      <formula>AQ6&lt;5</formula>
    </cfRule>
    <cfRule type="expression" dxfId="3132" priority="150">
      <formula>AQ6&gt;6</formula>
    </cfRule>
  </conditionalFormatting>
  <conditionalFormatting sqref="I61">
    <cfRule type="cellIs" dxfId="3131" priority="21" operator="between">
      <formula>15%</formula>
      <formula>15.99%</formula>
    </cfRule>
    <cfRule type="cellIs" dxfId="3130" priority="22" operator="between">
      <formula>20.01%</formula>
      <formula>25%</formula>
    </cfRule>
    <cfRule type="expression" dxfId="3129" priority="23">
      <formula>I61&lt;15%</formula>
    </cfRule>
    <cfRule type="expression" dxfId="3128" priority="24">
      <formula>I61&gt;25%</formula>
    </cfRule>
  </conditionalFormatting>
  <conditionalFormatting sqref="Q61">
    <cfRule type="cellIs" dxfId="3127" priority="17" operator="between">
      <formula>15%</formula>
      <formula>15.99%</formula>
    </cfRule>
    <cfRule type="cellIs" dxfId="3126" priority="18" operator="between">
      <formula>20.01%</formula>
      <formula>25%</formula>
    </cfRule>
    <cfRule type="expression" dxfId="3125" priority="19">
      <formula>Q61&lt;15%</formula>
    </cfRule>
    <cfRule type="expression" dxfId="3124" priority="20">
      <formula>Q61&gt;25%</formula>
    </cfRule>
  </conditionalFormatting>
  <conditionalFormatting sqref="Y61">
    <cfRule type="cellIs" dxfId="3123" priority="13" operator="between">
      <formula>15%</formula>
      <formula>15.99%</formula>
    </cfRule>
    <cfRule type="cellIs" dxfId="3122" priority="14" operator="between">
      <formula>20.01%</formula>
      <formula>25%</formula>
    </cfRule>
    <cfRule type="expression" dxfId="3121" priority="15">
      <formula>Y61&lt;15%</formula>
    </cfRule>
    <cfRule type="expression" dxfId="3120" priority="16">
      <formula>Y61&gt;25%</formula>
    </cfRule>
  </conditionalFormatting>
  <conditionalFormatting sqref="I19">
    <cfRule type="cellIs" dxfId="3119" priority="9" operator="between">
      <formula>15%</formula>
      <formula>15.99%</formula>
    </cfRule>
    <cfRule type="cellIs" dxfId="3118" priority="10" operator="between">
      <formula>20.01%</formula>
      <formula>25%</formula>
    </cfRule>
    <cfRule type="expression" dxfId="3117" priority="11">
      <formula>I19&lt;15%</formula>
    </cfRule>
    <cfRule type="expression" dxfId="3116" priority="12">
      <formula>I19&gt;25%</formula>
    </cfRule>
  </conditionalFormatting>
  <conditionalFormatting sqref="Q19">
    <cfRule type="cellIs" dxfId="3115" priority="5" operator="between">
      <formula>15%</formula>
      <formula>15.99%</formula>
    </cfRule>
    <cfRule type="cellIs" dxfId="3114" priority="6" operator="between">
      <formula>20.01%</formula>
      <formula>25%</formula>
    </cfRule>
    <cfRule type="expression" dxfId="3113" priority="7">
      <formula>Q19&lt;15%</formula>
    </cfRule>
    <cfRule type="expression" dxfId="3112" priority="8">
      <formula>Q19&gt;25%</formula>
    </cfRule>
  </conditionalFormatting>
  <conditionalFormatting sqref="Y19">
    <cfRule type="cellIs" dxfId="3111" priority="1" operator="between">
      <formula>15%</formula>
      <formula>15.99%</formula>
    </cfRule>
    <cfRule type="cellIs" dxfId="3110" priority="2" operator="between">
      <formula>20.01%</formula>
      <formula>25%</formula>
    </cfRule>
    <cfRule type="expression" dxfId="3109" priority="3">
      <formula>Y19&lt;15%</formula>
    </cfRule>
    <cfRule type="expression" dxfId="3108" priority="4">
      <formula>Y19&gt;25%</formula>
    </cfRule>
  </conditionalFormatting>
  <pageMargins left="0.39" right="0" top="0.17" bottom="0" header="0.12" footer="0"/>
  <pageSetup paperSize="9" scale="47" pageOrder="overThenDown"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codeName="Sheet12">
    <tabColor rgb="FFC00000"/>
  </sheetPr>
  <dimension ref="A1:BK150"/>
  <sheetViews>
    <sheetView showGridLines="0" zoomScale="55" zoomScaleNormal="55" workbookViewId="0">
      <pane xSplit="8" ySplit="2" topLeftCell="I121" activePane="bottomRight" state="frozen"/>
      <selection pane="topRight" activeCell="I1" sqref="I1"/>
      <selection pane="bottomLeft" activeCell="A3" sqref="A3"/>
      <selection pane="bottomRight" activeCell="C75" sqref="C75:AW133"/>
    </sheetView>
  </sheetViews>
  <sheetFormatPr defaultRowHeight="15.75"/>
  <cols>
    <col min="1" max="1" width="9.75" style="1224" customWidth="1"/>
    <col min="2" max="2" width="16.25" style="265" hidden="1" customWidth="1"/>
    <col min="3" max="3" width="29" style="265" customWidth="1"/>
    <col min="4" max="4" width="11" style="265" customWidth="1"/>
    <col min="5" max="5" width="20.25" style="265" customWidth="1"/>
    <col min="6" max="6" width="12.375" style="265" customWidth="1"/>
    <col min="7" max="7" width="12" style="2652" hidden="1" customWidth="1"/>
    <col min="8" max="8" width="12.875" style="2079" hidden="1" customWidth="1"/>
    <col min="9" max="9" width="11.375" style="265" customWidth="1"/>
    <col min="10" max="10" width="11.375" style="2079" hidden="1" customWidth="1"/>
    <col min="11" max="11" width="2.5" style="265" customWidth="1"/>
    <col min="12" max="12" width="8" style="265" customWidth="1"/>
    <col min="13" max="13" width="7.375" style="1627" customWidth="1"/>
    <col min="14" max="14" width="5" style="265" customWidth="1"/>
    <col min="15" max="15" width="6.625" style="2079" hidden="1" customWidth="1"/>
    <col min="16" max="16" width="10" style="265" customWidth="1"/>
    <col min="17" max="17" width="5.75" style="2079" hidden="1" customWidth="1"/>
    <col min="18" max="18" width="3" style="265" customWidth="1"/>
    <col min="19" max="19" width="7.875" style="265" customWidth="1"/>
    <col min="20" max="20" width="6.5" style="1627" customWidth="1"/>
    <col min="21" max="21" width="5.25" style="265" customWidth="1"/>
    <col min="22" max="22" width="9" style="2079" hidden="1" customWidth="1"/>
    <col min="23" max="23" width="10.25" style="265" customWidth="1"/>
    <col min="24" max="24" width="9" style="2079" hidden="1" customWidth="1"/>
    <col min="25" max="25" width="3.75" style="265" customWidth="1"/>
    <col min="26" max="26" width="7.5" style="265" customWidth="1"/>
    <col min="27" max="27" width="6.5" style="1627" customWidth="1"/>
    <col min="28" max="28" width="5.375" style="265" customWidth="1"/>
    <col min="29" max="29" width="9" style="2079" hidden="1" customWidth="1"/>
    <col min="30" max="30" width="9.125" style="265" customWidth="1"/>
    <col min="31" max="31" width="9" style="2079" hidden="1" customWidth="1"/>
    <col min="32" max="32" width="4" style="265" customWidth="1"/>
    <col min="33" max="33" width="7.75" style="265" customWidth="1"/>
    <col min="34" max="34" width="6.125" style="1627" customWidth="1"/>
    <col min="35" max="35" width="6" style="41" customWidth="1"/>
    <col min="36" max="36" width="7.5" style="2079" hidden="1" customWidth="1"/>
    <col min="37" max="37" width="7.625" style="265" customWidth="1"/>
    <col min="38" max="38" width="9" style="2079" hidden="1" customWidth="1"/>
    <col min="39" max="39" width="4" style="265" customWidth="1"/>
    <col min="40" max="40" width="8.75" style="265" customWidth="1"/>
    <col min="41" max="41" width="6.5" style="1627" customWidth="1"/>
    <col min="42" max="42" width="4.875" style="41" customWidth="1"/>
    <col min="43" max="43" width="7" style="2079" hidden="1" customWidth="1"/>
    <col min="44" max="44" width="9.25" style="265" customWidth="1"/>
    <col min="45" max="45" width="9" style="2079" hidden="1" customWidth="1"/>
    <col min="46" max="46" width="4" style="265" customWidth="1"/>
    <col min="47" max="47" width="7.875" style="265" customWidth="1"/>
    <col min="48" max="48" width="6.5" style="1627" customWidth="1"/>
    <col min="49" max="49" width="4.875" style="41" customWidth="1"/>
    <col min="50" max="50" width="4.875" style="265" customWidth="1"/>
    <col min="51" max="51" width="32.625" style="265" customWidth="1"/>
    <col min="52" max="52" width="18.125" style="265" customWidth="1"/>
    <col min="53" max="53" width="24.125" style="265" customWidth="1"/>
    <col min="54" max="54" width="23.5" style="265" customWidth="1"/>
    <col min="55" max="55" width="18.125" style="265" customWidth="1"/>
    <col min="56" max="56" width="7.625" style="265" customWidth="1"/>
    <col min="57" max="57" width="18.125" style="265" customWidth="1"/>
    <col min="58" max="58" width="7.125" style="265" customWidth="1"/>
    <col min="59" max="60" width="18.125" style="265" customWidth="1"/>
    <col min="61" max="61" width="12" style="265" customWidth="1"/>
    <col min="62" max="62" width="24.75" style="265" customWidth="1"/>
    <col min="63" max="16384" width="9" style="265"/>
  </cols>
  <sheetData>
    <row r="1" spans="1:51" ht="39" customHeight="1">
      <c r="A1" s="1714"/>
      <c r="B1" s="288"/>
      <c r="C1" s="289" t="s">
        <v>1518</v>
      </c>
      <c r="D1" s="290"/>
      <c r="E1" s="1613"/>
      <c r="F1" s="1613"/>
      <c r="G1" s="2611"/>
      <c r="H1" s="2484"/>
      <c r="I1" s="290"/>
      <c r="J1" s="2484"/>
      <c r="K1" s="290"/>
      <c r="L1" s="290"/>
      <c r="M1" s="1620"/>
      <c r="N1" s="290"/>
      <c r="O1" s="2484"/>
      <c r="P1" s="290"/>
      <c r="Q1" s="2484"/>
      <c r="R1" s="290"/>
      <c r="S1" s="290"/>
      <c r="T1" s="1620"/>
      <c r="U1" s="290"/>
      <c r="V1" s="2484"/>
      <c r="W1" s="290"/>
      <c r="X1" s="2484"/>
      <c r="Y1" s="290"/>
      <c r="Z1" s="290"/>
      <c r="AA1" s="1620"/>
      <c r="AB1" s="290"/>
      <c r="AC1" s="2484"/>
      <c r="AD1" s="290"/>
      <c r="AE1" s="2484"/>
      <c r="AF1" s="290"/>
      <c r="AG1" s="290"/>
      <c r="AH1" s="1620"/>
      <c r="AI1" s="265"/>
      <c r="AP1" s="265"/>
      <c r="AV1" s="2094"/>
      <c r="AW1" s="1609"/>
    </row>
    <row r="2" spans="1:51" ht="30.75" customHeight="1">
      <c r="A2" s="1956" t="str">
        <f>MENU!$AC$9</f>
        <v>Thứ 4,</v>
      </c>
      <c r="B2" s="1957"/>
      <c r="C2" s="1958" t="str">
        <f>MENU!$AD$9</f>
        <v>2024/05/22</v>
      </c>
      <c r="D2" s="1515"/>
      <c r="E2" s="1614"/>
      <c r="F2" s="1615"/>
      <c r="G2" s="2612"/>
      <c r="H2" s="2485"/>
      <c r="I2" s="291"/>
      <c r="J2" s="2485"/>
      <c r="K2" s="291"/>
      <c r="L2" s="291"/>
      <c r="M2" s="1621"/>
      <c r="N2" s="291"/>
      <c r="O2" s="2485"/>
      <c r="P2" s="291"/>
      <c r="Q2" s="2485"/>
      <c r="R2" s="291"/>
      <c r="S2" s="291"/>
      <c r="T2" s="1621"/>
      <c r="U2" s="291"/>
      <c r="V2" s="2485"/>
      <c r="W2" s="291"/>
      <c r="X2" s="2485"/>
      <c r="Y2" s="291"/>
      <c r="Z2" s="291"/>
      <c r="AA2" s="1621"/>
      <c r="AB2" s="291"/>
      <c r="AC2" s="2485"/>
      <c r="AD2" s="291"/>
      <c r="AE2" s="2485"/>
      <c r="AF2" s="291"/>
      <c r="AG2" s="291"/>
      <c r="AH2" s="1630"/>
      <c r="AI2" s="265"/>
      <c r="AP2" s="265"/>
      <c r="AW2" s="265"/>
    </row>
    <row r="3" spans="1:51" ht="41.25" customHeight="1">
      <c r="A3" s="1715"/>
      <c r="B3" s="1050"/>
      <c r="C3" s="1715" t="s">
        <v>1482</v>
      </c>
      <c r="D3" s="1051"/>
      <c r="E3" s="2091"/>
      <c r="F3" s="1051"/>
      <c r="G3" s="2613"/>
      <c r="H3" s="2486"/>
      <c r="I3" s="1831" t="str">
        <f>MENU!$AC$9</f>
        <v>Thứ 4,</v>
      </c>
      <c r="J3" s="2654"/>
      <c r="K3" s="1910"/>
      <c r="L3" s="1832" t="str">
        <f>MENU!$AD$9</f>
        <v>2024/05/22</v>
      </c>
      <c r="M3" s="1911"/>
      <c r="N3" s="1053"/>
      <c r="O3" s="2514"/>
      <c r="P3" s="1053"/>
      <c r="Q3" s="2514"/>
      <c r="R3" s="1053"/>
      <c r="S3" s="1053"/>
      <c r="T3" s="1622"/>
      <c r="U3" s="1052"/>
      <c r="V3" s="2486"/>
      <c r="W3" s="1052"/>
      <c r="X3" s="2486"/>
      <c r="Y3" s="1052"/>
      <c r="Z3" s="1052"/>
      <c r="AA3" s="1629"/>
      <c r="AB3" s="1052"/>
      <c r="AC3" s="2486"/>
      <c r="AD3" s="1906" t="s">
        <v>215</v>
      </c>
      <c r="AE3" s="2486"/>
      <c r="AF3" s="1052"/>
      <c r="AG3" s="1052"/>
      <c r="AH3" s="1629"/>
      <c r="AI3" s="1052"/>
      <c r="AK3" s="1050"/>
      <c r="AL3" s="2605"/>
      <c r="AM3" s="1054"/>
      <c r="AN3" s="1054"/>
      <c r="AO3" s="1631"/>
      <c r="AP3" s="1054"/>
      <c r="AQ3" s="2605"/>
      <c r="AR3" s="1054"/>
      <c r="AS3" s="2605"/>
      <c r="AT3" s="1054"/>
      <c r="AU3" s="1054"/>
      <c r="AV3" s="1631"/>
      <c r="AW3" s="1055"/>
      <c r="AY3" s="3239" t="s">
        <v>1521</v>
      </c>
    </row>
    <row r="4" spans="1:51" ht="24.75" customHeight="1">
      <c r="A4" s="1716"/>
      <c r="B4" s="1385"/>
      <c r="C4" s="1390"/>
      <c r="D4" s="1390"/>
      <c r="E4" s="1390"/>
      <c r="F4" s="1888"/>
      <c r="G4" s="3232" t="s">
        <v>125</v>
      </c>
      <c r="H4" s="2614"/>
      <c r="I4" s="269" t="s">
        <v>1469</v>
      </c>
      <c r="J4" s="2487"/>
      <c r="K4" s="269"/>
      <c r="L4" s="269"/>
      <c r="M4" s="1623"/>
      <c r="N4" s="269"/>
      <c r="O4" s="2538"/>
      <c r="P4" s="282" t="s">
        <v>1459</v>
      </c>
      <c r="Q4" s="2487"/>
      <c r="R4" s="269"/>
      <c r="S4" s="269"/>
      <c r="T4" s="1623"/>
      <c r="U4" s="270"/>
      <c r="V4" s="2487"/>
      <c r="W4" s="269" t="s">
        <v>1460</v>
      </c>
      <c r="X4" s="2487"/>
      <c r="Y4" s="269"/>
      <c r="Z4" s="269"/>
      <c r="AA4" s="1623"/>
      <c r="AB4" s="269"/>
      <c r="AC4" s="2538"/>
      <c r="AD4" s="282" t="s">
        <v>1461</v>
      </c>
      <c r="AE4" s="2487"/>
      <c r="AF4" s="269"/>
      <c r="AG4" s="269"/>
      <c r="AH4" s="1623"/>
      <c r="AI4" s="270"/>
      <c r="AJ4" s="2487"/>
      <c r="AK4" s="269" t="s">
        <v>1462</v>
      </c>
      <c r="AL4" s="2487"/>
      <c r="AM4" s="269"/>
      <c r="AN4" s="269"/>
      <c r="AO4" s="1623"/>
      <c r="AP4" s="269"/>
      <c r="AQ4" s="2487"/>
      <c r="AR4" s="282" t="s">
        <v>1463</v>
      </c>
      <c r="AS4" s="2487"/>
      <c r="AT4" s="269"/>
      <c r="AU4" s="270"/>
      <c r="AV4" s="1634"/>
      <c r="AW4" s="1003"/>
      <c r="AY4" s="3239"/>
    </row>
    <row r="5" spans="1:51" ht="63.75" customHeight="1">
      <c r="A5" s="1717" t="s">
        <v>238</v>
      </c>
      <c r="B5" s="1385" t="s">
        <v>317</v>
      </c>
      <c r="C5" s="1388" t="s">
        <v>316</v>
      </c>
      <c r="D5" s="1388" t="s">
        <v>1269</v>
      </c>
      <c r="E5" s="1827" t="s">
        <v>1496</v>
      </c>
      <c r="F5" s="1889" t="s">
        <v>1302</v>
      </c>
      <c r="G5" s="3233"/>
      <c r="H5" s="2571"/>
      <c r="I5" s="1761" t="s">
        <v>1446</v>
      </c>
      <c r="J5" s="2655" t="s">
        <v>1</v>
      </c>
      <c r="K5" s="3229" t="s">
        <v>1447</v>
      </c>
      <c r="L5" s="3229"/>
      <c r="M5" s="3227" t="s">
        <v>1507</v>
      </c>
      <c r="N5" s="3228"/>
      <c r="O5" s="2539"/>
      <c r="P5" s="1761" t="s">
        <v>1446</v>
      </c>
      <c r="Q5" s="2655" t="s">
        <v>1</v>
      </c>
      <c r="R5" s="3229" t="s">
        <v>1447</v>
      </c>
      <c r="S5" s="3229"/>
      <c r="T5" s="3227" t="s">
        <v>1507</v>
      </c>
      <c r="U5" s="3228"/>
      <c r="V5" s="2571"/>
      <c r="W5" s="1761" t="s">
        <v>1446</v>
      </c>
      <c r="X5" s="2655" t="s">
        <v>1</v>
      </c>
      <c r="Y5" s="3229" t="s">
        <v>1447</v>
      </c>
      <c r="Z5" s="3229"/>
      <c r="AA5" s="3227" t="s">
        <v>1507</v>
      </c>
      <c r="AB5" s="3228"/>
      <c r="AC5" s="2539"/>
      <c r="AD5" s="1761" t="s">
        <v>1446</v>
      </c>
      <c r="AE5" s="2655" t="s">
        <v>1</v>
      </c>
      <c r="AF5" s="3229" t="s">
        <v>1447</v>
      </c>
      <c r="AG5" s="3229"/>
      <c r="AH5" s="3227" t="s">
        <v>1507</v>
      </c>
      <c r="AI5" s="3228"/>
      <c r="AJ5" s="2539"/>
      <c r="AK5" s="2012" t="s">
        <v>1446</v>
      </c>
      <c r="AL5" s="2655" t="s">
        <v>1</v>
      </c>
      <c r="AM5" s="3229" t="s">
        <v>1447</v>
      </c>
      <c r="AN5" s="3229"/>
      <c r="AO5" s="3227" t="s">
        <v>1507</v>
      </c>
      <c r="AP5" s="3228"/>
      <c r="AQ5" s="2539"/>
      <c r="AR5" s="1761" t="s">
        <v>1446</v>
      </c>
      <c r="AS5" s="2655" t="s">
        <v>1</v>
      </c>
      <c r="AT5" s="3229" t="s">
        <v>1447</v>
      </c>
      <c r="AU5" s="3229"/>
      <c r="AV5" s="3227" t="s">
        <v>1507</v>
      </c>
      <c r="AW5" s="3228"/>
      <c r="AY5" s="3239"/>
    </row>
    <row r="6" spans="1:51" ht="37.5" customHeight="1">
      <c r="A6" s="1834" t="s">
        <v>239</v>
      </c>
      <c r="B6" s="1835" t="s">
        <v>215</v>
      </c>
      <c r="C6" s="1835" t="s">
        <v>77</v>
      </c>
      <c r="D6" s="1836" t="s">
        <v>4</v>
      </c>
      <c r="E6" s="1884" t="s">
        <v>1350</v>
      </c>
      <c r="F6" s="1890" t="s">
        <v>1328</v>
      </c>
      <c r="G6" s="2615">
        <v>30</v>
      </c>
      <c r="H6" s="2577">
        <f>XM.HN!B3</f>
        <v>0</v>
      </c>
      <c r="I6" s="1840">
        <f>H6*4</f>
        <v>0</v>
      </c>
      <c r="J6" s="2489">
        <f>($G$6-I6)*2693/1000</f>
        <v>80.790000000000006</v>
      </c>
      <c r="K6" s="1842" t="s">
        <v>8</v>
      </c>
      <c r="L6" s="1843">
        <f>IF(I6=0,0,IF(J6&lt;0,0,J6))</f>
        <v>0</v>
      </c>
      <c r="M6" s="2048" t="str">
        <f>IF('1. XL-1E TT'!AB6="","",'1. XL-1E TT'!AB6)</f>
        <v/>
      </c>
      <c r="N6" s="1845" t="s">
        <v>9</v>
      </c>
      <c r="O6" s="2540">
        <f>XM.HN!C3</f>
        <v>0</v>
      </c>
      <c r="P6" s="1840">
        <f>O6*4</f>
        <v>0</v>
      </c>
      <c r="Q6" s="2489">
        <f>($G$6-P6)*2693/1000</f>
        <v>80.790000000000006</v>
      </c>
      <c r="R6" s="1842" t="s">
        <v>8</v>
      </c>
      <c r="S6" s="1843">
        <f>IF(P6=0,0,IF(Q6&lt;0,0,Q6))</f>
        <v>0</v>
      </c>
      <c r="T6" s="2048" t="str">
        <f>IF('1. XL-1E TT'!AF6="","",'1. XL-1E TT'!AF6)</f>
        <v/>
      </c>
      <c r="U6" s="1845" t="s">
        <v>9</v>
      </c>
      <c r="V6" s="2540">
        <f>XM.HN!D3</f>
        <v>0</v>
      </c>
      <c r="W6" s="1840">
        <f>V6*4</f>
        <v>0</v>
      </c>
      <c r="X6" s="2489">
        <f>($G$6-W6)*2693/1000</f>
        <v>80.790000000000006</v>
      </c>
      <c r="Y6" s="1842" t="s">
        <v>8</v>
      </c>
      <c r="Z6" s="1843">
        <f>IF(W6=0,0,IF(X6&lt;0,0,X6))</f>
        <v>0</v>
      </c>
      <c r="AA6" s="2048" t="str">
        <f>IF('1. XL-1E TT'!AJ6="","",'1. XL-1E TT'!AJ6)</f>
        <v/>
      </c>
      <c r="AB6" s="1845" t="s">
        <v>9</v>
      </c>
      <c r="AC6" s="2540">
        <f>XM.HN!E3</f>
        <v>0</v>
      </c>
      <c r="AD6" s="1840">
        <f>AC6*4</f>
        <v>0</v>
      </c>
      <c r="AE6" s="2489">
        <f>($G$6-AD6)*2693/1000</f>
        <v>80.790000000000006</v>
      </c>
      <c r="AF6" s="1842" t="s">
        <v>8</v>
      </c>
      <c r="AG6" s="1843">
        <f>IF(AD6=0,0,IF(AE6&lt;0,0,AE6))</f>
        <v>0</v>
      </c>
      <c r="AH6" s="2048" t="str">
        <f>IF('1. XL-1E TT(CA2)'!AB6="","",'1. XL-1E TT(CA2)'!AB6)</f>
        <v/>
      </c>
      <c r="AI6" s="1845" t="s">
        <v>9</v>
      </c>
      <c r="AJ6" s="2540">
        <f>XM.HN!F3</f>
        <v>5.5</v>
      </c>
      <c r="AK6" s="1840">
        <f>AJ6*4</f>
        <v>22</v>
      </c>
      <c r="AL6" s="2489">
        <f>($G$6-AK6)*2693/1000</f>
        <v>21.544</v>
      </c>
      <c r="AM6" s="1842" t="s">
        <v>8</v>
      </c>
      <c r="AN6" s="1843">
        <f>IF(AK6=0,0,IF(AL6&lt;0,0,AL6))</f>
        <v>21.544</v>
      </c>
      <c r="AO6" s="2048" t="str">
        <f>IF('1. XL-1E TT(CA2)'!AF6="","",'1. XL-1E TT(CA2)'!AF6)</f>
        <v>có</v>
      </c>
      <c r="AP6" s="1845" t="s">
        <v>9</v>
      </c>
      <c r="AQ6" s="2540">
        <f>XM.HN!G3</f>
        <v>7.3</v>
      </c>
      <c r="AR6" s="1840">
        <f>AQ6*4</f>
        <v>29.2</v>
      </c>
      <c r="AS6" s="2489">
        <f>($G$6-AR6)*2693/1000</f>
        <v>2.1544000000000021</v>
      </c>
      <c r="AT6" s="1842" t="s">
        <v>8</v>
      </c>
      <c r="AU6" s="1843">
        <f>IF(AR6=0,0,IF(AS6&lt;0,0,AS6))</f>
        <v>2.1544000000000021</v>
      </c>
      <c r="AV6" s="2048" t="str">
        <f>IF('1. XL-1E TT(CA2)'!AJ6="","",'1. XL-1E TT(CA2)'!AJ6)</f>
        <v/>
      </c>
      <c r="AW6" s="1845" t="s">
        <v>9</v>
      </c>
      <c r="AY6" s="3240" t="s">
        <v>1540</v>
      </c>
    </row>
    <row r="7" spans="1:51" ht="37.5" customHeight="1">
      <c r="A7" s="1846"/>
      <c r="B7" s="1847"/>
      <c r="C7" s="1848" t="s">
        <v>101</v>
      </c>
      <c r="D7" s="1849"/>
      <c r="E7" s="1885" t="s">
        <v>102</v>
      </c>
      <c r="F7" s="1891"/>
      <c r="G7" s="2616"/>
      <c r="H7" s="2617"/>
      <c r="I7" s="1881"/>
      <c r="J7" s="2490"/>
      <c r="K7" s="1854" t="s">
        <v>8</v>
      </c>
      <c r="L7" s="1868">
        <f>L6/25*840/1000</f>
        <v>0</v>
      </c>
      <c r="M7" s="2049" t="str">
        <f>IF('1. XL-1E TT'!AB7="","",'1. XL-1E TT'!AB7)</f>
        <v/>
      </c>
      <c r="N7" s="1856" t="s">
        <v>10</v>
      </c>
      <c r="O7" s="2541"/>
      <c r="P7" s="1881"/>
      <c r="Q7" s="2490"/>
      <c r="R7" s="1854" t="s">
        <v>8</v>
      </c>
      <c r="S7" s="1868">
        <f>S6/25*840/1000</f>
        <v>0</v>
      </c>
      <c r="T7" s="2049" t="str">
        <f>IF('1. XL-1E TT'!AF7="","",'1. XL-1E TT'!AF7)</f>
        <v/>
      </c>
      <c r="U7" s="1856" t="s">
        <v>10</v>
      </c>
      <c r="V7" s="2541"/>
      <c r="W7" s="1881"/>
      <c r="X7" s="2490"/>
      <c r="Y7" s="1854" t="s">
        <v>8</v>
      </c>
      <c r="Z7" s="1868">
        <f>Z6/25*840/1000</f>
        <v>0</v>
      </c>
      <c r="AA7" s="2049" t="str">
        <f>IF('1. XL-1E TT'!AJ7="","",'1. XL-1E TT'!AJ7)</f>
        <v/>
      </c>
      <c r="AB7" s="1856" t="s">
        <v>10</v>
      </c>
      <c r="AC7" s="2541"/>
      <c r="AD7" s="1881"/>
      <c r="AE7" s="2490"/>
      <c r="AF7" s="1854" t="s">
        <v>8</v>
      </c>
      <c r="AG7" s="1868">
        <f>AG6/25*840/1000</f>
        <v>0</v>
      </c>
      <c r="AH7" s="2049" t="str">
        <f>IF('1. XL-1E TT(CA2)'!AB7="","",'1. XL-1E TT(CA2)'!AB7)</f>
        <v/>
      </c>
      <c r="AI7" s="1856" t="s">
        <v>10</v>
      </c>
      <c r="AJ7" s="2541"/>
      <c r="AK7" s="1881"/>
      <c r="AL7" s="2490"/>
      <c r="AM7" s="1854" t="s">
        <v>8</v>
      </c>
      <c r="AN7" s="1868">
        <f>AN6/25*840/1000</f>
        <v>0.72387839999999992</v>
      </c>
      <c r="AO7" s="2049" t="str">
        <f>IF('1. XL-1E TT(CA2)'!AF7="","",'1. XL-1E TT(CA2)'!AF7)</f>
        <v/>
      </c>
      <c r="AP7" s="1856" t="s">
        <v>10</v>
      </c>
      <c r="AQ7" s="2541"/>
      <c r="AR7" s="1881"/>
      <c r="AS7" s="2490"/>
      <c r="AT7" s="1854" t="s">
        <v>8</v>
      </c>
      <c r="AU7" s="1868">
        <f>AU6/25*840/1000</f>
        <v>7.2387840000000064E-2</v>
      </c>
      <c r="AV7" s="2049" t="str">
        <f>IF('1. XL-1E TT(CA2)'!AJ7="","",'1. XL-1E TT(CA2)'!AJ7)</f>
        <v/>
      </c>
      <c r="AW7" s="1856" t="s">
        <v>10</v>
      </c>
      <c r="AY7" s="3241"/>
    </row>
    <row r="8" spans="1:51" ht="37.5" customHeight="1">
      <c r="A8" s="1857"/>
      <c r="B8" s="1858"/>
      <c r="C8" s="1859" t="s">
        <v>103</v>
      </c>
      <c r="D8" s="1860"/>
      <c r="E8" s="1886" t="s">
        <v>102</v>
      </c>
      <c r="F8" s="1892"/>
      <c r="G8" s="2618"/>
      <c r="H8" s="2578"/>
      <c r="I8" s="1882"/>
      <c r="J8" s="2491"/>
      <c r="K8" s="1854" t="s">
        <v>8</v>
      </c>
      <c r="L8" s="1869">
        <f>L7*10</f>
        <v>0</v>
      </c>
      <c r="M8" s="2050" t="str">
        <f>IF('1. XL-1E TT'!AB8="","",'1. XL-1E TT'!AB8)</f>
        <v/>
      </c>
      <c r="N8" s="1867" t="s">
        <v>10</v>
      </c>
      <c r="O8" s="2542"/>
      <c r="P8" s="1882"/>
      <c r="Q8" s="2491"/>
      <c r="R8" s="1854" t="s">
        <v>8</v>
      </c>
      <c r="S8" s="1869">
        <f>S7*10</f>
        <v>0</v>
      </c>
      <c r="T8" s="2050" t="str">
        <f>IF('1. XL-1E TT'!AF8="","",'1. XL-1E TT'!AF8)</f>
        <v/>
      </c>
      <c r="U8" s="1867" t="s">
        <v>10</v>
      </c>
      <c r="V8" s="2542"/>
      <c r="W8" s="1882"/>
      <c r="X8" s="2491"/>
      <c r="Y8" s="1854" t="s">
        <v>8</v>
      </c>
      <c r="Z8" s="1869">
        <f>Z7*10</f>
        <v>0</v>
      </c>
      <c r="AA8" s="2050" t="str">
        <f>IF('1. XL-1E TT'!AJ8="","",'1. XL-1E TT'!AJ8)</f>
        <v/>
      </c>
      <c r="AB8" s="1867" t="s">
        <v>10</v>
      </c>
      <c r="AC8" s="2542"/>
      <c r="AD8" s="1882"/>
      <c r="AE8" s="2491"/>
      <c r="AF8" s="1854" t="s">
        <v>8</v>
      </c>
      <c r="AG8" s="1869">
        <f>AG7*10</f>
        <v>0</v>
      </c>
      <c r="AH8" s="2050" t="str">
        <f>IF('1. XL-1E TT(CA2)'!AB8="","",'1. XL-1E TT(CA2)'!AB8)</f>
        <v/>
      </c>
      <c r="AI8" s="1867" t="s">
        <v>10</v>
      </c>
      <c r="AJ8" s="2542"/>
      <c r="AK8" s="1882"/>
      <c r="AL8" s="2491"/>
      <c r="AM8" s="1854" t="s">
        <v>8</v>
      </c>
      <c r="AN8" s="1869">
        <f>AN7*10</f>
        <v>7.238783999999999</v>
      </c>
      <c r="AO8" s="2050" t="str">
        <f>IF('1. XL-1E TT(CA2)'!AF8="","",'1. XL-1E TT(CA2)'!AF8)</f>
        <v/>
      </c>
      <c r="AP8" s="1867" t="s">
        <v>10</v>
      </c>
      <c r="AQ8" s="2542"/>
      <c r="AR8" s="1882"/>
      <c r="AS8" s="2491"/>
      <c r="AT8" s="1854" t="s">
        <v>8</v>
      </c>
      <c r="AU8" s="1869">
        <f>AU7*10</f>
        <v>0.7238784000000007</v>
      </c>
      <c r="AV8" s="2050" t="str">
        <f>IF('1. XL-1E TT(CA2)'!AJ8="","",'1. XL-1E TT(CA2)'!AJ8)</f>
        <v/>
      </c>
      <c r="AW8" s="1867" t="s">
        <v>10</v>
      </c>
      <c r="AY8" s="3242"/>
    </row>
    <row r="9" spans="1:51" ht="37.5" customHeight="1">
      <c r="A9" s="1834" t="s">
        <v>240</v>
      </c>
      <c r="B9" s="1835" t="s">
        <v>215</v>
      </c>
      <c r="C9" s="1835" t="s">
        <v>78</v>
      </c>
      <c r="D9" s="1836" t="s">
        <v>4</v>
      </c>
      <c r="E9" s="1884" t="s">
        <v>1350</v>
      </c>
      <c r="F9" s="1890" t="s">
        <v>1328</v>
      </c>
      <c r="G9" s="2615">
        <v>30</v>
      </c>
      <c r="H9" s="2577">
        <f>XM.HN!B6</f>
        <v>0</v>
      </c>
      <c r="I9" s="1840">
        <f>H9*4</f>
        <v>0</v>
      </c>
      <c r="J9" s="2489">
        <f>($G$9-I9)*3305/1000</f>
        <v>99.15</v>
      </c>
      <c r="K9" s="1842" t="s">
        <v>8</v>
      </c>
      <c r="L9" s="1843">
        <f t="shared" ref="L9:L23" si="0">IF(I9=0,0,IF(J9&lt;0,0,J9))</f>
        <v>0</v>
      </c>
      <c r="M9" s="2048" t="str">
        <f>IF('1. XL-1E TT'!AB9="","",'1. XL-1E TT'!AB9)</f>
        <v/>
      </c>
      <c r="N9" s="1845" t="s">
        <v>9</v>
      </c>
      <c r="O9" s="2540">
        <f>XM.HN!C6</f>
        <v>0</v>
      </c>
      <c r="P9" s="1840">
        <f>O9*4</f>
        <v>0</v>
      </c>
      <c r="Q9" s="2489">
        <f>($G$9-P9)*3305/1000</f>
        <v>99.15</v>
      </c>
      <c r="R9" s="1842" t="s">
        <v>8</v>
      </c>
      <c r="S9" s="1843">
        <f t="shared" ref="S9:S23" si="1">IF(P9=0,0,IF(Q9&lt;0,0,Q9))</f>
        <v>0</v>
      </c>
      <c r="T9" s="2048" t="str">
        <f>IF('1. XL-1E TT'!AF9="","",'1. XL-1E TT'!AF9)</f>
        <v/>
      </c>
      <c r="U9" s="1845" t="s">
        <v>9</v>
      </c>
      <c r="V9" s="2540">
        <f>XM.HN!D6</f>
        <v>0</v>
      </c>
      <c r="W9" s="1840">
        <f>V9*4</f>
        <v>0</v>
      </c>
      <c r="X9" s="2489">
        <f>($G$9-W9)*3305/1000</f>
        <v>99.15</v>
      </c>
      <c r="Y9" s="1842" t="s">
        <v>8</v>
      </c>
      <c r="Z9" s="1843">
        <f t="shared" ref="Z9:Z23" si="2">IF(W9=0,0,IF(X9&lt;0,0,X9))</f>
        <v>0</v>
      </c>
      <c r="AA9" s="2048" t="str">
        <f>IF('1. XL-1E TT'!AJ9="","",'1. XL-1E TT'!AJ9)</f>
        <v/>
      </c>
      <c r="AB9" s="1845" t="s">
        <v>9</v>
      </c>
      <c r="AC9" s="2540">
        <f>XM.HN!E6</f>
        <v>0</v>
      </c>
      <c r="AD9" s="1840">
        <f>AC9*4</f>
        <v>0</v>
      </c>
      <c r="AE9" s="2489">
        <f>($G$9-AD9)*3305/1000</f>
        <v>99.15</v>
      </c>
      <c r="AF9" s="1842" t="s">
        <v>8</v>
      </c>
      <c r="AG9" s="1843">
        <f t="shared" ref="AG9:AG23" si="3">IF(AD9=0,0,IF(AE9&lt;0,0,AE9))</f>
        <v>0</v>
      </c>
      <c r="AH9" s="2048" t="str">
        <f>IF('1. XL-1E TT(CA2)'!AB9="","",'1. XL-1E TT(CA2)'!AB9)</f>
        <v/>
      </c>
      <c r="AI9" s="1845" t="s">
        <v>9</v>
      </c>
      <c r="AJ9" s="2540">
        <f>XM.HN!F6</f>
        <v>5.8</v>
      </c>
      <c r="AK9" s="1840">
        <f>AJ9*4</f>
        <v>23.2</v>
      </c>
      <c r="AL9" s="2489">
        <f>($G$9-AK9)*3305/1000</f>
        <v>22.474000000000004</v>
      </c>
      <c r="AM9" s="1842" t="s">
        <v>8</v>
      </c>
      <c r="AN9" s="1843">
        <f t="shared" ref="AN9:AN22" si="4">IF(AK9=0,0,IF(AL9&lt;0,0,AL9))</f>
        <v>22.474000000000004</v>
      </c>
      <c r="AO9" s="2048" t="str">
        <f>IF('1. XL-1E TT(CA2)'!AF9="","",'1. XL-1E TT(CA2)'!AF9)</f>
        <v>có</v>
      </c>
      <c r="AP9" s="1845" t="s">
        <v>9</v>
      </c>
      <c r="AQ9" s="2540">
        <f>XM.HN!G6</f>
        <v>7.2</v>
      </c>
      <c r="AR9" s="1840">
        <f>AQ9*4</f>
        <v>28.8</v>
      </c>
      <c r="AS9" s="2489">
        <f>($G$9-AR9)*3305/1000</f>
        <v>3.9659999999999975</v>
      </c>
      <c r="AT9" s="1842" t="s">
        <v>8</v>
      </c>
      <c r="AU9" s="1843">
        <f t="shared" ref="AU9:AU23" si="5">IF(AR9=0,0,IF(AS9&lt;0,0,AS9))</f>
        <v>3.9659999999999975</v>
      </c>
      <c r="AV9" s="2048" t="str">
        <f>IF('1. XL-1E TT(CA2)'!AJ9="","",'1. XL-1E TT(CA2)'!AJ9)</f>
        <v/>
      </c>
      <c r="AW9" s="1845" t="s">
        <v>9</v>
      </c>
      <c r="AY9" s="3240"/>
    </row>
    <row r="10" spans="1:51" ht="37.5" customHeight="1">
      <c r="A10" s="1846"/>
      <c r="B10" s="1847"/>
      <c r="C10" s="1848" t="s">
        <v>101</v>
      </c>
      <c r="D10" s="1849"/>
      <c r="E10" s="1885" t="s">
        <v>102</v>
      </c>
      <c r="F10" s="1891"/>
      <c r="G10" s="2616"/>
      <c r="H10" s="2617"/>
      <c r="I10" s="1881"/>
      <c r="J10" s="2490"/>
      <c r="K10" s="1854" t="s">
        <v>8</v>
      </c>
      <c r="L10" s="1868">
        <f>L9/25*840/1000</f>
        <v>0</v>
      </c>
      <c r="M10" s="2049" t="str">
        <f>IF('1. XL-1E TT'!AB10="","",'1. XL-1E TT'!AB10)</f>
        <v/>
      </c>
      <c r="N10" s="1856" t="s">
        <v>10</v>
      </c>
      <c r="O10" s="2541"/>
      <c r="P10" s="1881"/>
      <c r="Q10" s="2490"/>
      <c r="R10" s="1854" t="s">
        <v>8</v>
      </c>
      <c r="S10" s="1868">
        <f>S9/25*840/1000</f>
        <v>0</v>
      </c>
      <c r="T10" s="2049" t="str">
        <f>IF('1. XL-1E TT'!AF10="","",'1. XL-1E TT'!AF10)</f>
        <v/>
      </c>
      <c r="U10" s="1856" t="s">
        <v>10</v>
      </c>
      <c r="V10" s="2541"/>
      <c r="W10" s="1881"/>
      <c r="X10" s="2490"/>
      <c r="Y10" s="1854" t="s">
        <v>8</v>
      </c>
      <c r="Z10" s="1868">
        <f>Z9/25*840/1000</f>
        <v>0</v>
      </c>
      <c r="AA10" s="2049" t="str">
        <f>IF('1. XL-1E TT'!AJ10="","",'1. XL-1E TT'!AJ10)</f>
        <v/>
      </c>
      <c r="AB10" s="1856" t="s">
        <v>10</v>
      </c>
      <c r="AC10" s="2541"/>
      <c r="AD10" s="1881"/>
      <c r="AE10" s="2490"/>
      <c r="AF10" s="1854" t="s">
        <v>8</v>
      </c>
      <c r="AG10" s="1868">
        <f>AG9/25*840/1000</f>
        <v>0</v>
      </c>
      <c r="AH10" s="2049" t="str">
        <f>IF('1. XL-1E TT(CA2)'!AB10="","",'1. XL-1E TT(CA2)'!AB10)</f>
        <v/>
      </c>
      <c r="AI10" s="1856" t="s">
        <v>10</v>
      </c>
      <c r="AJ10" s="2541"/>
      <c r="AK10" s="1881"/>
      <c r="AL10" s="2490"/>
      <c r="AM10" s="1854" t="s">
        <v>8</v>
      </c>
      <c r="AN10" s="1868">
        <f>AN9/25*840/1000</f>
        <v>0.7551264000000002</v>
      </c>
      <c r="AO10" s="2049" t="str">
        <f>IF('1. XL-1E TT(CA2)'!AF10="","",'1. XL-1E TT(CA2)'!AF10)</f>
        <v/>
      </c>
      <c r="AP10" s="1856" t="s">
        <v>10</v>
      </c>
      <c r="AQ10" s="2541"/>
      <c r="AR10" s="1881"/>
      <c r="AS10" s="2490"/>
      <c r="AT10" s="1854" t="s">
        <v>8</v>
      </c>
      <c r="AU10" s="1868">
        <f>AU9/25*840/1000</f>
        <v>0.13325759999999992</v>
      </c>
      <c r="AV10" s="2049" t="str">
        <f>IF('1. XL-1E TT(CA2)'!AJ10="","",'1. XL-1E TT(CA2)'!AJ10)</f>
        <v/>
      </c>
      <c r="AW10" s="1856" t="s">
        <v>10</v>
      </c>
      <c r="AY10" s="3241"/>
    </row>
    <row r="11" spans="1:51" ht="37.5" customHeight="1">
      <c r="A11" s="1857"/>
      <c r="B11" s="1858"/>
      <c r="C11" s="1859" t="s">
        <v>103</v>
      </c>
      <c r="D11" s="1860"/>
      <c r="E11" s="1886" t="s">
        <v>102</v>
      </c>
      <c r="F11" s="1892"/>
      <c r="G11" s="2618"/>
      <c r="H11" s="2578"/>
      <c r="I11" s="1882"/>
      <c r="J11" s="2491"/>
      <c r="K11" s="1854" t="s">
        <v>8</v>
      </c>
      <c r="L11" s="1869">
        <f>L10*10</f>
        <v>0</v>
      </c>
      <c r="M11" s="2050" t="str">
        <f>IF('1. XL-1E TT'!AB11="","",'1. XL-1E TT'!AB11)</f>
        <v/>
      </c>
      <c r="N11" s="1867" t="s">
        <v>10</v>
      </c>
      <c r="O11" s="2542"/>
      <c r="P11" s="1882"/>
      <c r="Q11" s="2491"/>
      <c r="R11" s="1854" t="s">
        <v>8</v>
      </c>
      <c r="S11" s="1869">
        <f>S10*10</f>
        <v>0</v>
      </c>
      <c r="T11" s="2050" t="str">
        <f>IF('1. XL-1E TT'!AF11="","",'1. XL-1E TT'!AF11)</f>
        <v/>
      </c>
      <c r="U11" s="1867" t="s">
        <v>10</v>
      </c>
      <c r="V11" s="2542"/>
      <c r="W11" s="1882"/>
      <c r="X11" s="2491"/>
      <c r="Y11" s="1854" t="s">
        <v>8</v>
      </c>
      <c r="Z11" s="1869">
        <f>Z10*10</f>
        <v>0</v>
      </c>
      <c r="AA11" s="2050" t="str">
        <f>IF('1. XL-1E TT'!AJ11="","",'1. XL-1E TT'!AJ11)</f>
        <v/>
      </c>
      <c r="AB11" s="1867" t="s">
        <v>10</v>
      </c>
      <c r="AC11" s="2542"/>
      <c r="AD11" s="1882"/>
      <c r="AE11" s="2491"/>
      <c r="AF11" s="1854" t="s">
        <v>8</v>
      </c>
      <c r="AG11" s="1869">
        <f>AG10*10</f>
        <v>0</v>
      </c>
      <c r="AH11" s="2050" t="str">
        <f>IF('1. XL-1E TT(CA2)'!AB11="","",'1. XL-1E TT(CA2)'!AB11)</f>
        <v/>
      </c>
      <c r="AI11" s="1867" t="s">
        <v>10</v>
      </c>
      <c r="AJ11" s="2542"/>
      <c r="AK11" s="1882"/>
      <c r="AL11" s="2491"/>
      <c r="AM11" s="1854" t="s">
        <v>8</v>
      </c>
      <c r="AN11" s="1869">
        <f>AN10*10</f>
        <v>7.5512640000000015</v>
      </c>
      <c r="AO11" s="2050" t="str">
        <f>IF('1. XL-1E TT(CA2)'!AF11="","",'1. XL-1E TT(CA2)'!AF11)</f>
        <v/>
      </c>
      <c r="AP11" s="1867" t="s">
        <v>10</v>
      </c>
      <c r="AQ11" s="2542"/>
      <c r="AR11" s="1882"/>
      <c r="AS11" s="2491"/>
      <c r="AT11" s="1854" t="s">
        <v>8</v>
      </c>
      <c r="AU11" s="1869">
        <f>AU10*10</f>
        <v>1.3325759999999991</v>
      </c>
      <c r="AV11" s="2050" t="str">
        <f>IF('1. XL-1E TT(CA2)'!AJ11="","",'1. XL-1E TT(CA2)'!AJ11)</f>
        <v/>
      </c>
      <c r="AW11" s="1867" t="s">
        <v>10</v>
      </c>
      <c r="AY11" s="3242"/>
    </row>
    <row r="12" spans="1:51" ht="37.5" customHeight="1">
      <c r="A12" s="1834" t="s">
        <v>241</v>
      </c>
      <c r="B12" s="1835" t="s">
        <v>215</v>
      </c>
      <c r="C12" s="1835" t="s">
        <v>49</v>
      </c>
      <c r="D12" s="1836" t="s">
        <v>4</v>
      </c>
      <c r="E12" s="1884" t="s">
        <v>1337</v>
      </c>
      <c r="F12" s="1890" t="s">
        <v>1333</v>
      </c>
      <c r="G12" s="2615">
        <v>70</v>
      </c>
      <c r="H12" s="2577">
        <f>XM.HN!B9</f>
        <v>0</v>
      </c>
      <c r="I12" s="1870">
        <f>H12*4</f>
        <v>0</v>
      </c>
      <c r="J12" s="2489">
        <f>($G$12-I12)*1156/1000</f>
        <v>80.92</v>
      </c>
      <c r="K12" s="1842" t="s">
        <v>8</v>
      </c>
      <c r="L12" s="1843">
        <f t="shared" si="0"/>
        <v>0</v>
      </c>
      <c r="M12" s="2048" t="str">
        <f>IF('1. XL-1E TT'!AB12="","",'1. XL-1E TT'!AB12)</f>
        <v/>
      </c>
      <c r="N12" s="1845" t="s">
        <v>9</v>
      </c>
      <c r="O12" s="2540">
        <f>XM.HN!C9</f>
        <v>0</v>
      </c>
      <c r="P12" s="1870">
        <f>O12*4</f>
        <v>0</v>
      </c>
      <c r="Q12" s="2489">
        <f>($G$12-P12)*1156/1000</f>
        <v>80.92</v>
      </c>
      <c r="R12" s="1842" t="s">
        <v>8</v>
      </c>
      <c r="S12" s="1843">
        <f t="shared" si="1"/>
        <v>0</v>
      </c>
      <c r="T12" s="2048" t="str">
        <f>IF('1. XL-1E TT'!AF12="","",'1. XL-1E TT'!AF12)</f>
        <v/>
      </c>
      <c r="U12" s="1845" t="s">
        <v>9</v>
      </c>
      <c r="V12" s="2540">
        <f>XM.HN!D9</f>
        <v>0</v>
      </c>
      <c r="W12" s="1870">
        <f>V12*4</f>
        <v>0</v>
      </c>
      <c r="X12" s="2489">
        <f>($G$12-W12)*1156/1000</f>
        <v>80.92</v>
      </c>
      <c r="Y12" s="1842" t="s">
        <v>8</v>
      </c>
      <c r="Z12" s="1843">
        <f t="shared" si="2"/>
        <v>0</v>
      </c>
      <c r="AA12" s="2048" t="str">
        <f>IF('1. XL-1E TT'!AJ12="","",'1. XL-1E TT'!AJ12)</f>
        <v/>
      </c>
      <c r="AB12" s="1845" t="s">
        <v>9</v>
      </c>
      <c r="AC12" s="2540">
        <f>XM.HN!E9</f>
        <v>0</v>
      </c>
      <c r="AD12" s="1870">
        <f>AC12*4</f>
        <v>0</v>
      </c>
      <c r="AE12" s="2489">
        <f>($G$12-AD12)*1156/1000</f>
        <v>80.92</v>
      </c>
      <c r="AF12" s="1842" t="s">
        <v>8</v>
      </c>
      <c r="AG12" s="1843">
        <f t="shared" si="3"/>
        <v>0</v>
      </c>
      <c r="AH12" s="2048" t="str">
        <f>IF('1. XL-1E TT(CA2)'!AB12="","",'1. XL-1E TT(CA2)'!AB12)</f>
        <v/>
      </c>
      <c r="AI12" s="1845" t="s">
        <v>9</v>
      </c>
      <c r="AJ12" s="2540">
        <f>XM.HN!F9</f>
        <v>17.600000000000001</v>
      </c>
      <c r="AK12" s="1870">
        <f>AJ12*4</f>
        <v>70.400000000000006</v>
      </c>
      <c r="AL12" s="2489">
        <f>($G$12-AK12)*1156/1000</f>
        <v>-0.46240000000000658</v>
      </c>
      <c r="AM12" s="1842" t="s">
        <v>8</v>
      </c>
      <c r="AN12" s="1843">
        <f t="shared" si="4"/>
        <v>0</v>
      </c>
      <c r="AO12" s="2048" t="str">
        <f>IF('1. XL-1E TT(CA2)'!AF12="","",'1. XL-1E TT(CA2)'!AF12)</f>
        <v/>
      </c>
      <c r="AP12" s="1845" t="s">
        <v>9</v>
      </c>
      <c r="AQ12" s="2540">
        <f>XM.HN!G9</f>
        <v>17.8</v>
      </c>
      <c r="AR12" s="1870">
        <f>AQ12*4</f>
        <v>71.2</v>
      </c>
      <c r="AS12" s="2489">
        <f>($G$12-AR12)*1156/1000</f>
        <v>-1.3872000000000033</v>
      </c>
      <c r="AT12" s="1842" t="s">
        <v>8</v>
      </c>
      <c r="AU12" s="1843">
        <f t="shared" si="5"/>
        <v>0</v>
      </c>
      <c r="AV12" s="2048" t="str">
        <f>IF('1. XL-1E TT(CA2)'!AJ12="","",'1. XL-1E TT(CA2)'!AJ12)</f>
        <v/>
      </c>
      <c r="AW12" s="1845" t="s">
        <v>9</v>
      </c>
      <c r="AY12" s="3240"/>
    </row>
    <row r="13" spans="1:51" ht="37.5" customHeight="1">
      <c r="A13" s="1857"/>
      <c r="B13" s="1858"/>
      <c r="C13" s="1871" t="s">
        <v>104</v>
      </c>
      <c r="D13" s="1860"/>
      <c r="E13" s="1886" t="s">
        <v>102</v>
      </c>
      <c r="F13" s="1892"/>
      <c r="G13" s="2618"/>
      <c r="H13" s="2578"/>
      <c r="I13" s="1883"/>
      <c r="J13" s="2491"/>
      <c r="K13" s="1865" t="s">
        <v>8</v>
      </c>
      <c r="L13" s="1869">
        <f>L12/25*7.5</f>
        <v>0</v>
      </c>
      <c r="M13" s="2050" t="str">
        <f>IF('1. XL-1E TT'!AB13="","",'1. XL-1E TT'!AB13)</f>
        <v/>
      </c>
      <c r="N13" s="1867" t="s">
        <v>10</v>
      </c>
      <c r="O13" s="2542"/>
      <c r="P13" s="1883"/>
      <c r="Q13" s="2491"/>
      <c r="R13" s="1865" t="s">
        <v>8</v>
      </c>
      <c r="S13" s="1869">
        <f>S12/25*7.5</f>
        <v>0</v>
      </c>
      <c r="T13" s="2050" t="str">
        <f>IF('1. XL-1E TT'!AF13="","",'1. XL-1E TT'!AF13)</f>
        <v/>
      </c>
      <c r="U13" s="1867" t="s">
        <v>10</v>
      </c>
      <c r="V13" s="2542"/>
      <c r="W13" s="1883"/>
      <c r="X13" s="2491"/>
      <c r="Y13" s="1865" t="s">
        <v>8</v>
      </c>
      <c r="Z13" s="1869">
        <f>Z12/25*7.5</f>
        <v>0</v>
      </c>
      <c r="AA13" s="2050" t="str">
        <f>IF('1. XL-1E TT'!AJ13="","",'1. XL-1E TT'!AJ13)</f>
        <v/>
      </c>
      <c r="AB13" s="1867" t="s">
        <v>10</v>
      </c>
      <c r="AC13" s="2542"/>
      <c r="AD13" s="1883"/>
      <c r="AE13" s="2491"/>
      <c r="AF13" s="1865" t="s">
        <v>8</v>
      </c>
      <c r="AG13" s="1869">
        <f>AG12/25*7.5</f>
        <v>0</v>
      </c>
      <c r="AH13" s="2050" t="str">
        <f>IF('1. XL-1E TT(CA2)'!AB13="","",'1. XL-1E TT(CA2)'!AB13)</f>
        <v/>
      </c>
      <c r="AI13" s="1867" t="s">
        <v>10</v>
      </c>
      <c r="AJ13" s="2542"/>
      <c r="AK13" s="1883"/>
      <c r="AL13" s="2491"/>
      <c r="AM13" s="1865" t="s">
        <v>8</v>
      </c>
      <c r="AN13" s="1869">
        <f>AN12/25*7.5</f>
        <v>0</v>
      </c>
      <c r="AO13" s="2050" t="str">
        <f>IF('1. XL-1E TT(CA2)'!AF13="","",'1. XL-1E TT(CA2)'!AF13)</f>
        <v/>
      </c>
      <c r="AP13" s="1867" t="s">
        <v>10</v>
      </c>
      <c r="AQ13" s="2542"/>
      <c r="AR13" s="1883"/>
      <c r="AS13" s="2491"/>
      <c r="AT13" s="1865" t="s">
        <v>8</v>
      </c>
      <c r="AU13" s="1869">
        <f>AU12/25*7.5</f>
        <v>0</v>
      </c>
      <c r="AV13" s="2050" t="str">
        <f>IF('1. XL-1E TT(CA2)'!AJ13="","",'1. XL-1E TT(CA2)'!AJ13)</f>
        <v/>
      </c>
      <c r="AW13" s="1867" t="s">
        <v>10</v>
      </c>
      <c r="AY13" s="3241"/>
    </row>
    <row r="14" spans="1:51" ht="37.5" customHeight="1">
      <c r="A14" s="1834" t="s">
        <v>242</v>
      </c>
      <c r="B14" s="1835" t="s">
        <v>215</v>
      </c>
      <c r="C14" s="1835" t="s">
        <v>50</v>
      </c>
      <c r="D14" s="1836" t="s">
        <v>4</v>
      </c>
      <c r="E14" s="1884" t="s">
        <v>1337</v>
      </c>
      <c r="F14" s="1890" t="s">
        <v>1333</v>
      </c>
      <c r="G14" s="2615">
        <v>70</v>
      </c>
      <c r="H14" s="2577">
        <f>XM.HN!B11</f>
        <v>0</v>
      </c>
      <c r="I14" s="1870">
        <f>H14*4</f>
        <v>0</v>
      </c>
      <c r="J14" s="2489">
        <f>($G$14-I14)*1459/1000</f>
        <v>102.13</v>
      </c>
      <c r="K14" s="1842" t="s">
        <v>8</v>
      </c>
      <c r="L14" s="1843">
        <f t="shared" si="0"/>
        <v>0</v>
      </c>
      <c r="M14" s="2048" t="str">
        <f>IF('1. XL-1E TT'!AB14="","",'1. XL-1E TT'!AB14)</f>
        <v/>
      </c>
      <c r="N14" s="1845" t="s">
        <v>9</v>
      </c>
      <c r="O14" s="2540">
        <f>XM.HN!C11</f>
        <v>0</v>
      </c>
      <c r="P14" s="1870">
        <f>O14*4</f>
        <v>0</v>
      </c>
      <c r="Q14" s="2489">
        <f>($G$14-P14)*1459/1000</f>
        <v>102.13</v>
      </c>
      <c r="R14" s="1842" t="s">
        <v>8</v>
      </c>
      <c r="S14" s="1843">
        <f t="shared" si="1"/>
        <v>0</v>
      </c>
      <c r="T14" s="2048" t="str">
        <f>IF('1. XL-1E TT'!AF14="","",'1. XL-1E TT'!AF14)</f>
        <v/>
      </c>
      <c r="U14" s="1845" t="s">
        <v>9</v>
      </c>
      <c r="V14" s="2540">
        <f>XM.HN!D11</f>
        <v>0</v>
      </c>
      <c r="W14" s="1870">
        <f>V14*4</f>
        <v>0</v>
      </c>
      <c r="X14" s="2489">
        <f>($G$14-W14)*1459/1000</f>
        <v>102.13</v>
      </c>
      <c r="Y14" s="1842" t="s">
        <v>8</v>
      </c>
      <c r="Z14" s="1843">
        <f t="shared" si="2"/>
        <v>0</v>
      </c>
      <c r="AA14" s="2048" t="str">
        <f>IF('1. XL-1E TT'!AJ14="","",'1. XL-1E TT'!AJ14)</f>
        <v/>
      </c>
      <c r="AB14" s="1845" t="s">
        <v>9</v>
      </c>
      <c r="AC14" s="2540">
        <f>XM.HN!E11</f>
        <v>0</v>
      </c>
      <c r="AD14" s="1870">
        <f>AC14*4</f>
        <v>0</v>
      </c>
      <c r="AE14" s="2489">
        <f>($G$14-AD14)*1459/1000</f>
        <v>102.13</v>
      </c>
      <c r="AF14" s="1842" t="s">
        <v>8</v>
      </c>
      <c r="AG14" s="1843">
        <f t="shared" si="3"/>
        <v>0</v>
      </c>
      <c r="AH14" s="2048" t="str">
        <f>IF('1. XL-1E TT(CA2)'!AB14="","",'1. XL-1E TT(CA2)'!AB14)</f>
        <v/>
      </c>
      <c r="AI14" s="1845" t="s">
        <v>9</v>
      </c>
      <c r="AJ14" s="2540">
        <f>XM.HN!F11</f>
        <v>18.5</v>
      </c>
      <c r="AK14" s="1870">
        <f>AJ14*4</f>
        <v>74</v>
      </c>
      <c r="AL14" s="2489">
        <f>($G$14-AK14)*1459/1000</f>
        <v>-5.8360000000000003</v>
      </c>
      <c r="AM14" s="1842" t="s">
        <v>8</v>
      </c>
      <c r="AN14" s="1843">
        <f t="shared" si="4"/>
        <v>0</v>
      </c>
      <c r="AO14" s="2048" t="str">
        <f>IF('1. XL-1E TT(CA2)'!AF14="","",'1. XL-1E TT(CA2)'!AF14)</f>
        <v/>
      </c>
      <c r="AP14" s="1845" t="s">
        <v>9</v>
      </c>
      <c r="AQ14" s="2540">
        <f>XM.HN!G11</f>
        <v>18.3</v>
      </c>
      <c r="AR14" s="1870">
        <f>AQ14*4</f>
        <v>73.2</v>
      </c>
      <c r="AS14" s="2489">
        <f>($G$14-AR14)*1459/1000</f>
        <v>-4.6688000000000036</v>
      </c>
      <c r="AT14" s="1842" t="s">
        <v>8</v>
      </c>
      <c r="AU14" s="1843">
        <f t="shared" si="5"/>
        <v>0</v>
      </c>
      <c r="AV14" s="2048" t="str">
        <f>IF('1. XL-1E TT(CA2)'!AJ14="","",'1. XL-1E TT(CA2)'!AJ14)</f>
        <v/>
      </c>
      <c r="AW14" s="1845" t="s">
        <v>9</v>
      </c>
      <c r="AY14" s="3240"/>
    </row>
    <row r="15" spans="1:51" ht="37.5" customHeight="1">
      <c r="A15" s="1857"/>
      <c r="B15" s="1858"/>
      <c r="C15" s="1871" t="s">
        <v>104</v>
      </c>
      <c r="D15" s="1860"/>
      <c r="E15" s="1886" t="s">
        <v>102</v>
      </c>
      <c r="F15" s="1892"/>
      <c r="G15" s="2618"/>
      <c r="H15" s="2578"/>
      <c r="I15" s="1882"/>
      <c r="J15" s="2491"/>
      <c r="K15" s="1865" t="s">
        <v>8</v>
      </c>
      <c r="L15" s="1869">
        <f>L14/25*7.5</f>
        <v>0</v>
      </c>
      <c r="M15" s="2050" t="str">
        <f>IF('1. XL-1E TT'!AB15="","",'1. XL-1E TT'!AB15)</f>
        <v/>
      </c>
      <c r="N15" s="1867" t="s">
        <v>10</v>
      </c>
      <c r="O15" s="2542"/>
      <c r="P15" s="1882"/>
      <c r="Q15" s="2491"/>
      <c r="R15" s="1865" t="s">
        <v>8</v>
      </c>
      <c r="S15" s="1869">
        <f>S14/25*7.5</f>
        <v>0</v>
      </c>
      <c r="T15" s="2050" t="str">
        <f>IF('1. XL-1E TT'!AF15="","",'1. XL-1E TT'!AF15)</f>
        <v/>
      </c>
      <c r="U15" s="1867" t="s">
        <v>10</v>
      </c>
      <c r="V15" s="2542"/>
      <c r="W15" s="1882"/>
      <c r="X15" s="2491"/>
      <c r="Y15" s="1865" t="s">
        <v>8</v>
      </c>
      <c r="Z15" s="1869">
        <f>Z14/25*7.5</f>
        <v>0</v>
      </c>
      <c r="AA15" s="2050" t="str">
        <f>IF('1. XL-1E TT'!AJ15="","",'1. XL-1E TT'!AJ15)</f>
        <v/>
      </c>
      <c r="AB15" s="1867" t="s">
        <v>10</v>
      </c>
      <c r="AC15" s="2542"/>
      <c r="AD15" s="1882"/>
      <c r="AE15" s="2491"/>
      <c r="AF15" s="1865" t="s">
        <v>8</v>
      </c>
      <c r="AG15" s="1869">
        <f>AG14/25*7.5</f>
        <v>0</v>
      </c>
      <c r="AH15" s="2050" t="str">
        <f>IF('1. XL-1E TT(CA2)'!AB15="","",'1. XL-1E TT(CA2)'!AB15)</f>
        <v/>
      </c>
      <c r="AI15" s="1867" t="s">
        <v>10</v>
      </c>
      <c r="AJ15" s="2542"/>
      <c r="AK15" s="1882"/>
      <c r="AL15" s="2491"/>
      <c r="AM15" s="1865" t="s">
        <v>8</v>
      </c>
      <c r="AN15" s="1869">
        <f>AN14/25*7.5</f>
        <v>0</v>
      </c>
      <c r="AO15" s="2050" t="str">
        <f>IF('1. XL-1E TT(CA2)'!AF15="","",'1. XL-1E TT(CA2)'!AF15)</f>
        <v/>
      </c>
      <c r="AP15" s="1867" t="s">
        <v>10</v>
      </c>
      <c r="AQ15" s="2542"/>
      <c r="AR15" s="1882"/>
      <c r="AS15" s="2491"/>
      <c r="AT15" s="1865" t="s">
        <v>8</v>
      </c>
      <c r="AU15" s="1869">
        <f>AU14/25*7.5</f>
        <v>0</v>
      </c>
      <c r="AV15" s="2050" t="str">
        <f>IF('1. XL-1E TT(CA2)'!AJ15="","",'1. XL-1E TT(CA2)'!AJ15)</f>
        <v/>
      </c>
      <c r="AW15" s="1867" t="s">
        <v>10</v>
      </c>
      <c r="AY15" s="3241"/>
    </row>
    <row r="16" spans="1:51" ht="40.5" customHeight="1">
      <c r="A16" s="1718" t="s">
        <v>243</v>
      </c>
      <c r="B16" s="1035" t="s">
        <v>215</v>
      </c>
      <c r="C16" s="1033" t="s">
        <v>56</v>
      </c>
      <c r="D16" s="1039" t="s">
        <v>4</v>
      </c>
      <c r="E16" s="14" t="s">
        <v>1338</v>
      </c>
      <c r="F16" s="1893" t="s">
        <v>1527</v>
      </c>
      <c r="G16" s="2619">
        <v>140</v>
      </c>
      <c r="H16" s="2543">
        <f>XM.HN!B13</f>
        <v>0</v>
      </c>
      <c r="I16" s="1762">
        <f>H16*8</f>
        <v>0</v>
      </c>
      <c r="J16" s="2656">
        <f>($G$16-I16)*19951/1000</f>
        <v>2793.14</v>
      </c>
      <c r="K16" s="1763" t="s">
        <v>8</v>
      </c>
      <c r="L16" s="1764">
        <f t="shared" si="0"/>
        <v>0</v>
      </c>
      <c r="M16" s="2051" t="str">
        <f>IF('1. XL-1E TT'!AB16="","",'1. XL-1E TT'!AB16)</f>
        <v/>
      </c>
      <c r="N16" s="1767" t="s">
        <v>9</v>
      </c>
      <c r="O16" s="2663">
        <f>XM.HN!C13</f>
        <v>0</v>
      </c>
      <c r="P16" s="1733">
        <f>O16*8</f>
        <v>0</v>
      </c>
      <c r="Q16" s="2656">
        <f>($G$16-P16)*19951/1000</f>
        <v>2793.14</v>
      </c>
      <c r="R16" s="1763" t="s">
        <v>8</v>
      </c>
      <c r="S16" s="1764">
        <f t="shared" si="1"/>
        <v>0</v>
      </c>
      <c r="T16" s="2051" t="str">
        <f>IF('1. XL-1E TT'!AF16="","",'1. XL-1E TT'!AF16)</f>
        <v/>
      </c>
      <c r="U16" s="1767" t="s">
        <v>9</v>
      </c>
      <c r="V16" s="2663">
        <f>XM.HN!D13</f>
        <v>0</v>
      </c>
      <c r="W16" s="1762">
        <f>V16*8</f>
        <v>0</v>
      </c>
      <c r="X16" s="2656">
        <f>($G$16-W16)*19951/1000</f>
        <v>2793.14</v>
      </c>
      <c r="Y16" s="1763" t="s">
        <v>8</v>
      </c>
      <c r="Z16" s="1764">
        <f t="shared" si="2"/>
        <v>0</v>
      </c>
      <c r="AA16" s="2051" t="str">
        <f>IF('1. XL-1E TT'!AJ16="","",'1. XL-1E TT'!AJ16)</f>
        <v/>
      </c>
      <c r="AB16" s="1767" t="s">
        <v>9</v>
      </c>
      <c r="AC16" s="2663">
        <f>XM.HN!E13</f>
        <v>0</v>
      </c>
      <c r="AD16" s="1762">
        <f>AC16*8</f>
        <v>0</v>
      </c>
      <c r="AE16" s="2656">
        <f>($G$16-AD16)*19951/1000</f>
        <v>2793.14</v>
      </c>
      <c r="AF16" s="1763" t="s">
        <v>8</v>
      </c>
      <c r="AG16" s="1764">
        <f t="shared" si="3"/>
        <v>0</v>
      </c>
      <c r="AH16" s="2051" t="str">
        <f>IF('1. XL-1E TT(CA2)'!AB16="","",'1. XL-1E TT(CA2)'!AB16)</f>
        <v/>
      </c>
      <c r="AI16" s="1767" t="s">
        <v>9</v>
      </c>
      <c r="AJ16" s="2663">
        <f>XM.HN!F13</f>
        <v>17.7</v>
      </c>
      <c r="AK16" s="1762">
        <f>AJ16*8</f>
        <v>141.6</v>
      </c>
      <c r="AL16" s="2656">
        <f>($G$16-AK16)*19951/1000</f>
        <v>-31.921599999999884</v>
      </c>
      <c r="AM16" s="1763" t="s">
        <v>8</v>
      </c>
      <c r="AN16" s="1764">
        <f t="shared" si="4"/>
        <v>0</v>
      </c>
      <c r="AO16" s="2051" t="str">
        <f>IF('1. XL-1E TT(CA2)'!AF16="","",'1. XL-1E TT(CA2)'!AF16)</f>
        <v/>
      </c>
      <c r="AP16" s="1767" t="s">
        <v>9</v>
      </c>
      <c r="AQ16" s="2663">
        <f>XM.HN!G13</f>
        <v>17.8</v>
      </c>
      <c r="AR16" s="1762">
        <f>AQ16*8</f>
        <v>142.4</v>
      </c>
      <c r="AS16" s="2656">
        <f>($G$16-AR16)*19951/1000</f>
        <v>-47.882400000000111</v>
      </c>
      <c r="AT16" s="1763" t="s">
        <v>8</v>
      </c>
      <c r="AU16" s="1764">
        <f t="shared" si="5"/>
        <v>0</v>
      </c>
      <c r="AV16" s="2051" t="str">
        <f>IF('1. XL-1E TT(CA2)'!AJ16="","",'1. XL-1E TT(CA2)'!AJ16)</f>
        <v/>
      </c>
      <c r="AW16" s="1767" t="s">
        <v>9</v>
      </c>
      <c r="AY16" s="2174"/>
    </row>
    <row r="17" spans="1:53" ht="40.5" customHeight="1">
      <c r="A17" s="1045" t="s">
        <v>244</v>
      </c>
      <c r="B17" s="1035" t="s">
        <v>215</v>
      </c>
      <c r="C17" s="1018" t="s">
        <v>57</v>
      </c>
      <c r="D17" s="1039" t="s">
        <v>4</v>
      </c>
      <c r="E17" s="2203" t="s">
        <v>1355</v>
      </c>
      <c r="F17" s="1894" t="s">
        <v>1526</v>
      </c>
      <c r="G17" s="2620">
        <v>10</v>
      </c>
      <c r="H17" s="2543">
        <f>XM.HN!B14</f>
        <v>0</v>
      </c>
      <c r="I17" s="1768">
        <f>H17*1.3</f>
        <v>0</v>
      </c>
      <c r="J17" s="2656">
        <f>($G$17-I17)*19951/1000</f>
        <v>199.51</v>
      </c>
      <c r="K17" s="1763" t="s">
        <v>8</v>
      </c>
      <c r="L17" s="1764">
        <f t="shared" si="0"/>
        <v>0</v>
      </c>
      <c r="M17" s="2051" t="str">
        <f>IF('1. XL-1E TT'!AB17="","",'1. XL-1E TT'!AB17)</f>
        <v/>
      </c>
      <c r="N17" s="1767" t="s">
        <v>9</v>
      </c>
      <c r="O17" s="2663">
        <f>XM.HN!C14</f>
        <v>0</v>
      </c>
      <c r="P17" s="1738">
        <f>O17*1.3</f>
        <v>0</v>
      </c>
      <c r="Q17" s="2656">
        <f>($G$17-P17)*19951/1000</f>
        <v>199.51</v>
      </c>
      <c r="R17" s="1763" t="s">
        <v>8</v>
      </c>
      <c r="S17" s="1764">
        <f t="shared" si="1"/>
        <v>0</v>
      </c>
      <c r="T17" s="2051" t="str">
        <f>IF('1. XL-1E TT'!AF17="","",'1. XL-1E TT'!AF17)</f>
        <v/>
      </c>
      <c r="U17" s="1767" t="s">
        <v>9</v>
      </c>
      <c r="V17" s="2663">
        <f>XM.HN!D14</f>
        <v>0</v>
      </c>
      <c r="W17" s="1768">
        <f>V17*1.3</f>
        <v>0</v>
      </c>
      <c r="X17" s="2656">
        <f>($G$17-W17)*19951/1000</f>
        <v>199.51</v>
      </c>
      <c r="Y17" s="1763" t="s">
        <v>8</v>
      </c>
      <c r="Z17" s="1764">
        <f t="shared" si="2"/>
        <v>0</v>
      </c>
      <c r="AA17" s="2051" t="str">
        <f>IF('1. XL-1E TT'!AJ17="","",'1. XL-1E TT'!AJ17)</f>
        <v/>
      </c>
      <c r="AB17" s="1767" t="s">
        <v>9</v>
      </c>
      <c r="AC17" s="2663">
        <f>XM.HN!E14</f>
        <v>0</v>
      </c>
      <c r="AD17" s="1768">
        <f>AC17*1.3</f>
        <v>0</v>
      </c>
      <c r="AE17" s="2656">
        <f>($G$17-AD17)*19951/1000</f>
        <v>199.51</v>
      </c>
      <c r="AF17" s="1763" t="s">
        <v>8</v>
      </c>
      <c r="AG17" s="1764">
        <f t="shared" si="3"/>
        <v>0</v>
      </c>
      <c r="AH17" s="2051" t="str">
        <f>IF('1. XL-1E TT(CA2)'!AB17="","",'1. XL-1E TT(CA2)'!AB17)</f>
        <v/>
      </c>
      <c r="AI17" s="1767" t="s">
        <v>9</v>
      </c>
      <c r="AJ17" s="2663">
        <f>XM.HN!F14</f>
        <v>8.9</v>
      </c>
      <c r="AK17" s="1768">
        <f>AJ17*1.3</f>
        <v>11.57</v>
      </c>
      <c r="AL17" s="2656">
        <f>($G$17-AK17)*19951/1000</f>
        <v>-31.323070000000008</v>
      </c>
      <c r="AM17" s="1763" t="s">
        <v>8</v>
      </c>
      <c r="AN17" s="1764">
        <f t="shared" si="4"/>
        <v>0</v>
      </c>
      <c r="AO17" s="2051" t="str">
        <f>IF('1. XL-1E TT(CA2)'!AF17="","",'1. XL-1E TT(CA2)'!AF17)</f>
        <v/>
      </c>
      <c r="AP17" s="1767" t="s">
        <v>9</v>
      </c>
      <c r="AQ17" s="2663">
        <f>XM.HN!G14</f>
        <v>8.8000000000000007</v>
      </c>
      <c r="AR17" s="1768">
        <f>AQ17*1.3</f>
        <v>11.440000000000001</v>
      </c>
      <c r="AS17" s="2656">
        <f>($G$17-AR17)*19951/1000</f>
        <v>-28.729440000000025</v>
      </c>
      <c r="AT17" s="1763" t="s">
        <v>8</v>
      </c>
      <c r="AU17" s="1764">
        <f t="shared" si="5"/>
        <v>0</v>
      </c>
      <c r="AV17" s="2051" t="str">
        <f>IF('1. XL-1E TT(CA2)'!AJ17="","",'1. XL-1E TT(CA2)'!AJ17)</f>
        <v/>
      </c>
      <c r="AW17" s="1767" t="s">
        <v>9</v>
      </c>
      <c r="AY17" s="2174"/>
    </row>
    <row r="18" spans="1:53" ht="40.5" customHeight="1">
      <c r="A18" s="1719" t="s">
        <v>250</v>
      </c>
      <c r="B18" s="1035" t="s">
        <v>215</v>
      </c>
      <c r="C18" s="1037" t="s">
        <v>978</v>
      </c>
      <c r="D18" s="1039" t="s">
        <v>3</v>
      </c>
      <c r="E18" s="13" t="s">
        <v>1339</v>
      </c>
      <c r="F18" s="1894" t="s">
        <v>1334</v>
      </c>
      <c r="G18" s="2620">
        <v>14</v>
      </c>
      <c r="H18" s="2543">
        <f>XM.HN!B15</f>
        <v>0</v>
      </c>
      <c r="I18" s="1738">
        <f>H18*100/6.95/10</f>
        <v>0</v>
      </c>
      <c r="J18" s="2656">
        <f>($G$18-I18)*575/100</f>
        <v>80.5</v>
      </c>
      <c r="K18" s="1763" t="s">
        <v>8</v>
      </c>
      <c r="L18" s="1764">
        <f t="shared" si="0"/>
        <v>0</v>
      </c>
      <c r="M18" s="2051" t="str">
        <f>IF('1. XL-1E TT'!AB18="","",'1. XL-1E TT'!AB18)</f>
        <v/>
      </c>
      <c r="N18" s="1766" t="s">
        <v>10</v>
      </c>
      <c r="O18" s="2664">
        <f>XM.HN!C15</f>
        <v>0</v>
      </c>
      <c r="P18" s="1738">
        <f>O18*100/6.95/10</f>
        <v>0</v>
      </c>
      <c r="Q18" s="2656">
        <f>($G$18-P18)*575/100</f>
        <v>80.5</v>
      </c>
      <c r="R18" s="1763" t="s">
        <v>8</v>
      </c>
      <c r="S18" s="1764">
        <f t="shared" si="1"/>
        <v>0</v>
      </c>
      <c r="T18" s="2051" t="str">
        <f>IF('1. XL-1E TT'!AF18="","",'1. XL-1E TT'!AF18)</f>
        <v/>
      </c>
      <c r="U18" s="1766" t="s">
        <v>10</v>
      </c>
      <c r="V18" s="2673">
        <f>XM.HN!D15</f>
        <v>0</v>
      </c>
      <c r="W18" s="1738">
        <f>V18*100/6.95/10</f>
        <v>0</v>
      </c>
      <c r="X18" s="2656">
        <f>($G$18-W18)*575/100</f>
        <v>80.5</v>
      </c>
      <c r="Y18" s="1763" t="s">
        <v>8</v>
      </c>
      <c r="Z18" s="1764">
        <f t="shared" si="2"/>
        <v>0</v>
      </c>
      <c r="AA18" s="2051" t="str">
        <f>IF('1. XL-1E TT'!AJ18="","",'1. XL-1E TT'!AJ18)</f>
        <v/>
      </c>
      <c r="AB18" s="1766" t="s">
        <v>10</v>
      </c>
      <c r="AC18" s="2681">
        <f>XM.HN!E15</f>
        <v>0</v>
      </c>
      <c r="AD18" s="1738">
        <f>AC18*100/6.95/10</f>
        <v>0</v>
      </c>
      <c r="AE18" s="2656">
        <f>($G$18-AD18)*575/100</f>
        <v>80.5</v>
      </c>
      <c r="AF18" s="1763" t="s">
        <v>8</v>
      </c>
      <c r="AG18" s="1764">
        <f t="shared" si="3"/>
        <v>0</v>
      </c>
      <c r="AH18" s="2051" t="str">
        <f>IF('1. XL-1E TT(CA2)'!AB18="","",'1. XL-1E TT(CA2)'!AB18)</f>
        <v/>
      </c>
      <c r="AI18" s="1766" t="s">
        <v>10</v>
      </c>
      <c r="AJ18" s="2673">
        <f>XM.HN!F15</f>
        <v>11.8</v>
      </c>
      <c r="AK18" s="1738">
        <f>AJ18*100/6.95/10</f>
        <v>16.978417266187048</v>
      </c>
      <c r="AL18" s="2656">
        <f>($G$18-AK18)*575/100</f>
        <v>-17.125899280575524</v>
      </c>
      <c r="AM18" s="1763" t="s">
        <v>8</v>
      </c>
      <c r="AN18" s="1764">
        <f t="shared" si="4"/>
        <v>0</v>
      </c>
      <c r="AO18" s="2051" t="str">
        <f>IF('1. XL-1E TT(CA2)'!AF18="","",'1. XL-1E TT(CA2)'!AF18)</f>
        <v/>
      </c>
      <c r="AP18" s="1766" t="s">
        <v>10</v>
      </c>
      <c r="AQ18" s="2673">
        <f>XM.HN!G15</f>
        <v>11.5</v>
      </c>
      <c r="AR18" s="1738">
        <f>AQ18*100/6.95/10</f>
        <v>16.546762589928058</v>
      </c>
      <c r="AS18" s="2656">
        <f>($G$18-AR18)*575/100</f>
        <v>-14.643884892086332</v>
      </c>
      <c r="AT18" s="1763" t="s">
        <v>8</v>
      </c>
      <c r="AU18" s="1764">
        <f t="shared" si="5"/>
        <v>0</v>
      </c>
      <c r="AV18" s="2051" t="str">
        <f>IF('1. XL-1E TT(CA2)'!AJ18="","",'1. XL-1E TT(CA2)'!AJ18)</f>
        <v/>
      </c>
      <c r="AW18" s="1766" t="s">
        <v>10</v>
      </c>
      <c r="AY18" s="2174"/>
    </row>
    <row r="19" spans="1:53" ht="40.5" customHeight="1">
      <c r="A19" s="1719" t="s">
        <v>252</v>
      </c>
      <c r="B19" s="1035" t="s">
        <v>215</v>
      </c>
      <c r="C19" s="2292" t="str">
        <f>MENU!U44</f>
        <v>Pha mới: 2024/05/22</v>
      </c>
      <c r="D19" s="1039" t="s">
        <v>5</v>
      </c>
      <c r="E19" s="14" t="s">
        <v>1313</v>
      </c>
      <c r="F19" s="1893" t="s">
        <v>1529</v>
      </c>
      <c r="G19" s="2621"/>
      <c r="H19" s="2543"/>
      <c r="I19" s="1768">
        <f>XM.HN!B23</f>
        <v>0</v>
      </c>
      <c r="J19" s="2657"/>
      <c r="K19" s="1770"/>
      <c r="L19" s="1764"/>
      <c r="M19" s="2051" t="str">
        <f>IF('1. XL-1E TT'!AB19="","",'1. XL-1E TT'!AB19)</f>
        <v/>
      </c>
      <c r="N19" s="1771"/>
      <c r="O19" s="2564"/>
      <c r="P19" s="1738">
        <f>XM.HN!C23</f>
        <v>0</v>
      </c>
      <c r="Q19" s="2657"/>
      <c r="R19" s="1770"/>
      <c r="S19" s="1764"/>
      <c r="T19" s="2051" t="str">
        <f>IF('1. XL-1E TT'!AF19="","",'1. XL-1E TT'!AF19)</f>
        <v/>
      </c>
      <c r="U19" s="1771"/>
      <c r="V19" s="2591"/>
      <c r="W19" s="1768">
        <f>XM.HN!D23</f>
        <v>0</v>
      </c>
      <c r="X19" s="2657"/>
      <c r="Y19" s="1770"/>
      <c r="Z19" s="1764"/>
      <c r="AA19" s="2051" t="str">
        <f>IF('1. XL-1E TT'!AJ19="","",'1. XL-1E TT'!AJ19)</f>
        <v/>
      </c>
      <c r="AB19" s="1771"/>
      <c r="AC19" s="2591"/>
      <c r="AD19" s="1768">
        <f>XM.HN!E23</f>
        <v>0</v>
      </c>
      <c r="AE19" s="2657"/>
      <c r="AF19" s="1770"/>
      <c r="AG19" s="1764"/>
      <c r="AH19" s="2051" t="str">
        <f>IF('1. XL-1E TT(CA2)'!AB19="","",'1. XL-1E TT(CA2)'!AB19)</f>
        <v/>
      </c>
      <c r="AI19" s="1771"/>
      <c r="AJ19" s="2663"/>
      <c r="AK19" s="1768">
        <f>XM.HN!F23</f>
        <v>1.48</v>
      </c>
      <c r="AL19" s="2657"/>
      <c r="AM19" s="1770"/>
      <c r="AN19" s="1764"/>
      <c r="AO19" s="2051" t="str">
        <f>IF('1. XL-1E TT(CA2)'!AF19="","",'1. XL-1E TT(CA2)'!AF19)</f>
        <v/>
      </c>
      <c r="AP19" s="1771"/>
      <c r="AQ19" s="2663"/>
      <c r="AR19" s="1768">
        <f>XM.HN!G23</f>
        <v>1.64</v>
      </c>
      <c r="AS19" s="2657"/>
      <c r="AT19" s="1770"/>
      <c r="AU19" s="1764"/>
      <c r="AV19" s="2051" t="str">
        <f>IF('1. XL-1E TT(CA2)'!AJ19="","",'1. XL-1E TT(CA2)'!AJ19)</f>
        <v/>
      </c>
      <c r="AW19" s="1771"/>
      <c r="AY19" s="2174"/>
    </row>
    <row r="20" spans="1:53" ht="40.5" customHeight="1">
      <c r="A20" s="1720" t="s">
        <v>245</v>
      </c>
      <c r="B20" s="1035" t="s">
        <v>215</v>
      </c>
      <c r="C20" s="1524" t="s">
        <v>58</v>
      </c>
      <c r="D20" s="1039" t="s">
        <v>6</v>
      </c>
      <c r="E20" s="13" t="s">
        <v>1543</v>
      </c>
      <c r="F20" s="2127" t="s">
        <v>1327</v>
      </c>
      <c r="G20" s="2622">
        <v>0.45</v>
      </c>
      <c r="H20" s="2543">
        <f>XM.HN!B17</f>
        <v>0</v>
      </c>
      <c r="I20" s="1754">
        <f>(1*H20*36.5)/(1*10)/32%/100</f>
        <v>0</v>
      </c>
      <c r="J20" s="2658">
        <f>($G$20-I20)*2122</f>
        <v>954.9</v>
      </c>
      <c r="K20" s="1773" t="s">
        <v>8</v>
      </c>
      <c r="L20" s="1764">
        <f t="shared" si="0"/>
        <v>0</v>
      </c>
      <c r="M20" s="2051" t="str">
        <f>IF('1. XL-1E TT'!AB20="","",'1. XL-1E TT'!AB20)</f>
        <v/>
      </c>
      <c r="N20" s="1765" t="s">
        <v>10</v>
      </c>
      <c r="O20" s="2665">
        <f>XM.HN!C17</f>
        <v>0</v>
      </c>
      <c r="P20" s="1754">
        <f>(1*O20*36.5)/(1*10)/32%/100</f>
        <v>0</v>
      </c>
      <c r="Q20" s="2658">
        <f>($G$20-P20)*2122</f>
        <v>954.9</v>
      </c>
      <c r="R20" s="1773" t="s">
        <v>8</v>
      </c>
      <c r="S20" s="1764">
        <f t="shared" si="1"/>
        <v>0</v>
      </c>
      <c r="T20" s="2051" t="str">
        <f>IF('1. XL-1E TT'!AF20="","",'1. XL-1E TT'!AF20)</f>
        <v/>
      </c>
      <c r="U20" s="1765" t="s">
        <v>10</v>
      </c>
      <c r="V20" s="2665">
        <f>XM.HN!D17</f>
        <v>0</v>
      </c>
      <c r="W20" s="1754">
        <f>(1*V20*36.5)/(1*10)/32%/100</f>
        <v>0</v>
      </c>
      <c r="X20" s="2658">
        <f>($G$20-W20)*2122</f>
        <v>954.9</v>
      </c>
      <c r="Y20" s="1773" t="s">
        <v>8</v>
      </c>
      <c r="Z20" s="1764">
        <f t="shared" si="2"/>
        <v>0</v>
      </c>
      <c r="AA20" s="2051" t="str">
        <f>IF('1. XL-1E TT'!AJ20="","",'1. XL-1E TT'!AJ20)</f>
        <v/>
      </c>
      <c r="AB20" s="1765" t="s">
        <v>10</v>
      </c>
      <c r="AC20" s="2665">
        <f>XM.HN!E17</f>
        <v>0</v>
      </c>
      <c r="AD20" s="1754">
        <f>(1*AC20*36.5)/(1*10)/32%/100</f>
        <v>0</v>
      </c>
      <c r="AE20" s="2658">
        <f>($G$20-AD20)*2122</f>
        <v>954.9</v>
      </c>
      <c r="AF20" s="1773" t="s">
        <v>8</v>
      </c>
      <c r="AG20" s="1764">
        <f t="shared" si="3"/>
        <v>0</v>
      </c>
      <c r="AH20" s="2051" t="str">
        <f>IF('1. XL-1E TT(CA2)'!AB20="","",'1. XL-1E TT(CA2)'!AB20)</f>
        <v/>
      </c>
      <c r="AI20" s="1765" t="s">
        <v>10</v>
      </c>
      <c r="AJ20" s="2663">
        <f>XM.HN!F17</f>
        <v>3.4</v>
      </c>
      <c r="AK20" s="1754">
        <f>(1*AJ20*36.5)/(1*10)/32%/100</f>
        <v>0.3878125</v>
      </c>
      <c r="AL20" s="2658">
        <f>($G$20-AK20)*2122</f>
        <v>131.96187500000002</v>
      </c>
      <c r="AM20" s="1773" t="s">
        <v>8</v>
      </c>
      <c r="AN20" s="1764">
        <f t="shared" si="4"/>
        <v>131.96187500000002</v>
      </c>
      <c r="AO20" s="2051" t="str">
        <f>IF('1. XL-1E TT(CA2)'!AF20="","",'1. XL-1E TT(CA2)'!AF20)</f>
        <v>có</v>
      </c>
      <c r="AP20" s="1765" t="s">
        <v>10</v>
      </c>
      <c r="AQ20" s="2663">
        <f>XM.HN!G17</f>
        <v>4</v>
      </c>
      <c r="AR20" s="1754">
        <f>(1*AQ20*36.5)/(1*10)/32%/100</f>
        <v>0.45624999999999999</v>
      </c>
      <c r="AS20" s="2658">
        <f>($G$20-AR20)*2122</f>
        <v>-13.262499999999953</v>
      </c>
      <c r="AT20" s="1773" t="s">
        <v>8</v>
      </c>
      <c r="AU20" s="1764">
        <f t="shared" si="5"/>
        <v>0</v>
      </c>
      <c r="AV20" s="2051" t="str">
        <f>IF('1. XL-1E TT(CA2)'!AJ20="","",'1. XL-1E TT(CA2)'!AJ20)</f>
        <v/>
      </c>
      <c r="AW20" s="1765" t="s">
        <v>10</v>
      </c>
      <c r="AY20" s="2174"/>
    </row>
    <row r="21" spans="1:53" ht="40.5" hidden="1" customHeight="1">
      <c r="A21" s="1720" t="s">
        <v>246</v>
      </c>
      <c r="B21" s="1035" t="s">
        <v>215</v>
      </c>
      <c r="C21" s="1033" t="s">
        <v>59</v>
      </c>
      <c r="D21" s="1039" t="s">
        <v>6</v>
      </c>
      <c r="E21" s="2204" t="s">
        <v>1545</v>
      </c>
      <c r="F21" s="2155" t="s">
        <v>1335</v>
      </c>
      <c r="G21" s="2622">
        <v>0.22</v>
      </c>
      <c r="H21" s="2543">
        <f>XM.HN!B18</f>
        <v>0</v>
      </c>
      <c r="I21" s="1772">
        <f>(1*H21*36.5)/(1*10)/32%/100</f>
        <v>0</v>
      </c>
      <c r="J21" s="2658">
        <f>($G$21-I21)*612</f>
        <v>134.64000000000001</v>
      </c>
      <c r="K21" s="1773" t="s">
        <v>8</v>
      </c>
      <c r="L21" s="1764">
        <f t="shared" si="0"/>
        <v>0</v>
      </c>
      <c r="M21" s="2051" t="str">
        <f>IF('1. XL-1E TT'!AB21="","",'1. XL-1E TT'!AB21)</f>
        <v/>
      </c>
      <c r="N21" s="1766" t="s">
        <v>10</v>
      </c>
      <c r="O21" s="2666">
        <f>XM.HN!C18</f>
        <v>0</v>
      </c>
      <c r="P21" s="1743">
        <f>(1*O21*36.5)/(1*10)/32%/100</f>
        <v>0</v>
      </c>
      <c r="Q21" s="2658">
        <f>($G$21-P21)*612</f>
        <v>134.64000000000001</v>
      </c>
      <c r="R21" s="1773" t="s">
        <v>8</v>
      </c>
      <c r="S21" s="1764">
        <f t="shared" si="1"/>
        <v>0</v>
      </c>
      <c r="T21" s="2051" t="str">
        <f>IF('1. XL-1E TT'!AF21="","",'1. XL-1E TT'!AF21)</f>
        <v/>
      </c>
      <c r="U21" s="1766" t="s">
        <v>10</v>
      </c>
      <c r="V21" s="2665">
        <f>XM.HN!D18</f>
        <v>0</v>
      </c>
      <c r="W21" s="1772">
        <f>(1*V21*36.5)/(1*10)/32%/100</f>
        <v>0</v>
      </c>
      <c r="X21" s="2658">
        <f>($G$21-W21)*612</f>
        <v>134.64000000000001</v>
      </c>
      <c r="Y21" s="1773" t="s">
        <v>8</v>
      </c>
      <c r="Z21" s="1764">
        <f t="shared" si="2"/>
        <v>0</v>
      </c>
      <c r="AA21" s="2051" t="str">
        <f>IF('1. XL-1E TT'!AJ21="","",'1. XL-1E TT'!AJ21)</f>
        <v/>
      </c>
      <c r="AB21" s="1766" t="s">
        <v>10</v>
      </c>
      <c r="AC21" s="2665">
        <f>XM.HN!E18</f>
        <v>0</v>
      </c>
      <c r="AD21" s="1772">
        <f>(1*AC21*36.5)/(1*10)/32%/100</f>
        <v>0</v>
      </c>
      <c r="AE21" s="2658">
        <f>($G$21-AD21)*612</f>
        <v>134.64000000000001</v>
      </c>
      <c r="AF21" s="1773" t="s">
        <v>8</v>
      </c>
      <c r="AG21" s="1764">
        <f t="shared" si="3"/>
        <v>0</v>
      </c>
      <c r="AH21" s="2051" t="str">
        <f>IF('1. XL-1E TT(CA2)'!AB21="","",'1. XL-1E TT(CA2)'!AB21)</f>
        <v/>
      </c>
      <c r="AI21" s="1766" t="s">
        <v>10</v>
      </c>
      <c r="AJ21" s="2665">
        <f>XM.HN!F18</f>
        <v>0</v>
      </c>
      <c r="AK21" s="1772">
        <f>(1*AJ21*36.5)/(1*10)/32%/100</f>
        <v>0</v>
      </c>
      <c r="AL21" s="2658">
        <f>($G$21-AK21)*612</f>
        <v>134.64000000000001</v>
      </c>
      <c r="AM21" s="1773" t="s">
        <v>8</v>
      </c>
      <c r="AN21" s="1764">
        <f t="shared" si="4"/>
        <v>0</v>
      </c>
      <c r="AO21" s="2051" t="str">
        <f>IF('1. XL-1E TT(CA2)'!AF21="","",'1. XL-1E TT(CA2)'!AF21)</f>
        <v/>
      </c>
      <c r="AP21" s="1766" t="s">
        <v>10</v>
      </c>
      <c r="AQ21" s="2665">
        <f>XM.HN!G18</f>
        <v>0</v>
      </c>
      <c r="AR21" s="1772">
        <f>(1*AQ21*36.5)/(1*10)/32%/100</f>
        <v>0</v>
      </c>
      <c r="AS21" s="2658">
        <f>($G$21-AR21)*612</f>
        <v>134.64000000000001</v>
      </c>
      <c r="AT21" s="1773" t="s">
        <v>8</v>
      </c>
      <c r="AU21" s="1764">
        <f t="shared" si="5"/>
        <v>0</v>
      </c>
      <c r="AV21" s="2051" t="str">
        <f>IF('1. XL-1E TT(CA2)'!AJ21="","",'1. XL-1E TT(CA2)'!AJ21)</f>
        <v/>
      </c>
      <c r="AW21" s="1766" t="s">
        <v>10</v>
      </c>
      <c r="AY21" s="2174"/>
    </row>
    <row r="22" spans="1:53" ht="40.5" hidden="1" customHeight="1">
      <c r="A22" s="1720" t="s">
        <v>247</v>
      </c>
      <c r="B22" s="1035" t="s">
        <v>215</v>
      </c>
      <c r="C22" s="1033" t="s">
        <v>60</v>
      </c>
      <c r="D22" s="45" t="s">
        <v>6</v>
      </c>
      <c r="E22" s="1336" t="s">
        <v>1340</v>
      </c>
      <c r="F22" s="2205" t="s">
        <v>1525</v>
      </c>
      <c r="G22" s="2622">
        <v>0.1</v>
      </c>
      <c r="H22" s="2543">
        <f>XM.HN!B19</f>
        <v>0</v>
      </c>
      <c r="I22" s="1772">
        <f>(1*H22*36.5)/(5*10)/32%/100</f>
        <v>0</v>
      </c>
      <c r="J22" s="2659">
        <f>($G$22-I22)*575</f>
        <v>57.5</v>
      </c>
      <c r="K22" s="1773" t="s">
        <v>8</v>
      </c>
      <c r="L22" s="1764">
        <f t="shared" si="0"/>
        <v>0</v>
      </c>
      <c r="M22" s="2051" t="str">
        <f>IF('1. XL-1E TT'!AB22="","",'1. XL-1E TT'!AB22)</f>
        <v/>
      </c>
      <c r="N22" s="1765" t="s">
        <v>10</v>
      </c>
      <c r="O22" s="2667">
        <f>XM.HN!C19</f>
        <v>0</v>
      </c>
      <c r="P22" s="1743">
        <f>(1*O22*36.5)/(5*10)/32%/100</f>
        <v>0</v>
      </c>
      <c r="Q22" s="2659">
        <f>($G$22-P22)*575</f>
        <v>57.5</v>
      </c>
      <c r="R22" s="1773" t="s">
        <v>8</v>
      </c>
      <c r="S22" s="1764">
        <f t="shared" si="1"/>
        <v>0</v>
      </c>
      <c r="T22" s="2051" t="str">
        <f>IF('1. XL-1E TT'!AF22="","",'1. XL-1E TT'!AF22)</f>
        <v/>
      </c>
      <c r="U22" s="1765" t="s">
        <v>10</v>
      </c>
      <c r="V22" s="2667">
        <f>XM.HN!D19</f>
        <v>0</v>
      </c>
      <c r="W22" s="1772">
        <f>(1*V22*36.5)/(5*10)/32%/100</f>
        <v>0</v>
      </c>
      <c r="X22" s="2659">
        <f>($G$22-W22)*575</f>
        <v>57.5</v>
      </c>
      <c r="Y22" s="1773" t="s">
        <v>8</v>
      </c>
      <c r="Z22" s="1764">
        <f t="shared" si="2"/>
        <v>0</v>
      </c>
      <c r="AA22" s="2051" t="str">
        <f>IF('1. XL-1E TT'!AJ22="","",'1. XL-1E TT'!AJ22)</f>
        <v/>
      </c>
      <c r="AB22" s="1765" t="s">
        <v>10</v>
      </c>
      <c r="AC22" s="2667">
        <f>XM.HN!E19</f>
        <v>0</v>
      </c>
      <c r="AD22" s="1772">
        <f>(1*AC22*36.5)/(5*10)/32%/100</f>
        <v>0</v>
      </c>
      <c r="AE22" s="2659">
        <f>($G$22-AD22)*575</f>
        <v>57.5</v>
      </c>
      <c r="AF22" s="1773" t="s">
        <v>8</v>
      </c>
      <c r="AG22" s="1764">
        <f t="shared" si="3"/>
        <v>0</v>
      </c>
      <c r="AH22" s="2051" t="str">
        <f>IF('1. XL-1E TT(CA2)'!AB22="","",'1. XL-1E TT(CA2)'!AB22)</f>
        <v/>
      </c>
      <c r="AI22" s="1765" t="s">
        <v>10</v>
      </c>
      <c r="AJ22" s="2667">
        <f>XM.HN!F19</f>
        <v>0</v>
      </c>
      <c r="AK22" s="1772">
        <f>(1*AJ22*36.5)/(5*10)/32%/100</f>
        <v>0</v>
      </c>
      <c r="AL22" s="2659">
        <f>($G$22-AK22)*575</f>
        <v>57.5</v>
      </c>
      <c r="AM22" s="1773" t="s">
        <v>8</v>
      </c>
      <c r="AN22" s="1764">
        <f t="shared" si="4"/>
        <v>0</v>
      </c>
      <c r="AO22" s="2051" t="str">
        <f>IF('1. XL-1E TT(CA2)'!AF22="","",'1. XL-1E TT(CA2)'!AF22)</f>
        <v/>
      </c>
      <c r="AP22" s="1765" t="s">
        <v>10</v>
      </c>
      <c r="AQ22" s="2667">
        <f>XM.HN!G19</f>
        <v>0</v>
      </c>
      <c r="AR22" s="1772">
        <f>(1*AQ22*36.5)/(5*10)/32%/100</f>
        <v>0</v>
      </c>
      <c r="AS22" s="2659">
        <f>($G$22-AR22)*575</f>
        <v>57.5</v>
      </c>
      <c r="AT22" s="1773" t="s">
        <v>8</v>
      </c>
      <c r="AU22" s="1764">
        <f t="shared" si="5"/>
        <v>0</v>
      </c>
      <c r="AV22" s="2051" t="str">
        <f>IF('1. XL-1E TT(CA2)'!AJ22="","",'1. XL-1E TT(CA2)'!AJ22)</f>
        <v/>
      </c>
      <c r="AW22" s="1765" t="s">
        <v>10</v>
      </c>
      <c r="AY22" s="2174"/>
    </row>
    <row r="23" spans="1:53" ht="40.5" customHeight="1">
      <c r="A23" s="1720" t="s">
        <v>248</v>
      </c>
      <c r="B23" s="1035" t="s">
        <v>215</v>
      </c>
      <c r="C23" s="1033" t="s">
        <v>146</v>
      </c>
      <c r="D23" s="1040" t="s">
        <v>992</v>
      </c>
      <c r="E23" s="2206" t="s">
        <v>1341</v>
      </c>
      <c r="F23" s="1903" t="s">
        <v>1538</v>
      </c>
      <c r="G23" s="2623">
        <v>0.01</v>
      </c>
      <c r="H23" s="2624">
        <f>XM.HN!B20</f>
        <v>0</v>
      </c>
      <c r="I23" s="1774">
        <f>(H23*0.126)/100</f>
        <v>0</v>
      </c>
      <c r="J23" s="2658">
        <f>($G$23-I23)*530/65%/1.51</f>
        <v>5.3998981151299033</v>
      </c>
      <c r="K23" s="1773" t="s">
        <v>8</v>
      </c>
      <c r="L23" s="1775">
        <f t="shared" si="0"/>
        <v>0</v>
      </c>
      <c r="M23" s="2052" t="str">
        <f>IF('1. XL-1E TT'!AB23="","",'1. XL-1E TT'!AB23)</f>
        <v/>
      </c>
      <c r="N23" s="1765" t="s">
        <v>10</v>
      </c>
      <c r="O23" s="2591">
        <f>XM.HN!C20</f>
        <v>0</v>
      </c>
      <c r="P23" s="1774">
        <f>(O23*0.126)/100</f>
        <v>0</v>
      </c>
      <c r="Q23" s="2658">
        <f>($G$23-P23)*530/65%/1.51</f>
        <v>5.3998981151299033</v>
      </c>
      <c r="R23" s="1773" t="s">
        <v>8</v>
      </c>
      <c r="S23" s="1775">
        <f t="shared" si="1"/>
        <v>0</v>
      </c>
      <c r="T23" s="2052" t="str">
        <f>IF('1. XL-1E TT'!AF23="","",'1. XL-1E TT'!AF23)</f>
        <v/>
      </c>
      <c r="U23" s="1765" t="s">
        <v>10</v>
      </c>
      <c r="V23" s="2665">
        <f>XM.HN!D20</f>
        <v>0</v>
      </c>
      <c r="W23" s="1774">
        <f>(V23*0.126)/100</f>
        <v>0</v>
      </c>
      <c r="X23" s="2658">
        <f>($G$23-W23)*530/65%/1.51</f>
        <v>5.3998981151299033</v>
      </c>
      <c r="Y23" s="1773" t="s">
        <v>8</v>
      </c>
      <c r="Z23" s="1775">
        <f t="shared" si="2"/>
        <v>0</v>
      </c>
      <c r="AA23" s="2052" t="str">
        <f>IF('1. XL-1E TT'!AJ23="","",'1. XL-1E TT'!AJ23)</f>
        <v/>
      </c>
      <c r="AB23" s="1765" t="s">
        <v>10</v>
      </c>
      <c r="AC23" s="2665">
        <f>XM.HN!E20</f>
        <v>0</v>
      </c>
      <c r="AD23" s="1774">
        <f>(AC23*0.126)/100</f>
        <v>0</v>
      </c>
      <c r="AE23" s="2658">
        <f>($G$23-AD23)*530/65%/1.51</f>
        <v>5.3998981151299033</v>
      </c>
      <c r="AF23" s="1773" t="s">
        <v>8</v>
      </c>
      <c r="AG23" s="1775">
        <f t="shared" si="3"/>
        <v>0</v>
      </c>
      <c r="AH23" s="2052" t="str">
        <f>IF('1. XL-1E TT(CA2)'!AB23="","",'1. XL-1E TT(CA2)'!AB23)</f>
        <v/>
      </c>
      <c r="AI23" s="1765" t="s">
        <v>10</v>
      </c>
      <c r="AJ23" s="2663">
        <f>XM.HN!F20</f>
        <v>0</v>
      </c>
      <c r="AK23" s="1774" t="s">
        <v>1679</v>
      </c>
      <c r="AL23" s="2658" t="e">
        <f>($G$23-AK23)*530/65%/1.51</f>
        <v>#VALUE!</v>
      </c>
      <c r="AM23" s="1773" t="s">
        <v>8</v>
      </c>
      <c r="AN23" s="1775"/>
      <c r="AO23" s="2052" t="str">
        <f>IF('1. XL-1E TT(CA2)'!AF23="","",'1. XL-1E TT(CA2)'!AF23)</f>
        <v/>
      </c>
      <c r="AP23" s="1765" t="s">
        <v>10</v>
      </c>
      <c r="AQ23" s="2663">
        <f>XM.HN!G20</f>
        <v>8.1999999999999993</v>
      </c>
      <c r="AR23" s="1774">
        <f>(AQ23*0.126)/100</f>
        <v>1.0331999999999999E-2</v>
      </c>
      <c r="AS23" s="2658">
        <f>($G$23-AR23)*530/65%/1.51</f>
        <v>-0.17927661742231221</v>
      </c>
      <c r="AT23" s="1773" t="s">
        <v>8</v>
      </c>
      <c r="AU23" s="1775">
        <f t="shared" si="5"/>
        <v>0</v>
      </c>
      <c r="AV23" s="2052" t="str">
        <f>IF('1. XL-1E TT(CA2)'!AJ23="","",'1. XL-1E TT(CA2)'!AJ23)</f>
        <v/>
      </c>
      <c r="AW23" s="1765" t="s">
        <v>10</v>
      </c>
      <c r="AY23" s="2254" t="s">
        <v>1539</v>
      </c>
    </row>
    <row r="24" spans="1:53" ht="40.5" customHeight="1">
      <c r="A24" s="1719" t="s">
        <v>249</v>
      </c>
      <c r="B24" s="1035" t="s">
        <v>215</v>
      </c>
      <c r="C24" s="2249" t="s">
        <v>1550</v>
      </c>
      <c r="D24" s="45" t="s">
        <v>3</v>
      </c>
      <c r="E24" s="1887" t="s">
        <v>1354</v>
      </c>
      <c r="F24" s="1893" t="s">
        <v>1336</v>
      </c>
      <c r="G24" s="2625">
        <v>7.5</v>
      </c>
      <c r="H24" s="2543">
        <f>XM.HN!B21</f>
        <v>0</v>
      </c>
      <c r="I24" s="1840" t="str">
        <f>IF(XM.HN!B21="","",(H24*(0.1*100)/(5*3.12)))</f>
        <v/>
      </c>
      <c r="J24" s="2496" t="e">
        <f>($G$24-I24)*575/95</f>
        <v>#VALUE!</v>
      </c>
      <c r="K24" s="1745" t="s">
        <v>8</v>
      </c>
      <c r="L24" s="1873" t="str">
        <f>IF(I24="","",(IF(J24&lt;0,0,J24)))</f>
        <v/>
      </c>
      <c r="M24" s="2193" t="str">
        <f>IF('1. XL-1E TT'!AB24="","",'1. XL-1E TT'!AB24)</f>
        <v/>
      </c>
      <c r="N24" s="1766" t="s">
        <v>10</v>
      </c>
      <c r="O24" s="2546">
        <f>XM.HN!C21</f>
        <v>0</v>
      </c>
      <c r="P24" s="1840" t="str">
        <f>IF(XM.HN!C21="","",(O24*(0.1*100)/(5*3.12)))</f>
        <v/>
      </c>
      <c r="Q24" s="2496" t="e">
        <f>($G$24-P24)*575/95</f>
        <v>#VALUE!</v>
      </c>
      <c r="R24" s="1745" t="s">
        <v>8</v>
      </c>
      <c r="S24" s="1873" t="str">
        <f>IF(P24="","",(IF(Q24&lt;0,0,Q24)))</f>
        <v/>
      </c>
      <c r="T24" s="2193" t="str">
        <f>IF('1. XL-1E TT'!AF24="","",'1. XL-1E TT'!AF24)</f>
        <v/>
      </c>
      <c r="U24" s="1766" t="s">
        <v>10</v>
      </c>
      <c r="V24" s="2546">
        <f>XM.HN!D21</f>
        <v>0</v>
      </c>
      <c r="W24" s="1840" t="str">
        <f>IF(XM.HN!D21="","",(V24*(0.1*100)/(5*3.12)))</f>
        <v/>
      </c>
      <c r="X24" s="2496" t="e">
        <f>($G$24-W24)*575/95</f>
        <v>#VALUE!</v>
      </c>
      <c r="Y24" s="1745" t="s">
        <v>8</v>
      </c>
      <c r="Z24" s="1873" t="str">
        <f>IF(W24="","",(IF(X24&lt;0,0,X24)))</f>
        <v/>
      </c>
      <c r="AA24" s="2193" t="str">
        <f>IF('1. XL-1E TT'!AJ24="","",'1. XL-1E TT'!AJ24)</f>
        <v/>
      </c>
      <c r="AB24" s="1766" t="s">
        <v>10</v>
      </c>
      <c r="AC24" s="2546">
        <f>XM.HN!E21</f>
        <v>0</v>
      </c>
      <c r="AD24" s="1840" t="str">
        <f>IF(XM.HN!E21="","",(AC24*(0.1*100)/(5*3.12)))</f>
        <v/>
      </c>
      <c r="AE24" s="2496" t="e">
        <f>($G$24-AD24)*575/95</f>
        <v>#VALUE!</v>
      </c>
      <c r="AF24" s="1745" t="s">
        <v>8</v>
      </c>
      <c r="AG24" s="1873" t="str">
        <f>IF(AD24="","",(IF(AE24&lt;0,0,AE24)))</f>
        <v/>
      </c>
      <c r="AH24" s="2193" t="str">
        <f>IF('1. XL-1E TT(CA2)'!AB24="","",'1. XL-1E TT(CA2)'!AB24)</f>
        <v/>
      </c>
      <c r="AI24" s="1766" t="s">
        <v>10</v>
      </c>
      <c r="AJ24" s="2546">
        <f>XM.HN!F21</f>
        <v>15.8</v>
      </c>
      <c r="AK24" s="1840">
        <f>IF(XM.HN!F21="","",(AJ24*(0.1*100)/(5*3.12)))</f>
        <v>10.128205128205128</v>
      </c>
      <c r="AL24" s="2496">
        <f>($G$24-AK24)*575/95</f>
        <v>-15.907557354925773</v>
      </c>
      <c r="AM24" s="1745" t="s">
        <v>8</v>
      </c>
      <c r="AN24" s="1873">
        <f>IF(AK24="","",(IF(AL24&lt;0,0,AL24)))</f>
        <v>0</v>
      </c>
      <c r="AO24" s="2193" t="str">
        <f>IF('1. XL-1E TT(CA2)'!AF24="","",'1. XL-1E TT(CA2)'!AF24)</f>
        <v/>
      </c>
      <c r="AP24" s="1766" t="s">
        <v>10</v>
      </c>
      <c r="AQ24" s="2546">
        <f>XM.HN!G21</f>
        <v>0</v>
      </c>
      <c r="AR24" s="1840" t="s">
        <v>1681</v>
      </c>
      <c r="AS24" s="2496" t="e">
        <f>($G$24-AR24)*575/95</f>
        <v>#VALUE!</v>
      </c>
      <c r="AT24" s="1745" t="s">
        <v>8</v>
      </c>
      <c r="AU24" s="1873"/>
      <c r="AV24" s="2193" t="str">
        <f>IF('1. XL-1E TT(CA2)'!AJ24="","",'1. XL-1E TT(CA2)'!AJ24)</f>
        <v/>
      </c>
      <c r="AW24" s="1766" t="s">
        <v>10</v>
      </c>
      <c r="AY24" s="2178"/>
    </row>
    <row r="25" spans="1:53" ht="40.5" customHeight="1">
      <c r="A25" s="1045" t="s">
        <v>251</v>
      </c>
      <c r="B25" s="1035" t="s">
        <v>215</v>
      </c>
      <c r="C25" s="2292" t="str">
        <f>MENU!U45</f>
        <v>Pha mới: 2024/05/22</v>
      </c>
      <c r="D25" s="45" t="s">
        <v>5</v>
      </c>
      <c r="E25" s="14" t="s">
        <v>1549</v>
      </c>
      <c r="F25" s="1893" t="s">
        <v>1544</v>
      </c>
      <c r="G25" s="2621"/>
      <c r="H25" s="2543"/>
      <c r="I25" s="2194">
        <f>XM.HN!B22</f>
        <v>0</v>
      </c>
      <c r="J25" s="2496"/>
      <c r="K25" s="1745"/>
      <c r="L25" s="1746"/>
      <c r="M25" s="2053" t="str">
        <f>IF('1. XL-1E TT'!AB25="","",'1. XL-1E TT'!AB25)</f>
        <v/>
      </c>
      <c r="N25" s="1747"/>
      <c r="O25" s="2546"/>
      <c r="P25" s="1768">
        <f>XM.HN!C22</f>
        <v>0</v>
      </c>
      <c r="Q25" s="2496"/>
      <c r="R25" s="1745"/>
      <c r="S25" s="1746"/>
      <c r="T25" s="2053" t="str">
        <f>IF('1. XL-1E TT'!AF25="","",'1. XL-1E TT'!AF25)</f>
        <v/>
      </c>
      <c r="U25" s="1747"/>
      <c r="V25" s="2546"/>
      <c r="W25" s="1768">
        <f>XM.HN!D22</f>
        <v>0</v>
      </c>
      <c r="X25" s="2496"/>
      <c r="Y25" s="1745"/>
      <c r="Z25" s="1746"/>
      <c r="AA25" s="2053"/>
      <c r="AB25" s="1747"/>
      <c r="AC25" s="2546"/>
      <c r="AD25" s="1768">
        <f>XM.HN!E22</f>
        <v>0</v>
      </c>
      <c r="AE25" s="2496"/>
      <c r="AF25" s="1745"/>
      <c r="AG25" s="1746"/>
      <c r="AH25" s="2053"/>
      <c r="AI25" s="1747"/>
      <c r="AJ25" s="2546"/>
      <c r="AK25" s="1768">
        <f>XM.HN!F22</f>
        <v>2.57</v>
      </c>
      <c r="AL25" s="2496"/>
      <c r="AM25" s="1745"/>
      <c r="AN25" s="1746"/>
      <c r="AO25" s="2053"/>
      <c r="AP25" s="1747"/>
      <c r="AQ25" s="2546"/>
      <c r="AR25" s="1840" t="s">
        <v>1681</v>
      </c>
      <c r="AS25" s="2496"/>
      <c r="AT25" s="1745"/>
      <c r="AU25" s="1746"/>
      <c r="AV25" s="2053"/>
      <c r="AW25" s="1747"/>
      <c r="AY25" s="2178"/>
    </row>
    <row r="26" spans="1:53" s="206" customFormat="1" ht="54" customHeight="1">
      <c r="A26" s="285" t="s">
        <v>73</v>
      </c>
      <c r="B26" s="286"/>
      <c r="C26" s="286"/>
      <c r="D26" s="286"/>
      <c r="E26" s="283"/>
      <c r="F26" s="283"/>
      <c r="G26" s="2626"/>
      <c r="H26" s="2499"/>
      <c r="I26" s="286"/>
      <c r="J26" s="2499"/>
      <c r="K26" s="286"/>
      <c r="L26" s="286"/>
      <c r="M26" s="1624"/>
      <c r="N26" s="286"/>
      <c r="O26" s="2499"/>
      <c r="P26" s="287"/>
      <c r="Q26" s="2497"/>
      <c r="R26" s="1405"/>
      <c r="S26" s="1405"/>
      <c r="T26" s="1628"/>
      <c r="U26" s="287"/>
      <c r="V26" s="2497"/>
      <c r="W26" s="287"/>
      <c r="X26" s="2497"/>
      <c r="Y26" s="1405"/>
      <c r="Z26" s="1405"/>
      <c r="AA26" s="2207"/>
      <c r="AB26" s="1405"/>
      <c r="AC26" s="2497"/>
      <c r="AD26" s="1405"/>
      <c r="AE26" s="2497"/>
      <c r="AF26" s="1405"/>
      <c r="AG26" s="1405"/>
      <c r="AH26" s="2207"/>
      <c r="AI26" s="1405"/>
      <c r="AJ26" s="2598"/>
      <c r="AK26" s="287"/>
      <c r="AL26" s="2598"/>
      <c r="AM26" s="287"/>
      <c r="AN26" s="287"/>
      <c r="AO26" s="1632"/>
      <c r="AP26" s="287"/>
      <c r="AQ26" s="2598"/>
      <c r="AR26" s="287"/>
      <c r="AS26" s="2598"/>
      <c r="AT26" s="287"/>
      <c r="AU26" s="287"/>
      <c r="AV26" s="1632"/>
      <c r="AW26" s="1004"/>
      <c r="AZ26" s="3236"/>
      <c r="BA26" s="3236"/>
    </row>
    <row r="27" spans="1:53" s="89" customFormat="1" ht="54" customHeight="1">
      <c r="A27" s="1721" t="s">
        <v>238</v>
      </c>
      <c r="B27" s="1034" t="s">
        <v>317</v>
      </c>
      <c r="C27" s="1032" t="s">
        <v>61</v>
      </c>
      <c r="D27" s="278" t="s">
        <v>63</v>
      </c>
      <c r="E27" s="1388" t="s">
        <v>1303</v>
      </c>
      <c r="F27" s="1895" t="s">
        <v>1302</v>
      </c>
      <c r="G27" s="2627"/>
      <c r="H27" s="2628"/>
      <c r="I27" s="1727" t="s">
        <v>45</v>
      </c>
      <c r="J27" s="2498"/>
      <c r="K27" s="1728"/>
      <c r="L27" s="1728" t="s">
        <v>62</v>
      </c>
      <c r="M27" s="1777"/>
      <c r="N27" s="1729"/>
      <c r="O27" s="2549"/>
      <c r="P27" s="1727" t="s">
        <v>45</v>
      </c>
      <c r="Q27" s="2498"/>
      <c r="R27" s="1728"/>
      <c r="S27" s="1728" t="s">
        <v>62</v>
      </c>
      <c r="T27" s="1777"/>
      <c r="U27" s="1729"/>
      <c r="V27" s="2573"/>
      <c r="W27" s="1727" t="s">
        <v>45</v>
      </c>
      <c r="X27" s="2498"/>
      <c r="Y27" s="1728"/>
      <c r="Z27" s="1728" t="s">
        <v>62</v>
      </c>
      <c r="AA27" s="1777"/>
      <c r="AB27" s="1729"/>
      <c r="AC27" s="2585"/>
      <c r="AD27" s="1727" t="s">
        <v>45</v>
      </c>
      <c r="AE27" s="2498"/>
      <c r="AF27" s="1728"/>
      <c r="AG27" s="1728" t="s">
        <v>62</v>
      </c>
      <c r="AH27" s="1777"/>
      <c r="AI27" s="1729"/>
      <c r="AJ27" s="2585"/>
      <c r="AK27" s="1727" t="s">
        <v>45</v>
      </c>
      <c r="AL27" s="2498"/>
      <c r="AM27" s="1728"/>
      <c r="AN27" s="1728" t="s">
        <v>62</v>
      </c>
      <c r="AO27" s="1777"/>
      <c r="AP27" s="1729"/>
      <c r="AQ27" s="2585"/>
      <c r="AR27" s="1727" t="s">
        <v>45</v>
      </c>
      <c r="AS27" s="2498"/>
      <c r="AT27" s="1728"/>
      <c r="AU27" s="1728" t="s">
        <v>62</v>
      </c>
      <c r="AV27" s="1777"/>
      <c r="AW27" s="1729"/>
      <c r="AY27" s="2176" t="s">
        <v>1521</v>
      </c>
      <c r="AZ27" s="206"/>
      <c r="BA27" s="1421"/>
    </row>
    <row r="28" spans="1:53" s="89" customFormat="1" ht="37.5" customHeight="1">
      <c r="A28" s="1718" t="s">
        <v>253</v>
      </c>
      <c r="B28" s="1035" t="s">
        <v>215</v>
      </c>
      <c r="C28" s="1829" t="s">
        <v>65</v>
      </c>
      <c r="D28" s="21" t="s">
        <v>105</v>
      </c>
      <c r="E28" s="1617" t="s">
        <v>1343</v>
      </c>
      <c r="F28" s="1896" t="s">
        <v>1324</v>
      </c>
      <c r="G28" s="2629"/>
      <c r="H28" s="2630"/>
      <c r="I28" s="3033">
        <f>'XM.FILE GOC'!I28</f>
        <v>0</v>
      </c>
      <c r="J28" s="3026"/>
      <c r="K28" s="3026"/>
      <c r="L28" s="3026">
        <f>'XM.FILE GOC'!L28</f>
        <v>0</v>
      </c>
      <c r="M28" s="3026"/>
      <c r="N28" s="3034"/>
      <c r="O28" s="2550"/>
      <c r="P28" s="3033">
        <f>'XM.FILE GOC'!P28</f>
        <v>0</v>
      </c>
      <c r="Q28" s="3026"/>
      <c r="R28" s="3026"/>
      <c r="S28" s="3026">
        <f>'XM.FILE GOC'!S28</f>
        <v>0</v>
      </c>
      <c r="T28" s="3026"/>
      <c r="U28" s="3034"/>
      <c r="V28" s="2551"/>
      <c r="W28" s="3033">
        <f>'XM.FILE GOC'!W28</f>
        <v>0</v>
      </c>
      <c r="X28" s="3026"/>
      <c r="Y28" s="3026"/>
      <c r="Z28" s="3026">
        <f>'XM.FILE GOC'!Z28</f>
        <v>0</v>
      </c>
      <c r="AA28" s="3026"/>
      <c r="AB28" s="3034"/>
      <c r="AC28" s="2551"/>
      <c r="AD28" s="3033">
        <f>'XM.FILE GOC'!AD28</f>
        <v>0</v>
      </c>
      <c r="AE28" s="3026"/>
      <c r="AF28" s="3026"/>
      <c r="AG28" s="3026">
        <f>'XM.FILE GOC'!AG28</f>
        <v>0</v>
      </c>
      <c r="AH28" s="3026"/>
      <c r="AI28" s="3027"/>
      <c r="AJ28" s="2601"/>
      <c r="AK28" s="3033">
        <f>'XM.FILE GOC'!AK28</f>
        <v>64</v>
      </c>
      <c r="AL28" s="3026"/>
      <c r="AM28" s="3026"/>
      <c r="AN28" s="3026">
        <f>'XM.FILE GOC'!AN28</f>
        <v>63</v>
      </c>
      <c r="AO28" s="3026"/>
      <c r="AP28" s="3027"/>
      <c r="AQ28" s="2601"/>
      <c r="AR28" s="3033">
        <f>'XM.FILE GOC'!AR28</f>
        <v>64</v>
      </c>
      <c r="AS28" s="3026"/>
      <c r="AT28" s="3026"/>
      <c r="AU28" s="3026">
        <f>'XM.FILE GOC'!AU28</f>
        <v>63</v>
      </c>
      <c r="AV28" s="3026"/>
      <c r="AW28" s="3027"/>
      <c r="AY28" s="2172"/>
      <c r="AZ28" s="206"/>
      <c r="BA28" s="206"/>
    </row>
    <row r="29" spans="1:53" s="89" customFormat="1" ht="37.5" customHeight="1">
      <c r="A29" s="1718" t="s">
        <v>254</v>
      </c>
      <c r="B29" s="1035" t="s">
        <v>215</v>
      </c>
      <c r="C29" s="1019" t="s">
        <v>66</v>
      </c>
      <c r="D29" s="21" t="s">
        <v>105</v>
      </c>
      <c r="E29" s="1617" t="s">
        <v>1343</v>
      </c>
      <c r="F29" s="1896" t="s">
        <v>1324</v>
      </c>
      <c r="G29" s="2629"/>
      <c r="H29" s="2630"/>
      <c r="I29" s="3033">
        <f>'XM.FILE GOC'!I29</f>
        <v>0</v>
      </c>
      <c r="J29" s="3026"/>
      <c r="K29" s="3026"/>
      <c r="L29" s="3026">
        <f>'XM.FILE GOC'!L29</f>
        <v>0</v>
      </c>
      <c r="M29" s="3026"/>
      <c r="N29" s="3034"/>
      <c r="O29" s="2550"/>
      <c r="P29" s="3033">
        <f>'XM.FILE GOC'!P29</f>
        <v>0</v>
      </c>
      <c r="Q29" s="3026"/>
      <c r="R29" s="3026"/>
      <c r="S29" s="3026">
        <f>'XM.FILE GOC'!S29</f>
        <v>0</v>
      </c>
      <c r="T29" s="3026"/>
      <c r="U29" s="3034"/>
      <c r="V29" s="2551"/>
      <c r="W29" s="3033">
        <f>'XM.FILE GOC'!W29</f>
        <v>0</v>
      </c>
      <c r="X29" s="3026"/>
      <c r="Y29" s="3026"/>
      <c r="Z29" s="3026">
        <f>'XM.FILE GOC'!Z29</f>
        <v>0</v>
      </c>
      <c r="AA29" s="3026"/>
      <c r="AB29" s="3034"/>
      <c r="AC29" s="2551"/>
      <c r="AD29" s="3033">
        <f>'XM.FILE GOC'!AD29</f>
        <v>0</v>
      </c>
      <c r="AE29" s="3026"/>
      <c r="AF29" s="3026"/>
      <c r="AG29" s="3026">
        <f>'XM.FILE GOC'!AG29</f>
        <v>0</v>
      </c>
      <c r="AH29" s="3026"/>
      <c r="AI29" s="3027"/>
      <c r="AJ29" s="2601"/>
      <c r="AK29" s="3033">
        <f>'XM.FILE GOC'!AK29</f>
        <v>64</v>
      </c>
      <c r="AL29" s="3026"/>
      <c r="AM29" s="3026"/>
      <c r="AN29" s="3026">
        <f>'XM.FILE GOC'!AN29</f>
        <v>63</v>
      </c>
      <c r="AO29" s="3026"/>
      <c r="AP29" s="3027"/>
      <c r="AQ29" s="2601"/>
      <c r="AR29" s="3033">
        <f>'XM.FILE GOC'!AR29</f>
        <v>63</v>
      </c>
      <c r="AS29" s="3026"/>
      <c r="AT29" s="3026"/>
      <c r="AU29" s="3026">
        <f>'XM.FILE GOC'!AU29</f>
        <v>62</v>
      </c>
      <c r="AV29" s="3026"/>
      <c r="AW29" s="3027"/>
      <c r="AY29" s="2172"/>
    </row>
    <row r="30" spans="1:53" s="89" customFormat="1" ht="37.5" customHeight="1">
      <c r="A30" s="1718" t="s">
        <v>255</v>
      </c>
      <c r="B30" s="1035" t="s">
        <v>215</v>
      </c>
      <c r="C30" s="1019" t="s">
        <v>68</v>
      </c>
      <c r="D30" s="21" t="s">
        <v>105</v>
      </c>
      <c r="E30" s="1336" t="s">
        <v>1347</v>
      </c>
      <c r="F30" s="2155" t="s">
        <v>1330</v>
      </c>
      <c r="G30" s="2629"/>
      <c r="H30" s="2630"/>
      <c r="I30" s="3033">
        <f>'XM.FILE GOC'!I30</f>
        <v>0</v>
      </c>
      <c r="J30" s="3026"/>
      <c r="K30" s="3034"/>
      <c r="L30" s="3026">
        <f>'XM.FILE GOC'!L30</f>
        <v>0</v>
      </c>
      <c r="M30" s="3026"/>
      <c r="N30" s="3027"/>
      <c r="O30" s="2549"/>
      <c r="P30" s="3033">
        <f>'XM.FILE GOC'!P30</f>
        <v>0</v>
      </c>
      <c r="Q30" s="3026"/>
      <c r="R30" s="3034"/>
      <c r="S30" s="3026">
        <f>'XM.FILE GOC'!S30</f>
        <v>0</v>
      </c>
      <c r="T30" s="3026"/>
      <c r="U30" s="3027"/>
      <c r="V30" s="2573"/>
      <c r="W30" s="3033">
        <f>'XM.FILE GOC'!W30</f>
        <v>0</v>
      </c>
      <c r="X30" s="3026"/>
      <c r="Y30" s="3034"/>
      <c r="Z30" s="3026">
        <f>'XM.FILE GOC'!Z30</f>
        <v>0</v>
      </c>
      <c r="AA30" s="3026"/>
      <c r="AB30" s="3027"/>
      <c r="AC30" s="2585"/>
      <c r="AD30" s="3033">
        <f>'XM.FILE GOC'!AD30</f>
        <v>0</v>
      </c>
      <c r="AE30" s="3026"/>
      <c r="AF30" s="3034"/>
      <c r="AG30" s="3026">
        <f>'XM.FILE GOC'!AG30</f>
        <v>0</v>
      </c>
      <c r="AH30" s="3026"/>
      <c r="AI30" s="3027"/>
      <c r="AJ30" s="2585"/>
      <c r="AK30" s="3033">
        <f>'XM.FILE GOC'!AK30</f>
        <v>53</v>
      </c>
      <c r="AL30" s="3026"/>
      <c r="AM30" s="3034"/>
      <c r="AN30" s="3026">
        <f>'XM.FILE GOC'!AN30</f>
        <v>52</v>
      </c>
      <c r="AO30" s="3026"/>
      <c r="AP30" s="3027"/>
      <c r="AQ30" s="2585"/>
      <c r="AR30" s="3033">
        <f>'XM.FILE GOC'!AR30</f>
        <v>55</v>
      </c>
      <c r="AS30" s="3026"/>
      <c r="AT30" s="3034"/>
      <c r="AU30" s="3026">
        <f>'XM.FILE GOC'!AU30</f>
        <v>54</v>
      </c>
      <c r="AV30" s="3026"/>
      <c r="AW30" s="3027"/>
      <c r="AY30" s="2172"/>
      <c r="AZ30" s="3231"/>
    </row>
    <row r="31" spans="1:53" s="89" customFormat="1" ht="37.5" customHeight="1">
      <c r="A31" s="1718" t="s">
        <v>256</v>
      </c>
      <c r="B31" s="1035" t="s">
        <v>215</v>
      </c>
      <c r="C31" s="1019" t="s">
        <v>67</v>
      </c>
      <c r="D31" s="21" t="s">
        <v>105</v>
      </c>
      <c r="E31" s="1336" t="s">
        <v>1347</v>
      </c>
      <c r="F31" s="2155" t="s">
        <v>1330</v>
      </c>
      <c r="G31" s="2629"/>
      <c r="H31" s="2630"/>
      <c r="I31" s="3033">
        <f>'XM.FILE GOC'!I31</f>
        <v>0</v>
      </c>
      <c r="J31" s="3026"/>
      <c r="K31" s="3034"/>
      <c r="L31" s="3026">
        <f>'XM.FILE GOC'!L31</f>
        <v>0</v>
      </c>
      <c r="M31" s="3026"/>
      <c r="N31" s="3027"/>
      <c r="O31" s="2549"/>
      <c r="P31" s="3033">
        <f>'XM.FILE GOC'!P31</f>
        <v>0</v>
      </c>
      <c r="Q31" s="3026"/>
      <c r="R31" s="3034"/>
      <c r="S31" s="3026">
        <f>'XM.FILE GOC'!S31</f>
        <v>0</v>
      </c>
      <c r="T31" s="3026"/>
      <c r="U31" s="3027"/>
      <c r="V31" s="2573"/>
      <c r="W31" s="3033">
        <f>'XM.FILE GOC'!W31</f>
        <v>0</v>
      </c>
      <c r="X31" s="3026"/>
      <c r="Y31" s="3034"/>
      <c r="Z31" s="3026">
        <f>'XM.FILE GOC'!Z31</f>
        <v>0</v>
      </c>
      <c r="AA31" s="3026"/>
      <c r="AB31" s="3027"/>
      <c r="AC31" s="2585"/>
      <c r="AD31" s="3033">
        <f>'XM.FILE GOC'!AD31</f>
        <v>0</v>
      </c>
      <c r="AE31" s="3026"/>
      <c r="AF31" s="3034"/>
      <c r="AG31" s="3026">
        <f>'XM.FILE GOC'!AG31</f>
        <v>0</v>
      </c>
      <c r="AH31" s="3026"/>
      <c r="AI31" s="3027"/>
      <c r="AJ31" s="2585"/>
      <c r="AK31" s="3033">
        <f>'XM.FILE GOC'!AK31</f>
        <v>52</v>
      </c>
      <c r="AL31" s="3026"/>
      <c r="AM31" s="3034"/>
      <c r="AN31" s="3026">
        <f>'XM.FILE GOC'!AN31</f>
        <v>51</v>
      </c>
      <c r="AO31" s="3026"/>
      <c r="AP31" s="3027"/>
      <c r="AQ31" s="2585"/>
      <c r="AR31" s="3033">
        <f>'XM.FILE GOC'!AR31</f>
        <v>53</v>
      </c>
      <c r="AS31" s="3026"/>
      <c r="AT31" s="3034"/>
      <c r="AU31" s="3026">
        <f>'XM.FILE GOC'!AU31</f>
        <v>52</v>
      </c>
      <c r="AV31" s="3026"/>
      <c r="AW31" s="3027"/>
      <c r="AY31" s="2172"/>
      <c r="AZ31" s="3231"/>
    </row>
    <row r="32" spans="1:53" s="89" customFormat="1" ht="37.5" customHeight="1">
      <c r="A32" s="1718" t="s">
        <v>314</v>
      </c>
      <c r="B32" s="1035" t="s">
        <v>215</v>
      </c>
      <c r="C32" s="1019" t="s">
        <v>69</v>
      </c>
      <c r="D32" s="21" t="s">
        <v>105</v>
      </c>
      <c r="E32" s="1617" t="s">
        <v>1528</v>
      </c>
      <c r="F32" s="1896" t="s">
        <v>1525</v>
      </c>
      <c r="G32" s="2629"/>
      <c r="H32" s="2630"/>
      <c r="I32" s="3033">
        <f>'XM.FILE GOC'!I32</f>
        <v>0</v>
      </c>
      <c r="J32" s="3026"/>
      <c r="K32" s="3026"/>
      <c r="L32" s="3026">
        <f>'XM.FILE GOC'!L32</f>
        <v>0</v>
      </c>
      <c r="M32" s="3026"/>
      <c r="N32" s="3034"/>
      <c r="O32" s="2550"/>
      <c r="P32" s="3033">
        <f>'XM.FILE GOC'!P32</f>
        <v>0</v>
      </c>
      <c r="Q32" s="3026"/>
      <c r="R32" s="3026"/>
      <c r="S32" s="3026">
        <f>'XM.FILE GOC'!S32</f>
        <v>0</v>
      </c>
      <c r="T32" s="3026"/>
      <c r="U32" s="3034"/>
      <c r="V32" s="2551"/>
      <c r="W32" s="3033">
        <f>'XM.FILE GOC'!W32</f>
        <v>0</v>
      </c>
      <c r="X32" s="3026"/>
      <c r="Y32" s="3026"/>
      <c r="Z32" s="3026">
        <f>'XM.FILE GOC'!Z32</f>
        <v>0</v>
      </c>
      <c r="AA32" s="3026"/>
      <c r="AB32" s="3034"/>
      <c r="AC32" s="2551"/>
      <c r="AD32" s="3033">
        <f>'XM.FILE GOC'!AD32</f>
        <v>0</v>
      </c>
      <c r="AE32" s="3026"/>
      <c r="AF32" s="3026"/>
      <c r="AG32" s="3026">
        <f>'XM.FILE GOC'!AG32</f>
        <v>0</v>
      </c>
      <c r="AH32" s="3026"/>
      <c r="AI32" s="3027"/>
      <c r="AJ32" s="2601"/>
      <c r="AK32" s="3033">
        <f>'XM.FILE GOC'!AK32</f>
        <v>28</v>
      </c>
      <c r="AL32" s="3026"/>
      <c r="AM32" s="3026"/>
      <c r="AN32" s="3026">
        <f>'XM.FILE GOC'!AN32</f>
        <v>27</v>
      </c>
      <c r="AO32" s="3026"/>
      <c r="AP32" s="3027"/>
      <c r="AQ32" s="2601"/>
      <c r="AR32" s="3033">
        <f>'XM.FILE GOC'!AR32</f>
        <v>28</v>
      </c>
      <c r="AS32" s="3026"/>
      <c r="AT32" s="3026"/>
      <c r="AU32" s="3026">
        <f>'XM.FILE GOC'!AU32</f>
        <v>27</v>
      </c>
      <c r="AV32" s="3026"/>
      <c r="AW32" s="3027"/>
      <c r="AY32" s="2172"/>
    </row>
    <row r="33" spans="1:53" s="89" customFormat="1" ht="37.5" customHeight="1">
      <c r="A33" s="1719" t="s">
        <v>257</v>
      </c>
      <c r="B33" s="1035" t="s">
        <v>215</v>
      </c>
      <c r="C33" s="1019" t="s">
        <v>147</v>
      </c>
      <c r="D33" s="21" t="s">
        <v>105</v>
      </c>
      <c r="E33" s="2201" t="s">
        <v>1530</v>
      </c>
      <c r="F33" s="2202" t="s">
        <v>1531</v>
      </c>
      <c r="G33" s="2629"/>
      <c r="H33" s="2630"/>
      <c r="I33" s="3033">
        <f>'XM.FILE GOC'!I33</f>
        <v>0</v>
      </c>
      <c r="J33" s="3026"/>
      <c r="K33" s="3034"/>
      <c r="L33" s="3026">
        <f>'XM.FILE GOC'!L33</f>
        <v>0</v>
      </c>
      <c r="M33" s="3026"/>
      <c r="N33" s="3027"/>
      <c r="O33" s="2550"/>
      <c r="P33" s="3033">
        <f>'XM.FILE GOC'!P33</f>
        <v>0</v>
      </c>
      <c r="Q33" s="3026"/>
      <c r="R33" s="3034"/>
      <c r="S33" s="3026">
        <f>'XM.FILE GOC'!S33</f>
        <v>0</v>
      </c>
      <c r="T33" s="3026"/>
      <c r="U33" s="3027"/>
      <c r="V33" s="2573"/>
      <c r="W33" s="3033">
        <f>'XM.FILE GOC'!W33</f>
        <v>0</v>
      </c>
      <c r="X33" s="3026"/>
      <c r="Y33" s="3034"/>
      <c r="Z33" s="3026">
        <f>'XM.FILE GOC'!Z33</f>
        <v>0</v>
      </c>
      <c r="AA33" s="3026"/>
      <c r="AB33" s="3027"/>
      <c r="AC33" s="2585"/>
      <c r="AD33" s="3033">
        <f>'XM.FILE GOC'!AD33</f>
        <v>0</v>
      </c>
      <c r="AE33" s="3026"/>
      <c r="AF33" s="3034"/>
      <c r="AG33" s="3026">
        <f>'XM.FILE GOC'!AG33</f>
        <v>0</v>
      </c>
      <c r="AH33" s="3026"/>
      <c r="AI33" s="3027"/>
      <c r="AJ33" s="2585"/>
      <c r="AK33" s="3033">
        <f>'XM.FILE GOC'!AK33</f>
        <v>37</v>
      </c>
      <c r="AL33" s="3026"/>
      <c r="AM33" s="3034"/>
      <c r="AN33" s="3026">
        <f>'XM.FILE GOC'!AN33</f>
        <v>36</v>
      </c>
      <c r="AO33" s="3026"/>
      <c r="AP33" s="3027"/>
      <c r="AQ33" s="2585"/>
      <c r="AR33" s="3033">
        <f>'XM.FILE GOC'!AR33</f>
        <v>37</v>
      </c>
      <c r="AS33" s="3026"/>
      <c r="AT33" s="3034"/>
      <c r="AU33" s="3026">
        <f>'XM.FILE GOC'!AU33</f>
        <v>36</v>
      </c>
      <c r="AV33" s="3026"/>
      <c r="AW33" s="3027"/>
      <c r="AY33" s="2172"/>
    </row>
    <row r="34" spans="1:53" s="89" customFormat="1" ht="37.5" customHeight="1">
      <c r="A34" s="1719" t="s">
        <v>258</v>
      </c>
      <c r="B34" s="1035" t="s">
        <v>215</v>
      </c>
      <c r="C34" s="1019" t="s">
        <v>70</v>
      </c>
      <c r="D34" s="21" t="s">
        <v>105</v>
      </c>
      <c r="E34" s="1617" t="s">
        <v>1343</v>
      </c>
      <c r="F34" s="1896" t="s">
        <v>1533</v>
      </c>
      <c r="G34" s="2629"/>
      <c r="H34" s="2630"/>
      <c r="I34" s="3033">
        <f>'XM.FILE GOC'!I34</f>
        <v>0</v>
      </c>
      <c r="J34" s="3026"/>
      <c r="K34" s="3034"/>
      <c r="L34" s="3026">
        <f>'XM.FILE GOC'!L34</f>
        <v>0</v>
      </c>
      <c r="M34" s="3026"/>
      <c r="N34" s="3027"/>
      <c r="O34" s="2550"/>
      <c r="P34" s="3033">
        <f>'XM.FILE GOC'!P34</f>
        <v>0</v>
      </c>
      <c r="Q34" s="3026"/>
      <c r="R34" s="3034"/>
      <c r="S34" s="3026">
        <f>'XM.FILE GOC'!S34</f>
        <v>0</v>
      </c>
      <c r="T34" s="3026"/>
      <c r="U34" s="3027"/>
      <c r="V34" s="2551"/>
      <c r="W34" s="3033">
        <f>'XM.FILE GOC'!W34</f>
        <v>0</v>
      </c>
      <c r="X34" s="3026"/>
      <c r="Y34" s="3034"/>
      <c r="Z34" s="3026">
        <f>'XM.FILE GOC'!Z34</f>
        <v>0</v>
      </c>
      <c r="AA34" s="3026"/>
      <c r="AB34" s="3027"/>
      <c r="AC34" s="2551"/>
      <c r="AD34" s="3033">
        <f>'XM.FILE GOC'!AD34</f>
        <v>0</v>
      </c>
      <c r="AE34" s="3026"/>
      <c r="AF34" s="3034"/>
      <c r="AG34" s="3026">
        <f>'XM.FILE GOC'!AG34</f>
        <v>0</v>
      </c>
      <c r="AH34" s="3026"/>
      <c r="AI34" s="3027"/>
      <c r="AJ34" s="2601"/>
      <c r="AK34" s="3033">
        <f>'XM.FILE GOC'!AK34</f>
        <v>32</v>
      </c>
      <c r="AL34" s="3026"/>
      <c r="AM34" s="3034"/>
      <c r="AN34" s="3026">
        <f>'XM.FILE GOC'!AN34</f>
        <v>31</v>
      </c>
      <c r="AO34" s="3026"/>
      <c r="AP34" s="3027"/>
      <c r="AQ34" s="2601"/>
      <c r="AR34" s="3033">
        <f>'XM.FILE GOC'!AR34</f>
        <v>46</v>
      </c>
      <c r="AS34" s="3026"/>
      <c r="AT34" s="3034"/>
      <c r="AU34" s="3026">
        <f>'XM.FILE GOC'!AU34</f>
        <v>45</v>
      </c>
      <c r="AV34" s="3026"/>
      <c r="AW34" s="3027"/>
      <c r="AY34" s="2172"/>
      <c r="BA34" s="1421"/>
    </row>
    <row r="35" spans="1:53" s="89" customFormat="1" ht="37.5" customHeight="1">
      <c r="A35" s="1045" t="s">
        <v>259</v>
      </c>
      <c r="B35" s="1035" t="s">
        <v>215</v>
      </c>
      <c r="C35" s="1019" t="s">
        <v>71</v>
      </c>
      <c r="D35" s="21" t="s">
        <v>105</v>
      </c>
      <c r="E35" s="1617" t="s">
        <v>1532</v>
      </c>
      <c r="F35" s="1896" t="s">
        <v>1520</v>
      </c>
      <c r="G35" s="2629"/>
      <c r="H35" s="2630"/>
      <c r="I35" s="3029"/>
      <c r="J35" s="3030"/>
      <c r="K35" s="3031"/>
      <c r="L35" s="3026">
        <f>'XM.FILE GOC'!L35</f>
        <v>0</v>
      </c>
      <c r="M35" s="3026"/>
      <c r="N35" s="3027"/>
      <c r="O35" s="2559"/>
      <c r="P35" s="3029"/>
      <c r="Q35" s="3030"/>
      <c r="R35" s="3031"/>
      <c r="S35" s="3026">
        <f>'XM.FILE GOC'!S35</f>
        <v>0</v>
      </c>
      <c r="T35" s="3026"/>
      <c r="U35" s="3027"/>
      <c r="V35" s="2559"/>
      <c r="W35" s="3029"/>
      <c r="X35" s="3030"/>
      <c r="Y35" s="3031"/>
      <c r="Z35" s="3026">
        <f>'XM.FILE GOC'!Z35</f>
        <v>0</v>
      </c>
      <c r="AA35" s="3026"/>
      <c r="AB35" s="3027"/>
      <c r="AC35" s="2559"/>
      <c r="AD35" s="3029"/>
      <c r="AE35" s="3030"/>
      <c r="AF35" s="3031"/>
      <c r="AG35" s="3026">
        <f>'XM.FILE GOC'!AG35</f>
        <v>0</v>
      </c>
      <c r="AH35" s="3026"/>
      <c r="AI35" s="3027"/>
      <c r="AJ35" s="2559"/>
      <c r="AK35" s="3029"/>
      <c r="AL35" s="3030"/>
      <c r="AM35" s="3031"/>
      <c r="AN35" s="3026" t="str">
        <f>'XM.FILE GOC'!AN35</f>
        <v>chưa mo máy</v>
      </c>
      <c r="AO35" s="3026"/>
      <c r="AP35" s="3027"/>
      <c r="AQ35" s="2559"/>
      <c r="AR35" s="3029"/>
      <c r="AS35" s="3030"/>
      <c r="AT35" s="3031"/>
      <c r="AU35" s="3026">
        <f>'XM.FILE GOC'!AU35</f>
        <v>87</v>
      </c>
      <c r="AV35" s="3026"/>
      <c r="AW35" s="3027"/>
      <c r="AY35" s="2172"/>
    </row>
    <row r="36" spans="1:53" s="206" customFormat="1" ht="54" customHeight="1">
      <c r="A36" s="285" t="s">
        <v>75</v>
      </c>
      <c r="B36" s="286"/>
      <c r="C36" s="286"/>
      <c r="D36" s="286"/>
      <c r="E36" s="283"/>
      <c r="F36" s="283"/>
      <c r="G36" s="2626"/>
      <c r="H36" s="2499"/>
      <c r="I36" s="286"/>
      <c r="J36" s="2499"/>
      <c r="K36" s="286"/>
      <c r="L36" s="286"/>
      <c r="M36" s="1624"/>
      <c r="N36" s="286"/>
      <c r="O36" s="2499"/>
      <c r="P36" s="287"/>
      <c r="Q36" s="2499"/>
      <c r="R36" s="286"/>
      <c r="S36" s="286"/>
      <c r="T36" s="1628"/>
      <c r="U36" s="287"/>
      <c r="V36" s="2499"/>
      <c r="W36" s="287"/>
      <c r="X36" s="2499"/>
      <c r="Y36" s="286"/>
      <c r="Z36" s="286"/>
      <c r="AA36" s="1624"/>
      <c r="AB36" s="286"/>
      <c r="AC36" s="2499"/>
      <c r="AD36" s="286"/>
      <c r="AE36" s="2499"/>
      <c r="AF36" s="286"/>
      <c r="AG36" s="286"/>
      <c r="AH36" s="1624"/>
      <c r="AI36" s="286"/>
      <c r="AJ36" s="2598"/>
      <c r="AK36" s="287"/>
      <c r="AL36" s="2598"/>
      <c r="AM36" s="287"/>
      <c r="AN36" s="287"/>
      <c r="AO36" s="1632"/>
      <c r="AP36" s="287"/>
      <c r="AQ36" s="2598"/>
      <c r="AR36" s="287"/>
      <c r="AS36" s="2598"/>
      <c r="AT36" s="287"/>
      <c r="AU36" s="287"/>
      <c r="AV36" s="1632"/>
      <c r="AW36" s="1004"/>
      <c r="AY36" s="2175"/>
      <c r="AZ36" s="3236"/>
      <c r="BA36" s="3236"/>
    </row>
    <row r="37" spans="1:53" s="89" customFormat="1" ht="45.75" customHeight="1">
      <c r="A37" s="1719" t="s">
        <v>260</v>
      </c>
      <c r="B37" s="1035" t="s">
        <v>215</v>
      </c>
      <c r="C37" s="1036" t="s">
        <v>51</v>
      </c>
      <c r="D37" s="94" t="s">
        <v>48</v>
      </c>
      <c r="E37" s="267" t="s">
        <v>228</v>
      </c>
      <c r="F37" s="1897" t="s">
        <v>228</v>
      </c>
      <c r="G37" s="2631"/>
      <c r="H37" s="2632"/>
      <c r="I37" s="3198">
        <f>'XM.FILE GOC'!I37</f>
        <v>0</v>
      </c>
      <c r="J37" s="3230"/>
      <c r="K37" s="3230"/>
      <c r="L37" s="3230"/>
      <c r="M37" s="3230"/>
      <c r="N37" s="3199"/>
      <c r="O37" s="2668"/>
      <c r="P37" s="3198">
        <f>'XM.FILE GOC'!P37</f>
        <v>0</v>
      </c>
      <c r="Q37" s="3230"/>
      <c r="R37" s="3230"/>
      <c r="S37" s="3230"/>
      <c r="T37" s="3230"/>
      <c r="U37" s="3199"/>
      <c r="V37" s="2674"/>
      <c r="W37" s="3198">
        <f>'XM.FILE GOC'!W37</f>
        <v>0</v>
      </c>
      <c r="X37" s="3230"/>
      <c r="Y37" s="3230"/>
      <c r="Z37" s="3230"/>
      <c r="AA37" s="3230"/>
      <c r="AB37" s="3199"/>
      <c r="AC37" s="2682"/>
      <c r="AD37" s="3198">
        <f>'XM.FILE GOC'!AD37</f>
        <v>0</v>
      </c>
      <c r="AE37" s="3230"/>
      <c r="AF37" s="3230"/>
      <c r="AG37" s="3230"/>
      <c r="AH37" s="3230"/>
      <c r="AI37" s="3199"/>
      <c r="AJ37" s="2685"/>
      <c r="AK37" s="3198" t="str">
        <f>'XM.FILE GOC'!AK37</f>
        <v>chưa có hâng ko bơm</v>
      </c>
      <c r="AL37" s="3230"/>
      <c r="AM37" s="3230"/>
      <c r="AN37" s="3230"/>
      <c r="AO37" s="3230"/>
      <c r="AP37" s="3199"/>
      <c r="AQ37" s="2685"/>
      <c r="AR37" s="3198" t="str">
        <f>'XM.FILE GOC'!AR37</f>
        <v>chưa có hâng ko bơm</v>
      </c>
      <c r="AS37" s="3230"/>
      <c r="AT37" s="3230"/>
      <c r="AU37" s="3230"/>
      <c r="AV37" s="3230"/>
      <c r="AW37" s="3199"/>
      <c r="AY37" s="2172"/>
    </row>
    <row r="38" spans="1:53" s="89" customFormat="1" ht="45.75" customHeight="1">
      <c r="A38" s="1719" t="s">
        <v>261</v>
      </c>
      <c r="B38" s="1035" t="s">
        <v>215</v>
      </c>
      <c r="C38" s="102" t="s">
        <v>52</v>
      </c>
      <c r="D38" s="94" t="s">
        <v>48</v>
      </c>
      <c r="E38" s="1618" t="s">
        <v>229</v>
      </c>
      <c r="F38" s="1898" t="s">
        <v>229</v>
      </c>
      <c r="G38" s="2629"/>
      <c r="H38" s="2633"/>
      <c r="I38" s="3198">
        <f>'XM.FILE GOC'!I38</f>
        <v>0</v>
      </c>
      <c r="J38" s="3230"/>
      <c r="K38" s="3230"/>
      <c r="L38" s="3230"/>
      <c r="M38" s="3230"/>
      <c r="N38" s="3199"/>
      <c r="O38" s="2669"/>
      <c r="P38" s="3198">
        <f>'XM.FILE GOC'!P38</f>
        <v>0</v>
      </c>
      <c r="Q38" s="3230"/>
      <c r="R38" s="3230"/>
      <c r="S38" s="3230"/>
      <c r="T38" s="3230"/>
      <c r="U38" s="3199"/>
      <c r="V38" s="2675"/>
      <c r="W38" s="3198">
        <f>'XM.FILE GOC'!W38</f>
        <v>0</v>
      </c>
      <c r="X38" s="3230"/>
      <c r="Y38" s="3230"/>
      <c r="Z38" s="3230"/>
      <c r="AA38" s="3230"/>
      <c r="AB38" s="3199"/>
      <c r="AC38" s="2669"/>
      <c r="AD38" s="3198">
        <f>'XM.FILE GOC'!AD38</f>
        <v>0</v>
      </c>
      <c r="AE38" s="3230"/>
      <c r="AF38" s="3230"/>
      <c r="AG38" s="3230"/>
      <c r="AH38" s="3230"/>
      <c r="AI38" s="3199"/>
      <c r="AJ38" s="2686"/>
      <c r="AK38" s="3198" t="str">
        <f>'XM.FILE GOC'!AK38</f>
        <v>chưa có hâng ko bơm</v>
      </c>
      <c r="AL38" s="3230"/>
      <c r="AM38" s="3230"/>
      <c r="AN38" s="3230"/>
      <c r="AO38" s="3230"/>
      <c r="AP38" s="3199"/>
      <c r="AQ38" s="2686"/>
      <c r="AR38" s="3198" t="str">
        <f>'XM.FILE GOC'!AR38</f>
        <v>chưa có hâng ko bơm</v>
      </c>
      <c r="AS38" s="3230"/>
      <c r="AT38" s="3230"/>
      <c r="AU38" s="3230"/>
      <c r="AV38" s="3230"/>
      <c r="AW38" s="3199"/>
      <c r="AY38" s="2172"/>
    </row>
    <row r="39" spans="1:53" s="89" customFormat="1" ht="22.5" customHeight="1">
      <c r="A39" s="1722"/>
      <c r="B39" s="274"/>
      <c r="C39" s="1020"/>
      <c r="D39" s="207"/>
      <c r="E39" s="207"/>
      <c r="F39" s="207"/>
      <c r="G39" s="2634"/>
      <c r="H39" s="2634"/>
      <c r="I39" s="207"/>
      <c r="J39" s="2660"/>
      <c r="K39" s="1020"/>
      <c r="L39" s="1020"/>
      <c r="M39" s="1625"/>
      <c r="N39" s="1020"/>
      <c r="O39" s="2660"/>
      <c r="P39" s="1020"/>
      <c r="Q39" s="2660"/>
      <c r="R39" s="1020"/>
      <c r="S39" s="1020"/>
      <c r="T39" s="1625"/>
      <c r="U39" s="1020"/>
      <c r="V39" s="2089"/>
      <c r="W39" s="1020"/>
      <c r="X39" s="2660"/>
      <c r="Y39" s="1020"/>
      <c r="Z39" s="1020"/>
      <c r="AA39" s="1625"/>
      <c r="AB39" s="1020"/>
      <c r="AC39" s="2660"/>
      <c r="AD39" s="1020"/>
      <c r="AE39" s="2660"/>
      <c r="AF39" s="1020"/>
      <c r="AG39" s="1020"/>
      <c r="AH39" s="1625"/>
      <c r="AI39" s="1020"/>
      <c r="AJ39" s="2687"/>
      <c r="AK39" s="1019"/>
      <c r="AL39" s="2628"/>
      <c r="AM39" s="90"/>
      <c r="AN39" s="90"/>
      <c r="AO39" s="1633"/>
      <c r="AP39" s="90"/>
      <c r="AQ39" s="2687"/>
      <c r="AR39" s="90"/>
      <c r="AS39" s="2628"/>
      <c r="AT39" s="90"/>
      <c r="AU39" s="90"/>
      <c r="AV39" s="1633"/>
      <c r="AW39" s="90"/>
      <c r="AY39" s="2173"/>
    </row>
    <row r="40" spans="1:53" ht="41.25" customHeight="1">
      <c r="A40" s="1947"/>
      <c r="B40" s="1937"/>
      <c r="C40" s="1947" t="s">
        <v>1483</v>
      </c>
      <c r="D40" s="1938"/>
      <c r="E40" s="2090"/>
      <c r="F40" s="1938"/>
      <c r="G40" s="2613" t="s">
        <v>85</v>
      </c>
      <c r="H40" s="2486"/>
      <c r="I40" s="1948" t="str">
        <f>MENU!$AC$9</f>
        <v>Thứ 4,</v>
      </c>
      <c r="J40" s="2486"/>
      <c r="K40" s="1942"/>
      <c r="L40" s="1943" t="str">
        <f>MENU!$AD$9</f>
        <v>2024/05/22</v>
      </c>
      <c r="M40" s="1949"/>
      <c r="N40" s="1944"/>
      <c r="O40" s="2514"/>
      <c r="P40" s="1944"/>
      <c r="Q40" s="2514"/>
      <c r="R40" s="1944"/>
      <c r="S40" s="1944"/>
      <c r="T40" s="1949"/>
      <c r="U40" s="1942"/>
      <c r="V40" s="2486"/>
      <c r="W40" s="1942"/>
      <c r="X40" s="2486"/>
      <c r="Y40" s="1942"/>
      <c r="Z40" s="1942"/>
      <c r="AA40" s="1950"/>
      <c r="AB40" s="1942"/>
      <c r="AC40" s="2486"/>
      <c r="AD40" s="1951" t="s">
        <v>214</v>
      </c>
      <c r="AE40" s="2486"/>
      <c r="AF40" s="1942"/>
      <c r="AG40" s="1942"/>
      <c r="AH40" s="1950"/>
      <c r="AI40" s="1942"/>
      <c r="AK40" s="1937"/>
      <c r="AL40" s="2605"/>
      <c r="AM40" s="1945"/>
      <c r="AN40" s="1945"/>
      <c r="AO40" s="1952"/>
      <c r="AP40" s="1945"/>
      <c r="AQ40" s="2605"/>
      <c r="AR40" s="1945"/>
      <c r="AS40" s="2605"/>
      <c r="AT40" s="1945"/>
      <c r="AU40" s="1945"/>
      <c r="AV40" s="1952"/>
      <c r="AW40" s="1946"/>
      <c r="AY40" s="3239" t="s">
        <v>1521</v>
      </c>
    </row>
    <row r="41" spans="1:53" ht="36.75" customHeight="1">
      <c r="A41" s="1723"/>
      <c r="B41" s="1031"/>
      <c r="C41" s="1031"/>
      <c r="D41" s="1031"/>
      <c r="E41" s="1605"/>
      <c r="F41" s="1899"/>
      <c r="G41" s="3232" t="s">
        <v>125</v>
      </c>
      <c r="H41" s="2614"/>
      <c r="I41" s="269" t="s">
        <v>1469</v>
      </c>
      <c r="J41" s="2487"/>
      <c r="K41" s="269"/>
      <c r="L41" s="269"/>
      <c r="M41" s="1623"/>
      <c r="N41" s="269"/>
      <c r="O41" s="2538"/>
      <c r="P41" s="282" t="s">
        <v>1459</v>
      </c>
      <c r="Q41" s="2487"/>
      <c r="R41" s="269"/>
      <c r="S41" s="269"/>
      <c r="T41" s="1623"/>
      <c r="U41" s="270"/>
      <c r="V41" s="2487"/>
      <c r="W41" s="269" t="s">
        <v>1460</v>
      </c>
      <c r="X41" s="2487"/>
      <c r="Y41" s="269"/>
      <c r="Z41" s="269"/>
      <c r="AA41" s="1623"/>
      <c r="AB41" s="269"/>
      <c r="AC41" s="2538"/>
      <c r="AD41" s="282" t="s">
        <v>1461</v>
      </c>
      <c r="AE41" s="2487"/>
      <c r="AF41" s="269"/>
      <c r="AG41" s="269"/>
      <c r="AH41" s="1623"/>
      <c r="AI41" s="270"/>
      <c r="AJ41" s="2487"/>
      <c r="AK41" s="269" t="s">
        <v>1462</v>
      </c>
      <c r="AL41" s="2487"/>
      <c r="AM41" s="269"/>
      <c r="AN41" s="269"/>
      <c r="AO41" s="1623"/>
      <c r="AP41" s="269"/>
      <c r="AQ41" s="2487"/>
      <c r="AR41" s="282" t="s">
        <v>1463</v>
      </c>
      <c r="AS41" s="2487"/>
      <c r="AT41" s="269"/>
      <c r="AU41" s="270"/>
      <c r="AV41" s="1634"/>
      <c r="AW41" s="1003"/>
      <c r="AY41" s="3239"/>
    </row>
    <row r="42" spans="1:53" ht="63.75" customHeight="1">
      <c r="A42" s="1724" t="s">
        <v>238</v>
      </c>
      <c r="B42" s="1034" t="s">
        <v>317</v>
      </c>
      <c r="C42" s="1038" t="s">
        <v>316</v>
      </c>
      <c r="D42" s="1830" t="s">
        <v>124</v>
      </c>
      <c r="E42" s="1388" t="s">
        <v>1303</v>
      </c>
      <c r="F42" s="1900" t="s">
        <v>1302</v>
      </c>
      <c r="G42" s="3233"/>
      <c r="H42" s="2571"/>
      <c r="I42" s="1761" t="s">
        <v>1446</v>
      </c>
      <c r="J42" s="2655" t="s">
        <v>1</v>
      </c>
      <c r="K42" s="3229" t="s">
        <v>1447</v>
      </c>
      <c r="L42" s="3229"/>
      <c r="M42" s="3227" t="s">
        <v>1507</v>
      </c>
      <c r="N42" s="3228"/>
      <c r="O42" s="2539"/>
      <c r="P42" s="1761" t="s">
        <v>1446</v>
      </c>
      <c r="Q42" s="2655" t="s">
        <v>1</v>
      </c>
      <c r="R42" s="3229" t="s">
        <v>1447</v>
      </c>
      <c r="S42" s="3229"/>
      <c r="T42" s="3227" t="s">
        <v>1507</v>
      </c>
      <c r="U42" s="3228"/>
      <c r="V42" s="2571"/>
      <c r="W42" s="2012" t="s">
        <v>1446</v>
      </c>
      <c r="X42" s="2655" t="s">
        <v>1</v>
      </c>
      <c r="Y42" s="3229" t="s">
        <v>1447</v>
      </c>
      <c r="Z42" s="3229"/>
      <c r="AA42" s="3227" t="s">
        <v>1507</v>
      </c>
      <c r="AB42" s="3228"/>
      <c r="AC42" s="2539"/>
      <c r="AD42" s="2012" t="s">
        <v>1446</v>
      </c>
      <c r="AE42" s="2655" t="s">
        <v>1</v>
      </c>
      <c r="AF42" s="3229" t="s">
        <v>1447</v>
      </c>
      <c r="AG42" s="3229"/>
      <c r="AH42" s="3227" t="s">
        <v>1507</v>
      </c>
      <c r="AI42" s="3228"/>
      <c r="AJ42" s="2539"/>
      <c r="AK42" s="2012" t="s">
        <v>1446</v>
      </c>
      <c r="AL42" s="2655" t="s">
        <v>1</v>
      </c>
      <c r="AM42" s="3229" t="s">
        <v>1447</v>
      </c>
      <c r="AN42" s="3229"/>
      <c r="AO42" s="3227" t="s">
        <v>1507</v>
      </c>
      <c r="AP42" s="3228"/>
      <c r="AQ42" s="2539"/>
      <c r="AR42" s="1761" t="s">
        <v>1446</v>
      </c>
      <c r="AS42" s="2655" t="s">
        <v>1</v>
      </c>
      <c r="AT42" s="3229" t="s">
        <v>1447</v>
      </c>
      <c r="AU42" s="3229"/>
      <c r="AV42" s="3227" t="s">
        <v>1507</v>
      </c>
      <c r="AW42" s="3228"/>
      <c r="AY42" s="3239"/>
    </row>
    <row r="43" spans="1:53" ht="39.75" customHeight="1">
      <c r="A43" s="1834" t="s">
        <v>262</v>
      </c>
      <c r="B43" s="1835" t="s">
        <v>214</v>
      </c>
      <c r="C43" s="1872" t="s">
        <v>1485</v>
      </c>
      <c r="D43" s="1836" t="s">
        <v>4</v>
      </c>
      <c r="E43" s="1837" t="s">
        <v>1337</v>
      </c>
      <c r="F43" s="1901" t="s">
        <v>1331</v>
      </c>
      <c r="G43" s="2615">
        <v>70</v>
      </c>
      <c r="H43" s="2577">
        <f>XM.HN!B26</f>
        <v>10.85</v>
      </c>
      <c r="I43" s="1930">
        <f>H43*6.49</f>
        <v>70.416499999999999</v>
      </c>
      <c r="J43" s="2489">
        <f>($G$43-I43)*2693/1000</f>
        <v>-1.1216344999999979</v>
      </c>
      <c r="K43" s="1842" t="s">
        <v>8</v>
      </c>
      <c r="L43" s="1843">
        <f>IF(I43=0,0,IF(J43&lt;0,0,J43))</f>
        <v>0</v>
      </c>
      <c r="M43" s="2048" t="str">
        <f>IF('2. XL-1F TT '!AB6="","",'2. XL-1F TT '!AB6)</f>
        <v/>
      </c>
      <c r="N43" s="1845" t="s">
        <v>9</v>
      </c>
      <c r="O43" s="2540">
        <f>XM.HN!C26</f>
        <v>10.85</v>
      </c>
      <c r="P43" s="1930">
        <f>O43*6.49</f>
        <v>70.416499999999999</v>
      </c>
      <c r="Q43" s="2489">
        <f>($G$43-P43)*2693/1000</f>
        <v>-1.1216344999999979</v>
      </c>
      <c r="R43" s="1842" t="s">
        <v>8</v>
      </c>
      <c r="S43" s="1843">
        <f>IF(P43=0,0,IF(Q43&lt;0,0,Q43))</f>
        <v>0</v>
      </c>
      <c r="T43" s="2048" t="str">
        <f>IF('2. XL-1F TT '!AF6="","",'2. XL-1F TT '!AF6)</f>
        <v/>
      </c>
      <c r="U43" s="1845" t="s">
        <v>9</v>
      </c>
      <c r="V43" s="2540">
        <f>XM.HN!D26</f>
        <v>10.5</v>
      </c>
      <c r="W43" s="2008">
        <f>V43*6.49</f>
        <v>68.144999999999996</v>
      </c>
      <c r="X43" s="2679">
        <f>($G$43-W43)*2693/1000</f>
        <v>4.9955150000000099</v>
      </c>
      <c r="Y43" s="2009" t="s">
        <v>8</v>
      </c>
      <c r="Z43" s="2010">
        <f>IF(W43=0,0,IF(X43&lt;0,0,X43))</f>
        <v>4.9955150000000099</v>
      </c>
      <c r="AA43" s="2256" t="str">
        <f>IF('2. XL-1F TT '!AJ6="","",'2. XL-1F TT '!AJ6)</f>
        <v/>
      </c>
      <c r="AB43" s="2011" t="s">
        <v>9</v>
      </c>
      <c r="AC43" s="2683">
        <f>XM.HN!E26</f>
        <v>10</v>
      </c>
      <c r="AD43" s="2008">
        <f>AC43*6.49</f>
        <v>64.900000000000006</v>
      </c>
      <c r="AE43" s="2490">
        <f>($G$43-AD43)*2693/1000</f>
        <v>13.734299999999985</v>
      </c>
      <c r="AF43" s="1854" t="s">
        <v>8</v>
      </c>
      <c r="AG43" s="1934">
        <f>IF(AD43=0,0,IF(AE43&lt;0,0,AE43))</f>
        <v>13.734299999999985</v>
      </c>
      <c r="AH43" s="2048" t="str">
        <f>IF('2. XL-1F TT(CA2)'!AB6="","",'2. XL-1F TT(CA2)'!AB6)</f>
        <v>có</v>
      </c>
      <c r="AI43" s="1845" t="s">
        <v>9</v>
      </c>
      <c r="AJ43" s="2540">
        <f>XM.HN!F26</f>
        <v>10.6</v>
      </c>
      <c r="AK43" s="1930">
        <f>AJ43*6.49</f>
        <v>68.793999999999997</v>
      </c>
      <c r="AL43" s="2489">
        <f>($G$43-AK43)*2693/1000</f>
        <v>3.2477580000000086</v>
      </c>
      <c r="AM43" s="1842" t="s">
        <v>8</v>
      </c>
      <c r="AN43" s="1843">
        <f>IF(AK43=0,0,IF(AL43&lt;0,0,AL43))</f>
        <v>3.2477580000000086</v>
      </c>
      <c r="AO43" s="2048" t="str">
        <f>IF('2. XL-1F TT(CA2)'!AF6="","",'2. XL-1F TT(CA2)'!AF6)</f>
        <v/>
      </c>
      <c r="AP43" s="1845" t="s">
        <v>9</v>
      </c>
      <c r="AQ43" s="2540">
        <f>XM.HN!G26</f>
        <v>11</v>
      </c>
      <c r="AR43" s="1930">
        <f>AQ43*6.49</f>
        <v>71.39</v>
      </c>
      <c r="AS43" s="2489">
        <f>($G$43-AR43)*2693/1000</f>
        <v>-3.7432700000000012</v>
      </c>
      <c r="AT43" s="1842" t="s">
        <v>8</v>
      </c>
      <c r="AU43" s="1843">
        <f>IF(AR43=0,0,IF(AS43&lt;0,0,AS43))</f>
        <v>0</v>
      </c>
      <c r="AV43" s="2048" t="str">
        <f>IF('2. XL-1F TT(CA2)'!AJ6="","",'2. XL-1F TT(CA2)'!AJ6)</f>
        <v/>
      </c>
      <c r="AW43" s="1845" t="s">
        <v>9</v>
      </c>
      <c r="AY43" s="3243"/>
    </row>
    <row r="44" spans="1:53" ht="39.75" customHeight="1">
      <c r="A44" s="1857"/>
      <c r="B44" s="1858"/>
      <c r="C44" s="1871" t="s">
        <v>231</v>
      </c>
      <c r="D44" s="1860"/>
      <c r="E44" s="1861" t="s">
        <v>1363</v>
      </c>
      <c r="F44" s="1902"/>
      <c r="G44" s="2618"/>
      <c r="H44" s="2578"/>
      <c r="I44" s="1882"/>
      <c r="J44" s="2491"/>
      <c r="K44" s="1865" t="s">
        <v>8</v>
      </c>
      <c r="L44" s="1869">
        <f>L43/25*7.5</f>
        <v>0</v>
      </c>
      <c r="M44" s="2050" t="str">
        <f>IF('2. XL-1F TT '!AB7="","",'2. XL-1F TT '!AB7)</f>
        <v/>
      </c>
      <c r="N44" s="1867" t="s">
        <v>10</v>
      </c>
      <c r="O44" s="2542"/>
      <c r="P44" s="1882"/>
      <c r="Q44" s="2491"/>
      <c r="R44" s="1865" t="s">
        <v>8</v>
      </c>
      <c r="S44" s="1869">
        <f>S43/25*7.5</f>
        <v>0</v>
      </c>
      <c r="T44" s="2050" t="str">
        <f>IF('2. XL-1F TT '!AF7="","",'2. XL-1F TT '!AF7)</f>
        <v/>
      </c>
      <c r="U44" s="1867" t="s">
        <v>10</v>
      </c>
      <c r="V44" s="2542"/>
      <c r="W44" s="1882"/>
      <c r="X44" s="2491"/>
      <c r="Y44" s="1865" t="s">
        <v>8</v>
      </c>
      <c r="Z44" s="1869">
        <f>Z43/25*7.5</f>
        <v>1.4986545000000031</v>
      </c>
      <c r="AA44" s="2050" t="str">
        <f>IF('2. XL-1F TT '!AJ7="","",'2. XL-1F TT '!AJ7)</f>
        <v/>
      </c>
      <c r="AB44" s="1867" t="s">
        <v>10</v>
      </c>
      <c r="AC44" s="2542"/>
      <c r="AD44" s="1882"/>
      <c r="AE44" s="2491"/>
      <c r="AF44" s="1865" t="s">
        <v>8</v>
      </c>
      <c r="AG44" s="1869">
        <f>AG43/25*7.5</f>
        <v>4.1202899999999953</v>
      </c>
      <c r="AH44" s="2050" t="str">
        <f>IF('2. XL-1F TT(CA2)'!AB7="","",'2. XL-1F TT(CA2)'!AB7)</f>
        <v/>
      </c>
      <c r="AI44" s="1867" t="s">
        <v>10</v>
      </c>
      <c r="AJ44" s="2542"/>
      <c r="AK44" s="1882"/>
      <c r="AL44" s="2491"/>
      <c r="AM44" s="1865" t="s">
        <v>8</v>
      </c>
      <c r="AN44" s="1869">
        <f>AN43/25*7.5</f>
        <v>0.97432740000000262</v>
      </c>
      <c r="AO44" s="2050" t="str">
        <f>IF('2. XL-1F TT(CA2)'!AF7="","",'2. XL-1F TT(CA2)'!AF7)</f>
        <v/>
      </c>
      <c r="AP44" s="1867" t="s">
        <v>10</v>
      </c>
      <c r="AQ44" s="2542"/>
      <c r="AR44" s="1882"/>
      <c r="AS44" s="2491"/>
      <c r="AT44" s="1865" t="s">
        <v>8</v>
      </c>
      <c r="AU44" s="1869">
        <f>AU43/25*7.5</f>
        <v>0</v>
      </c>
      <c r="AV44" s="2050" t="str">
        <f>IF('2. XL-1F TT(CA2)'!AJ7="","",'2. XL-1F TT(CA2)'!AJ7)</f>
        <v/>
      </c>
      <c r="AW44" s="1867" t="s">
        <v>10</v>
      </c>
      <c r="AY44" s="3244"/>
    </row>
    <row r="45" spans="1:53" ht="39.75" customHeight="1">
      <c r="A45" s="1834" t="s">
        <v>263</v>
      </c>
      <c r="B45" s="1835" t="s">
        <v>214</v>
      </c>
      <c r="C45" s="1872" t="s">
        <v>1486</v>
      </c>
      <c r="D45" s="1836" t="s">
        <v>4</v>
      </c>
      <c r="E45" s="1837" t="s">
        <v>1337</v>
      </c>
      <c r="F45" s="1901" t="s">
        <v>1331</v>
      </c>
      <c r="G45" s="2615">
        <v>70</v>
      </c>
      <c r="H45" s="2577">
        <f>XM.HN!B28</f>
        <v>11.2</v>
      </c>
      <c r="I45" s="1930">
        <f>H45*6.49</f>
        <v>72.688000000000002</v>
      </c>
      <c r="J45" s="2489">
        <f>($G$45-I45)*3305/1000</f>
        <v>-8.8838400000000082</v>
      </c>
      <c r="K45" s="1842" t="s">
        <v>8</v>
      </c>
      <c r="L45" s="1843">
        <f t="shared" ref="L45:L58" si="6">IF(I45=0,0,IF(J45&lt;0,0,J45))</f>
        <v>0</v>
      </c>
      <c r="M45" s="2048" t="str">
        <f>IF('2. XL-1F TT '!AB8="","",'2. XL-1F TT '!AB8)</f>
        <v/>
      </c>
      <c r="N45" s="1845" t="s">
        <v>9</v>
      </c>
      <c r="O45" s="2540">
        <f>XM.HN!C28</f>
        <v>11.2</v>
      </c>
      <c r="P45" s="1930">
        <f>O45*6.49</f>
        <v>72.688000000000002</v>
      </c>
      <c r="Q45" s="2489">
        <f>($G$45-P45)*3305/1000</f>
        <v>-8.8838400000000082</v>
      </c>
      <c r="R45" s="1842" t="s">
        <v>8</v>
      </c>
      <c r="S45" s="1843">
        <f t="shared" ref="S45:S58" si="7">IF(P45=0,0,IF(Q45&lt;0,0,Q45))</f>
        <v>0</v>
      </c>
      <c r="T45" s="2048" t="str">
        <f>IF('2. XL-1F TT '!AF8="","",'2. XL-1F TT '!AF8)</f>
        <v/>
      </c>
      <c r="U45" s="1845" t="s">
        <v>9</v>
      </c>
      <c r="V45" s="2540">
        <f>XM.HN!D28</f>
        <v>11.05</v>
      </c>
      <c r="W45" s="1930">
        <f>V45*6.49</f>
        <v>71.714500000000001</v>
      </c>
      <c r="X45" s="2489">
        <f>($G$45-W45)*3305/1000</f>
        <v>-5.666422500000003</v>
      </c>
      <c r="Y45" s="1842" t="s">
        <v>8</v>
      </c>
      <c r="Z45" s="1843">
        <f t="shared" ref="Z45:Z58" si="8">IF(W45=0,0,IF(X45&lt;0,0,X45))</f>
        <v>0</v>
      </c>
      <c r="AA45" s="2048" t="str">
        <f>IF('2. XL-1F TT '!AJ8="","",'2. XL-1F TT '!AJ8)</f>
        <v/>
      </c>
      <c r="AB45" s="1845" t="s">
        <v>9</v>
      </c>
      <c r="AC45" s="2540">
        <f>XM.HN!E28</f>
        <v>10.9</v>
      </c>
      <c r="AD45" s="1930">
        <f>AC45*6.49</f>
        <v>70.741</v>
      </c>
      <c r="AE45" s="2489">
        <f>($G$45-AD45)*3305/1000</f>
        <v>-2.4490049999999988</v>
      </c>
      <c r="AF45" s="1842" t="s">
        <v>8</v>
      </c>
      <c r="AG45" s="1843">
        <f t="shared" ref="AG45:AG58" si="9">IF(AD45=0,0,IF(AE45&lt;0,0,AE45))</f>
        <v>0</v>
      </c>
      <c r="AH45" s="2048" t="str">
        <f>IF('2. XL-1F TT(CA2)'!AB8="","",'2. XL-1F TT(CA2)'!AB8)</f>
        <v/>
      </c>
      <c r="AI45" s="1845" t="s">
        <v>9</v>
      </c>
      <c r="AJ45" s="2540">
        <f>XM.HN!F28</f>
        <v>11</v>
      </c>
      <c r="AK45" s="1930">
        <f>AJ45*6.49</f>
        <v>71.39</v>
      </c>
      <c r="AL45" s="2489">
        <f>($G$45-AK45)*3305/1000</f>
        <v>-4.5939500000000013</v>
      </c>
      <c r="AM45" s="1842" t="s">
        <v>8</v>
      </c>
      <c r="AN45" s="1843">
        <f t="shared" ref="AN45:AN58" si="10">IF(AK45=0,0,IF(AL45&lt;0,0,AL45))</f>
        <v>0</v>
      </c>
      <c r="AO45" s="2048" t="str">
        <f>IF('2. XL-1F TT(CA2)'!AF8="","",'2. XL-1F TT(CA2)'!AF8)</f>
        <v/>
      </c>
      <c r="AP45" s="1845" t="s">
        <v>9</v>
      </c>
      <c r="AQ45" s="2540">
        <f>XM.HN!G28</f>
        <v>11.1</v>
      </c>
      <c r="AR45" s="1930">
        <f>AQ45*6.49</f>
        <v>72.039000000000001</v>
      </c>
      <c r="AS45" s="2489">
        <f>($G$45-AR45)*3305/1000</f>
        <v>-6.7388950000000047</v>
      </c>
      <c r="AT45" s="1842" t="s">
        <v>8</v>
      </c>
      <c r="AU45" s="1843">
        <f t="shared" ref="AU45:AU58" si="11">IF(AR45=0,0,IF(AS45&lt;0,0,AS45))</f>
        <v>0</v>
      </c>
      <c r="AV45" s="2048" t="str">
        <f>IF('2. XL-1F TT(CA2)'!AJ8="","",'2. XL-1F TT(CA2)'!AJ8)</f>
        <v/>
      </c>
      <c r="AW45" s="1845" t="s">
        <v>9</v>
      </c>
      <c r="AY45" s="3243"/>
    </row>
    <row r="46" spans="1:53" ht="39.75" customHeight="1">
      <c r="A46" s="1857"/>
      <c r="B46" s="1858"/>
      <c r="C46" s="1871" t="s">
        <v>231</v>
      </c>
      <c r="D46" s="1860"/>
      <c r="E46" s="1861" t="s">
        <v>1363</v>
      </c>
      <c r="F46" s="1902"/>
      <c r="G46" s="2618"/>
      <c r="H46" s="2578"/>
      <c r="I46" s="1882"/>
      <c r="J46" s="2491"/>
      <c r="K46" s="1865" t="s">
        <v>8</v>
      </c>
      <c r="L46" s="1869">
        <f>L45/25*7.5</f>
        <v>0</v>
      </c>
      <c r="M46" s="2050" t="str">
        <f>IF('2. XL-1F TT '!AB9="","",'2. XL-1F TT '!AB9)</f>
        <v/>
      </c>
      <c r="N46" s="1867" t="s">
        <v>10</v>
      </c>
      <c r="O46" s="2542"/>
      <c r="P46" s="1882"/>
      <c r="Q46" s="2491"/>
      <c r="R46" s="1865" t="s">
        <v>8</v>
      </c>
      <c r="S46" s="1869">
        <f>S45/25*7.5</f>
        <v>0</v>
      </c>
      <c r="T46" s="2050" t="str">
        <f>IF('2. XL-1F TT '!AF9="","",'2. XL-1F TT '!AF9)</f>
        <v/>
      </c>
      <c r="U46" s="1867" t="s">
        <v>10</v>
      </c>
      <c r="V46" s="2542"/>
      <c r="W46" s="1882"/>
      <c r="X46" s="2491"/>
      <c r="Y46" s="1865" t="s">
        <v>8</v>
      </c>
      <c r="Z46" s="1869">
        <f>Z45/25*7.5</f>
        <v>0</v>
      </c>
      <c r="AA46" s="2050" t="str">
        <f>IF('2. XL-1F TT '!AJ9="","",'2. XL-1F TT '!AJ9)</f>
        <v/>
      </c>
      <c r="AB46" s="1867" t="s">
        <v>10</v>
      </c>
      <c r="AC46" s="2542"/>
      <c r="AD46" s="1882"/>
      <c r="AE46" s="2491"/>
      <c r="AF46" s="1865" t="s">
        <v>8</v>
      </c>
      <c r="AG46" s="1869">
        <f>AG45/25*7.5</f>
        <v>0</v>
      </c>
      <c r="AH46" s="2050" t="str">
        <f>IF('2. XL-1F TT(CA2)'!AB9="","",'2. XL-1F TT(CA2)'!AB9)</f>
        <v/>
      </c>
      <c r="AI46" s="1867" t="s">
        <v>10</v>
      </c>
      <c r="AJ46" s="2542"/>
      <c r="AK46" s="1882"/>
      <c r="AL46" s="2491"/>
      <c r="AM46" s="1865" t="s">
        <v>8</v>
      </c>
      <c r="AN46" s="1869">
        <f>AN45/25*7.5</f>
        <v>0</v>
      </c>
      <c r="AO46" s="2050" t="str">
        <f>IF('2. XL-1F TT(CA2)'!AF9="","",'2. XL-1F TT(CA2)'!AF9)</f>
        <v/>
      </c>
      <c r="AP46" s="1867" t="s">
        <v>10</v>
      </c>
      <c r="AQ46" s="2542"/>
      <c r="AR46" s="1882"/>
      <c r="AS46" s="2491"/>
      <c r="AT46" s="1865" t="s">
        <v>8</v>
      </c>
      <c r="AU46" s="1869">
        <f>AU45/25*7.5</f>
        <v>0</v>
      </c>
      <c r="AV46" s="2050" t="str">
        <f>IF('2. XL-1F TT(CA2)'!AJ9="","",'2. XL-1F TT(CA2)'!AJ9)</f>
        <v/>
      </c>
      <c r="AW46" s="1867" t="s">
        <v>10</v>
      </c>
      <c r="AY46" s="3244"/>
    </row>
    <row r="47" spans="1:53" ht="45" customHeight="1">
      <c r="A47" s="1834" t="s">
        <v>264</v>
      </c>
      <c r="B47" s="1835" t="s">
        <v>214</v>
      </c>
      <c r="C47" s="1872" t="s">
        <v>1487</v>
      </c>
      <c r="D47" s="1836" t="s">
        <v>4</v>
      </c>
      <c r="E47" s="1837" t="s">
        <v>1343</v>
      </c>
      <c r="F47" s="1901" t="s">
        <v>1533</v>
      </c>
      <c r="G47" s="2615">
        <v>60</v>
      </c>
      <c r="H47" s="2577">
        <f>XM.HN!B30</f>
        <v>13.55</v>
      </c>
      <c r="I47" s="1930">
        <f>H47*4.62</f>
        <v>62.601000000000006</v>
      </c>
      <c r="J47" s="2489">
        <f>($G$47-I47)*1156/1000</f>
        <v>-3.0067560000000073</v>
      </c>
      <c r="K47" s="1842" t="s">
        <v>8</v>
      </c>
      <c r="L47" s="1843">
        <f t="shared" si="6"/>
        <v>0</v>
      </c>
      <c r="M47" s="2048" t="str">
        <f>IF('2. XL-1F TT '!AB10="","",'2. XL-1F TT '!AB10)</f>
        <v/>
      </c>
      <c r="N47" s="1845" t="s">
        <v>9</v>
      </c>
      <c r="O47" s="2540">
        <f>XM.HN!C30</f>
        <v>13.65</v>
      </c>
      <c r="P47" s="1930">
        <f>O47*4.62</f>
        <v>63.063000000000002</v>
      </c>
      <c r="Q47" s="2489">
        <f>($G$47-P47)*1156/1000</f>
        <v>-3.5408280000000025</v>
      </c>
      <c r="R47" s="1842" t="s">
        <v>8</v>
      </c>
      <c r="S47" s="1843">
        <f t="shared" si="7"/>
        <v>0</v>
      </c>
      <c r="T47" s="2048" t="str">
        <f>IF('2. XL-1F TT '!AF10="","",'2. XL-1F TT '!AF10)</f>
        <v/>
      </c>
      <c r="U47" s="1845" t="s">
        <v>9</v>
      </c>
      <c r="V47" s="2540">
        <f>XM.HN!D30</f>
        <v>14</v>
      </c>
      <c r="W47" s="1930">
        <f>V47*4.62</f>
        <v>64.680000000000007</v>
      </c>
      <c r="X47" s="2489">
        <f>($G$47-W47)*1156/1000</f>
        <v>-5.4100800000000078</v>
      </c>
      <c r="Y47" s="1842" t="s">
        <v>8</v>
      </c>
      <c r="Z47" s="1843">
        <f t="shared" si="8"/>
        <v>0</v>
      </c>
      <c r="AA47" s="2048" t="str">
        <f>IF('2. XL-1F TT '!AJ10="","",'2. XL-1F TT '!AJ10)</f>
        <v/>
      </c>
      <c r="AB47" s="1845" t="s">
        <v>9</v>
      </c>
      <c r="AC47" s="2540">
        <f>XM.HN!E30</f>
        <v>13.7</v>
      </c>
      <c r="AD47" s="1930">
        <f>AC47*4.62</f>
        <v>63.293999999999997</v>
      </c>
      <c r="AE47" s="2489">
        <f>($G$47-AD47)*1156/1000</f>
        <v>-3.8078639999999964</v>
      </c>
      <c r="AF47" s="1842" t="s">
        <v>8</v>
      </c>
      <c r="AG47" s="1843">
        <f t="shared" si="9"/>
        <v>0</v>
      </c>
      <c r="AH47" s="2048" t="str">
        <f>IF('2. XL-1F TT(CA2)'!AB10="","",'2. XL-1F TT(CA2)'!AB10)</f>
        <v/>
      </c>
      <c r="AI47" s="1845" t="s">
        <v>9</v>
      </c>
      <c r="AJ47" s="2540">
        <f>XM.HN!F30</f>
        <v>13.5</v>
      </c>
      <c r="AK47" s="1930">
        <f>AJ47*4.62</f>
        <v>62.370000000000005</v>
      </c>
      <c r="AL47" s="2489">
        <f>($G$47-AK47)*1156/1000</f>
        <v>-2.739720000000005</v>
      </c>
      <c r="AM47" s="1842" t="s">
        <v>8</v>
      </c>
      <c r="AN47" s="1843">
        <f t="shared" si="10"/>
        <v>0</v>
      </c>
      <c r="AO47" s="2048" t="str">
        <f>IF('2. XL-1F TT(CA2)'!AF10="","",'2. XL-1F TT(CA2)'!AF10)</f>
        <v/>
      </c>
      <c r="AP47" s="1845" t="s">
        <v>9</v>
      </c>
      <c r="AQ47" s="2540">
        <f>XM.HN!G30</f>
        <v>13</v>
      </c>
      <c r="AR47" s="1930">
        <f>AQ47*4.62</f>
        <v>60.06</v>
      </c>
      <c r="AS47" s="2489">
        <f>($G$47-AR47)*1156/1000</f>
        <v>-6.9360000000002628E-2</v>
      </c>
      <c r="AT47" s="1842" t="s">
        <v>8</v>
      </c>
      <c r="AU47" s="1843">
        <f t="shared" si="11"/>
        <v>0</v>
      </c>
      <c r="AV47" s="2048" t="str">
        <f>IF('2. XL-1F TT(CA2)'!AJ10="","",'2. XL-1F TT(CA2)'!AJ10)</f>
        <v/>
      </c>
      <c r="AW47" s="1845" t="s">
        <v>9</v>
      </c>
      <c r="AY47" s="3243"/>
    </row>
    <row r="48" spans="1:53" ht="39.75" customHeight="1">
      <c r="A48" s="1857"/>
      <c r="B48" s="1858"/>
      <c r="C48" s="1871" t="s">
        <v>233</v>
      </c>
      <c r="D48" s="1860"/>
      <c r="E48" s="1861" t="s">
        <v>1488</v>
      </c>
      <c r="F48" s="1902"/>
      <c r="G48" s="2618"/>
      <c r="H48" s="2578"/>
      <c r="I48" s="1882"/>
      <c r="J48" s="2491"/>
      <c r="K48" s="1865" t="s">
        <v>8</v>
      </c>
      <c r="L48" s="1869">
        <f>L47/25*7</f>
        <v>0</v>
      </c>
      <c r="M48" s="2050" t="str">
        <f>IF('2. XL-1F TT '!AB11="","",'2. XL-1F TT '!AB11)</f>
        <v/>
      </c>
      <c r="N48" s="1867" t="s">
        <v>10</v>
      </c>
      <c r="O48" s="2542"/>
      <c r="P48" s="1882"/>
      <c r="Q48" s="2491"/>
      <c r="R48" s="1865" t="s">
        <v>8</v>
      </c>
      <c r="S48" s="1869">
        <f>S47/25*7</f>
        <v>0</v>
      </c>
      <c r="T48" s="2050" t="str">
        <f>IF('2. XL-1F TT '!AF11="","",'2. XL-1F TT '!AF11)</f>
        <v/>
      </c>
      <c r="U48" s="1867" t="s">
        <v>10</v>
      </c>
      <c r="V48" s="2542"/>
      <c r="W48" s="1882"/>
      <c r="X48" s="2491"/>
      <c r="Y48" s="1865" t="s">
        <v>8</v>
      </c>
      <c r="Z48" s="1869">
        <f>Z47/25*7</f>
        <v>0</v>
      </c>
      <c r="AA48" s="2050" t="str">
        <f>IF('2. XL-1F TT '!AJ11="","",'2. XL-1F TT '!AJ11)</f>
        <v/>
      </c>
      <c r="AB48" s="1867" t="s">
        <v>10</v>
      </c>
      <c r="AC48" s="2542"/>
      <c r="AD48" s="1882"/>
      <c r="AE48" s="2491"/>
      <c r="AF48" s="1865" t="s">
        <v>8</v>
      </c>
      <c r="AG48" s="1869">
        <f>AG47/25*7</f>
        <v>0</v>
      </c>
      <c r="AH48" s="2050" t="str">
        <f>IF('2. XL-1F TT(CA2)'!AB11="","",'2. XL-1F TT(CA2)'!AB11)</f>
        <v/>
      </c>
      <c r="AI48" s="1867" t="s">
        <v>10</v>
      </c>
      <c r="AJ48" s="2542"/>
      <c r="AK48" s="1882"/>
      <c r="AL48" s="2491"/>
      <c r="AM48" s="1865" t="s">
        <v>8</v>
      </c>
      <c r="AN48" s="1869">
        <f>AN47/25*7</f>
        <v>0</v>
      </c>
      <c r="AO48" s="2050" t="str">
        <f>IF('2. XL-1F TT(CA2)'!AF11="","",'2. XL-1F TT(CA2)'!AF11)</f>
        <v/>
      </c>
      <c r="AP48" s="1867" t="s">
        <v>10</v>
      </c>
      <c r="AQ48" s="2542"/>
      <c r="AR48" s="1882"/>
      <c r="AS48" s="2491"/>
      <c r="AT48" s="1865" t="s">
        <v>8</v>
      </c>
      <c r="AU48" s="1869">
        <f>AU47/25*7</f>
        <v>0</v>
      </c>
      <c r="AV48" s="2050" t="str">
        <f>IF('2. XL-1F TT(CA2)'!AJ11="","",'2. XL-1F TT(CA2)'!AJ11)</f>
        <v/>
      </c>
      <c r="AW48" s="1867" t="s">
        <v>10</v>
      </c>
      <c r="AY48" s="3244"/>
    </row>
    <row r="49" spans="1:55" ht="39.75" customHeight="1">
      <c r="A49" s="1834" t="s">
        <v>265</v>
      </c>
      <c r="B49" s="1835" t="s">
        <v>214</v>
      </c>
      <c r="C49" s="1872" t="s">
        <v>1489</v>
      </c>
      <c r="D49" s="1836" t="s">
        <v>4</v>
      </c>
      <c r="E49" s="1837" t="s">
        <v>1343</v>
      </c>
      <c r="F49" s="1901" t="s">
        <v>1533</v>
      </c>
      <c r="G49" s="2615">
        <v>60</v>
      </c>
      <c r="H49" s="2577">
        <f>XM.HN!B32</f>
        <v>13.45</v>
      </c>
      <c r="I49" s="1930">
        <f>H49*4.62</f>
        <v>62.138999999999996</v>
      </c>
      <c r="J49" s="2489">
        <f>($G$49-I49)*1459/1000</f>
        <v>-3.1208009999999939</v>
      </c>
      <c r="K49" s="1842" t="s">
        <v>8</v>
      </c>
      <c r="L49" s="1843">
        <f t="shared" si="6"/>
        <v>0</v>
      </c>
      <c r="M49" s="2048" t="str">
        <f>IF('2. XL-1F TT '!AB12="","",'2. XL-1F TT '!AB12)</f>
        <v/>
      </c>
      <c r="N49" s="1845" t="s">
        <v>9</v>
      </c>
      <c r="O49" s="2540">
        <f>XM.HN!C32</f>
        <v>13.05</v>
      </c>
      <c r="P49" s="1930">
        <f>O49*4.62</f>
        <v>60.291000000000004</v>
      </c>
      <c r="Q49" s="2489">
        <f>($G$49-P49)*1459/1000</f>
        <v>-0.42456900000000569</v>
      </c>
      <c r="R49" s="1842" t="s">
        <v>8</v>
      </c>
      <c r="S49" s="1843">
        <f t="shared" si="7"/>
        <v>0</v>
      </c>
      <c r="T49" s="2048" t="str">
        <f>IF('2. XL-1F TT '!AF12="","",'2. XL-1F TT '!AF12)</f>
        <v/>
      </c>
      <c r="U49" s="1845" t="s">
        <v>9</v>
      </c>
      <c r="V49" s="2540">
        <f>XM.HN!D32</f>
        <v>13</v>
      </c>
      <c r="W49" s="1930">
        <f>V49*4.62</f>
        <v>60.06</v>
      </c>
      <c r="X49" s="2489">
        <f>($G$49-W49)*1459/1000</f>
        <v>-8.7540000000003323E-2</v>
      </c>
      <c r="Y49" s="1842" t="s">
        <v>8</v>
      </c>
      <c r="Z49" s="1843">
        <f t="shared" si="8"/>
        <v>0</v>
      </c>
      <c r="AA49" s="2048" t="str">
        <f>IF('2. XL-1F TT '!AJ12="","",'2. XL-1F TT '!AJ12)</f>
        <v/>
      </c>
      <c r="AB49" s="1845" t="s">
        <v>9</v>
      </c>
      <c r="AC49" s="2540">
        <f>XM.HN!E32</f>
        <v>11.8</v>
      </c>
      <c r="AD49" s="1930">
        <f>AC49*4.62</f>
        <v>54.516000000000005</v>
      </c>
      <c r="AE49" s="2489">
        <f>($G$49-AD49)*1459/1000</f>
        <v>8.0011559999999911</v>
      </c>
      <c r="AF49" s="1842" t="s">
        <v>8</v>
      </c>
      <c r="AG49" s="1843">
        <f t="shared" si="9"/>
        <v>8.0011559999999911</v>
      </c>
      <c r="AH49" s="2048" t="str">
        <f>IF('2. XL-1F TT(CA2)'!AB12="","",'2. XL-1F TT(CA2)'!AB12)</f>
        <v>có</v>
      </c>
      <c r="AI49" s="1845" t="s">
        <v>9</v>
      </c>
      <c r="AJ49" s="2540">
        <f>XM.HN!F32</f>
        <v>14.5</v>
      </c>
      <c r="AK49" s="1930">
        <f>AJ49*4.62</f>
        <v>66.989999999999995</v>
      </c>
      <c r="AL49" s="2489">
        <f>($G$49-AK49)*1459/1000</f>
        <v>-10.198409999999992</v>
      </c>
      <c r="AM49" s="1842" t="s">
        <v>8</v>
      </c>
      <c r="AN49" s="1843">
        <f t="shared" si="10"/>
        <v>0</v>
      </c>
      <c r="AO49" s="2048" t="str">
        <f>IF('2. XL-1F TT(CA2)'!AF12="","",'2. XL-1F TT(CA2)'!AF12)</f>
        <v/>
      </c>
      <c r="AP49" s="1845" t="s">
        <v>9</v>
      </c>
      <c r="AQ49" s="2540">
        <f>XM.HN!G32</f>
        <v>14.4</v>
      </c>
      <c r="AR49" s="1930">
        <f>AQ49*4.62</f>
        <v>66.528000000000006</v>
      </c>
      <c r="AS49" s="2489">
        <f>($G$49-AR49)*1459/1000</f>
        <v>-9.5243520000000075</v>
      </c>
      <c r="AT49" s="1842" t="s">
        <v>8</v>
      </c>
      <c r="AU49" s="1843">
        <f t="shared" si="11"/>
        <v>0</v>
      </c>
      <c r="AV49" s="2048" t="str">
        <f>IF('2. XL-1F TT(CA2)'!AJ12="","",'2. XL-1F TT(CA2)'!AJ12)</f>
        <v/>
      </c>
      <c r="AW49" s="1845" t="s">
        <v>9</v>
      </c>
      <c r="AY49" s="3243"/>
    </row>
    <row r="50" spans="1:55" ht="39.75" customHeight="1">
      <c r="A50" s="1857"/>
      <c r="B50" s="1858"/>
      <c r="C50" s="1871" t="s">
        <v>233</v>
      </c>
      <c r="D50" s="1860"/>
      <c r="E50" s="1861" t="s">
        <v>1488</v>
      </c>
      <c r="F50" s="1902"/>
      <c r="G50" s="2618"/>
      <c r="H50" s="2578"/>
      <c r="I50" s="1882"/>
      <c r="J50" s="2491"/>
      <c r="K50" s="1865" t="s">
        <v>8</v>
      </c>
      <c r="L50" s="1869">
        <f>L49/25*7</f>
        <v>0</v>
      </c>
      <c r="M50" s="2050" t="str">
        <f>IF('2. XL-1F TT '!AB13="","",'2. XL-1F TT '!AB13)</f>
        <v/>
      </c>
      <c r="N50" s="1867" t="s">
        <v>10</v>
      </c>
      <c r="O50" s="2542"/>
      <c r="P50" s="1882"/>
      <c r="Q50" s="2491"/>
      <c r="R50" s="1865"/>
      <c r="S50" s="1869">
        <f>S49/25*7</f>
        <v>0</v>
      </c>
      <c r="T50" s="2050" t="str">
        <f>IF('2. XL-1F TT '!AF13="","",'2. XL-1F TT '!AF13)</f>
        <v/>
      </c>
      <c r="U50" s="1867" t="s">
        <v>10</v>
      </c>
      <c r="V50" s="2542"/>
      <c r="W50" s="1882"/>
      <c r="X50" s="2491"/>
      <c r="Y50" s="1865"/>
      <c r="Z50" s="1869">
        <f>Z49/25*7</f>
        <v>0</v>
      </c>
      <c r="AA50" s="2050" t="str">
        <f>IF('2. XL-1F TT '!AJ13="","",'2. XL-1F TT '!AJ13)</f>
        <v/>
      </c>
      <c r="AB50" s="1867" t="s">
        <v>10</v>
      </c>
      <c r="AC50" s="2542"/>
      <c r="AD50" s="1882"/>
      <c r="AE50" s="2491"/>
      <c r="AF50" s="1865"/>
      <c r="AG50" s="1869">
        <f>AG49/25*7</f>
        <v>2.2403236799999977</v>
      </c>
      <c r="AH50" s="2050" t="str">
        <f>IF('2. XL-1F TT(CA2)'!AB13="","",'2. XL-1F TT(CA2)'!AB13)</f>
        <v/>
      </c>
      <c r="AI50" s="1867" t="s">
        <v>10</v>
      </c>
      <c r="AJ50" s="2542"/>
      <c r="AK50" s="1882"/>
      <c r="AL50" s="2491"/>
      <c r="AM50" s="1865"/>
      <c r="AN50" s="1869">
        <f>AN49/25*7</f>
        <v>0</v>
      </c>
      <c r="AO50" s="2050" t="str">
        <f>IF('2. XL-1F TT(CA2)'!AF13="","",'2. XL-1F TT(CA2)'!AF13)</f>
        <v/>
      </c>
      <c r="AP50" s="1867" t="s">
        <v>10</v>
      </c>
      <c r="AQ50" s="2542"/>
      <c r="AR50" s="1882"/>
      <c r="AS50" s="2491"/>
      <c r="AT50" s="1865"/>
      <c r="AU50" s="1869">
        <f>AU49/25*7</f>
        <v>0</v>
      </c>
      <c r="AV50" s="2050" t="str">
        <f>IF('2. XL-1F TT(CA2)'!AJ13="","",'2. XL-1F TT(CA2)'!AJ13)</f>
        <v/>
      </c>
      <c r="AW50" s="1867" t="s">
        <v>10</v>
      </c>
      <c r="AY50" s="3244"/>
    </row>
    <row r="51" spans="1:55" ht="41.25" customHeight="1">
      <c r="A51" s="1718" t="s">
        <v>266</v>
      </c>
      <c r="B51" s="1035" t="s">
        <v>214</v>
      </c>
      <c r="C51" s="1033" t="s">
        <v>56</v>
      </c>
      <c r="D51" s="1039" t="s">
        <v>4</v>
      </c>
      <c r="E51" s="46" t="s">
        <v>1338</v>
      </c>
      <c r="F51" s="1903" t="s">
        <v>1527</v>
      </c>
      <c r="G51" s="2619">
        <v>140</v>
      </c>
      <c r="H51" s="2543">
        <f>XM.HN!B34</f>
        <v>18</v>
      </c>
      <c r="I51" s="1762">
        <f>H51*8</f>
        <v>144</v>
      </c>
      <c r="J51" s="2656">
        <f>($G$51-I51)*19951/1000</f>
        <v>-79.804000000000002</v>
      </c>
      <c r="K51" s="1763" t="s">
        <v>8</v>
      </c>
      <c r="L51" s="1764">
        <f t="shared" si="6"/>
        <v>0</v>
      </c>
      <c r="M51" s="2051" t="str">
        <f>IF('2. XL-1F TT '!AB14="","",'2. XL-1F TT '!AB14)</f>
        <v/>
      </c>
      <c r="N51" s="1767" t="s">
        <v>9</v>
      </c>
      <c r="O51" s="2663">
        <f>XM.HN!C34</f>
        <v>17.7</v>
      </c>
      <c r="P51" s="1733">
        <f>O51*8</f>
        <v>141.6</v>
      </c>
      <c r="Q51" s="2656">
        <f>($G$51-P51)*19951/1000</f>
        <v>-31.921599999999884</v>
      </c>
      <c r="R51" s="1763" t="s">
        <v>8</v>
      </c>
      <c r="S51" s="1764">
        <f t="shared" si="7"/>
        <v>0</v>
      </c>
      <c r="T51" s="2051" t="str">
        <f>IF('2. XL-1F TT '!AF14="","",'2. XL-1F TT '!AF14)</f>
        <v/>
      </c>
      <c r="U51" s="1767" t="s">
        <v>9</v>
      </c>
      <c r="V51" s="2663">
        <f>XM.HN!D34</f>
        <v>17.649999999999999</v>
      </c>
      <c r="W51" s="1762">
        <f>V51*8</f>
        <v>141.19999999999999</v>
      </c>
      <c r="X51" s="2656">
        <f>($G$51-W51)*19951/1000</f>
        <v>-23.941199999999771</v>
      </c>
      <c r="Y51" s="1763" t="s">
        <v>8</v>
      </c>
      <c r="Z51" s="1764">
        <f t="shared" si="8"/>
        <v>0</v>
      </c>
      <c r="AA51" s="2051" t="str">
        <f>IF('2. XL-1F TT '!AJ14="","",'2. XL-1F TT '!AJ14)</f>
        <v/>
      </c>
      <c r="AB51" s="1767" t="s">
        <v>9</v>
      </c>
      <c r="AC51" s="2663">
        <f>XM.HN!E34</f>
        <v>17.600000000000001</v>
      </c>
      <c r="AD51" s="1762">
        <f>AC51*8</f>
        <v>140.80000000000001</v>
      </c>
      <c r="AE51" s="2656">
        <f>($G$51-AD51)*19951/1000</f>
        <v>-15.960800000000226</v>
      </c>
      <c r="AF51" s="1763" t="s">
        <v>8</v>
      </c>
      <c r="AG51" s="1764">
        <f t="shared" si="9"/>
        <v>0</v>
      </c>
      <c r="AH51" s="2051" t="str">
        <f>IF('2. XL-1F TT(CA2)'!AB14="","",'2. XL-1F TT(CA2)'!AB14)</f>
        <v/>
      </c>
      <c r="AI51" s="1767" t="s">
        <v>9</v>
      </c>
      <c r="AJ51" s="2663">
        <f>XM.HN!F34</f>
        <v>17.7</v>
      </c>
      <c r="AK51" s="1762">
        <f>AJ51*8</f>
        <v>141.6</v>
      </c>
      <c r="AL51" s="2656">
        <f>($G$51-AK51)*19951/1000</f>
        <v>-31.921599999999884</v>
      </c>
      <c r="AM51" s="1763" t="s">
        <v>8</v>
      </c>
      <c r="AN51" s="1764">
        <f t="shared" si="10"/>
        <v>0</v>
      </c>
      <c r="AO51" s="2051" t="str">
        <f>IF('2. XL-1F TT(CA2)'!AF14="","",'2. XL-1F TT(CA2)'!AF14)</f>
        <v/>
      </c>
      <c r="AP51" s="1767" t="s">
        <v>9</v>
      </c>
      <c r="AQ51" s="2663">
        <f>XM.HN!G34</f>
        <v>17.600000000000001</v>
      </c>
      <c r="AR51" s="1762">
        <f>AQ51*8</f>
        <v>140.80000000000001</v>
      </c>
      <c r="AS51" s="2492">
        <f>($G$51-AR51)*19951/1000</f>
        <v>-15.960800000000226</v>
      </c>
      <c r="AT51" s="1735" t="s">
        <v>8</v>
      </c>
      <c r="AU51" s="1764">
        <f t="shared" si="11"/>
        <v>0</v>
      </c>
      <c r="AV51" s="2051" t="str">
        <f>IF('2. XL-1F TT(CA2)'!AJ14="","",'2. XL-1F TT(CA2)'!AJ14)</f>
        <v/>
      </c>
      <c r="AW51" s="1737" t="s">
        <v>9</v>
      </c>
      <c r="AY51" s="2174"/>
    </row>
    <row r="52" spans="1:55" ht="41.25" customHeight="1">
      <c r="A52" s="1045" t="s">
        <v>267</v>
      </c>
      <c r="B52" s="1035" t="s">
        <v>214</v>
      </c>
      <c r="C52" s="1018" t="s">
        <v>57</v>
      </c>
      <c r="D52" s="1039" t="s">
        <v>4</v>
      </c>
      <c r="E52" s="1616" t="s">
        <v>1355</v>
      </c>
      <c r="F52" s="1903" t="s">
        <v>1526</v>
      </c>
      <c r="G52" s="2620">
        <v>10</v>
      </c>
      <c r="H52" s="2543">
        <f>XM.HN!B35</f>
        <v>7.9</v>
      </c>
      <c r="I52" s="1738">
        <f>H52*1.3</f>
        <v>10.270000000000001</v>
      </c>
      <c r="J52" s="2505">
        <f>($G$52-I52)*19951/1000</f>
        <v>-5.3867700000000269</v>
      </c>
      <c r="K52" s="1735" t="s">
        <v>8</v>
      </c>
      <c r="L52" s="1764">
        <f t="shared" si="6"/>
        <v>0</v>
      </c>
      <c r="M52" s="2051" t="str">
        <f>IF('2. XL-1F TT '!AB15="","",'2. XL-1F TT '!AB15)</f>
        <v/>
      </c>
      <c r="N52" s="1737" t="s">
        <v>9</v>
      </c>
      <c r="O52" s="2539">
        <f>XM.HN!C35</f>
        <v>8.1999999999999993</v>
      </c>
      <c r="P52" s="1738">
        <f>O52*1.3</f>
        <v>10.66</v>
      </c>
      <c r="Q52" s="2505">
        <f>($G$52-P52)*19951/1000</f>
        <v>-13.167660000000003</v>
      </c>
      <c r="R52" s="1735" t="s">
        <v>8</v>
      </c>
      <c r="S52" s="1764">
        <f t="shared" si="7"/>
        <v>0</v>
      </c>
      <c r="T52" s="2051" t="str">
        <f>IF('2. XL-1F TT '!AF15="","",'2. XL-1F TT '!AF15)</f>
        <v/>
      </c>
      <c r="U52" s="1737" t="s">
        <v>9</v>
      </c>
      <c r="V52" s="2571">
        <f>XM.HN!D35</f>
        <v>8.3000000000000007</v>
      </c>
      <c r="W52" s="1738">
        <f>V52*1.3</f>
        <v>10.790000000000001</v>
      </c>
      <c r="X52" s="2505">
        <f>($G$52-W52)*19951/1000</f>
        <v>-15.761290000000018</v>
      </c>
      <c r="Y52" s="1735" t="s">
        <v>8</v>
      </c>
      <c r="Z52" s="1764">
        <f t="shared" si="8"/>
        <v>0</v>
      </c>
      <c r="AA52" s="2051" t="str">
        <f>IF('2. XL-1F TT '!AJ15="","",'2. XL-1F TT '!AJ15)</f>
        <v/>
      </c>
      <c r="AB52" s="1737" t="s">
        <v>9</v>
      </c>
      <c r="AC52" s="2539">
        <f>XM.HN!E35</f>
        <v>8.6999999999999993</v>
      </c>
      <c r="AD52" s="1738">
        <f>AC52*1.3</f>
        <v>11.309999999999999</v>
      </c>
      <c r="AE52" s="2505">
        <f>($G$52-AD52)*19951/1000</f>
        <v>-26.135809999999974</v>
      </c>
      <c r="AF52" s="1735" t="s">
        <v>8</v>
      </c>
      <c r="AG52" s="1764">
        <f t="shared" si="9"/>
        <v>0</v>
      </c>
      <c r="AH52" s="2051" t="str">
        <f>IF('2. XL-1F TT(CA2)'!AB15="","",'2. XL-1F TT(CA2)'!AB15)</f>
        <v/>
      </c>
      <c r="AI52" s="1737" t="s">
        <v>9</v>
      </c>
      <c r="AJ52" s="2539">
        <f>XM.HN!F35</f>
        <v>8.5</v>
      </c>
      <c r="AK52" s="1738">
        <f>AJ52*1.3</f>
        <v>11.05</v>
      </c>
      <c r="AL52" s="2505">
        <f>($G$52-AK52)*19951/1000</f>
        <v>-20.948550000000015</v>
      </c>
      <c r="AM52" s="1735" t="s">
        <v>8</v>
      </c>
      <c r="AN52" s="1764">
        <f t="shared" si="10"/>
        <v>0</v>
      </c>
      <c r="AO52" s="2051" t="str">
        <f>IF('2. XL-1F TT(CA2)'!AF15="","",'2. XL-1F TT(CA2)'!AF15)</f>
        <v/>
      </c>
      <c r="AP52" s="1737" t="s">
        <v>9</v>
      </c>
      <c r="AQ52" s="2539">
        <f>XM.HN!G35</f>
        <v>8.3000000000000007</v>
      </c>
      <c r="AR52" s="1738">
        <f>AQ52*1.3</f>
        <v>10.790000000000001</v>
      </c>
      <c r="AS52" s="2655">
        <f>($G$52-AR52)*19951/1000</f>
        <v>-15.761290000000018</v>
      </c>
      <c r="AT52" s="1735" t="s">
        <v>8</v>
      </c>
      <c r="AU52" s="1764">
        <f t="shared" si="11"/>
        <v>0</v>
      </c>
      <c r="AV52" s="2051" t="str">
        <f>IF('2. XL-1F TT(CA2)'!AJ15="","",'2. XL-1F TT(CA2)'!AJ15)</f>
        <v/>
      </c>
      <c r="AW52" s="1737" t="s">
        <v>9</v>
      </c>
      <c r="AY52" s="2174"/>
    </row>
    <row r="53" spans="1:55" ht="41.25" customHeight="1">
      <c r="A53" s="1719" t="s">
        <v>268</v>
      </c>
      <c r="B53" s="1035" t="s">
        <v>214</v>
      </c>
      <c r="C53" s="1048" t="s">
        <v>1022</v>
      </c>
      <c r="D53" s="1039" t="s">
        <v>3</v>
      </c>
      <c r="E53" s="46" t="s">
        <v>1344</v>
      </c>
      <c r="F53" s="1903" t="s">
        <v>1516</v>
      </c>
      <c r="G53" s="2620">
        <v>7</v>
      </c>
      <c r="H53" s="2543">
        <f>XM.HN!B36</f>
        <v>17.25</v>
      </c>
      <c r="I53" s="1738">
        <f>(H53*0.4237)-1.0461</f>
        <v>6.2627250000000005</v>
      </c>
      <c r="J53" s="2505">
        <f>($G$53-I53)*575/100</f>
        <v>4.2393312499999967</v>
      </c>
      <c r="K53" s="1735" t="s">
        <v>8</v>
      </c>
      <c r="L53" s="1764">
        <f>IF(I53=-1.0461,0,IF(J53&lt;0,0,J53))</f>
        <v>4.2393312499999967</v>
      </c>
      <c r="M53" s="2051" t="str">
        <f>IF('2. XL-1F TT '!AB16="","",'2. XL-1F TT '!AB16)</f>
        <v/>
      </c>
      <c r="N53" s="1739" t="s">
        <v>10</v>
      </c>
      <c r="O53" s="2539">
        <f>XM.HN!C36</f>
        <v>17.399999999999999</v>
      </c>
      <c r="P53" s="1738">
        <f>(O53*0.4237)-1.0461</f>
        <v>6.3262799999999997</v>
      </c>
      <c r="Q53" s="2505">
        <f>($G$53-P53)*575/100</f>
        <v>3.8738900000000016</v>
      </c>
      <c r="R53" s="1735" t="s">
        <v>8</v>
      </c>
      <c r="S53" s="1764">
        <f>IF(P53=-1.0461,0,IF(Q53&lt;0,0,Q53))</f>
        <v>3.8738900000000016</v>
      </c>
      <c r="T53" s="2051" t="str">
        <f>IF('2. XL-1F TT '!AF16="","",'2. XL-1F TT '!AF16)</f>
        <v/>
      </c>
      <c r="U53" s="1739" t="s">
        <v>10</v>
      </c>
      <c r="V53" s="2079">
        <f>XM.HN!D36</f>
        <v>17</v>
      </c>
      <c r="W53" s="1738">
        <f>(V53*0.4237)-1.0461</f>
        <v>6.1568000000000005</v>
      </c>
      <c r="X53" s="2505">
        <f>($G$53-W53)*575/100</f>
        <v>4.8483999999999972</v>
      </c>
      <c r="Y53" s="1735" t="s">
        <v>8</v>
      </c>
      <c r="Z53" s="1764">
        <f>IF(W53=-1.0461,0,IF(X53&lt;0,0,X53))</f>
        <v>4.8483999999999972</v>
      </c>
      <c r="AA53" s="2051" t="str">
        <f>IF('2. XL-1F TT '!AJ16="","",'2. XL-1F TT '!AJ16)</f>
        <v/>
      </c>
      <c r="AB53" s="1739" t="s">
        <v>10</v>
      </c>
      <c r="AC53" s="2079">
        <f>XM.HN!E36</f>
        <v>16.399999999999999</v>
      </c>
      <c r="AD53" s="1738">
        <f>(AC53*0.4237)-1.0461</f>
        <v>5.9025799999999995</v>
      </c>
      <c r="AE53" s="2505">
        <f>($G$53-AD53)*575/100</f>
        <v>6.3101650000000031</v>
      </c>
      <c r="AF53" s="1735" t="s">
        <v>8</v>
      </c>
      <c r="AG53" s="1764">
        <f>IF(AD53=-1.0461,0,IF(AE53&lt;0,0,AE53))</f>
        <v>6.3101650000000031</v>
      </c>
      <c r="AH53" s="2051" t="str">
        <f>IF('2. XL-1F TT(CA2)'!AB16="","",'2. XL-1F TT(CA2)'!AB16)</f>
        <v/>
      </c>
      <c r="AI53" s="1739" t="s">
        <v>10</v>
      </c>
      <c r="AJ53" s="2079">
        <f>XM.HN!F36</f>
        <v>16.7</v>
      </c>
      <c r="AK53" s="1738">
        <f>(AJ53*0.4237)-1.0461</f>
        <v>6.0296900000000004</v>
      </c>
      <c r="AL53" s="2505">
        <f>($G$53-AK53)*575/100</f>
        <v>5.579282499999997</v>
      </c>
      <c r="AM53" s="1735" t="s">
        <v>8</v>
      </c>
      <c r="AN53" s="1764">
        <f>IF(AK53=-1.0461,0,IF(AL53&lt;0,0,AL53))</f>
        <v>5.579282499999997</v>
      </c>
      <c r="AO53" s="2051" t="str">
        <f>IF('2. XL-1F TT(CA2)'!AF16="","",'2. XL-1F TT(CA2)'!AF16)</f>
        <v/>
      </c>
      <c r="AP53" s="1739" t="s">
        <v>10</v>
      </c>
      <c r="AQ53" s="2079">
        <f>XM.HN!G36</f>
        <v>17.100000000000001</v>
      </c>
      <c r="AR53" s="1738">
        <f>(AQ53*0.4237)-1.0461</f>
        <v>6.1991700000000005</v>
      </c>
      <c r="AS53" s="2655">
        <f>($G$53-AR53)*575/100</f>
        <v>4.6047724999999966</v>
      </c>
      <c r="AT53" s="1735" t="s">
        <v>8</v>
      </c>
      <c r="AU53" s="1764">
        <f>IF(AR53=-1.0461,0,IF(AS53&lt;0,0,AS53))</f>
        <v>4.6047724999999966</v>
      </c>
      <c r="AV53" s="2051" t="str">
        <f>IF('2. XL-1F TT(CA2)'!AJ16="","",'2. XL-1F TT(CA2)'!AJ16)</f>
        <v/>
      </c>
      <c r="AW53" s="1737" t="s">
        <v>10</v>
      </c>
      <c r="AY53" s="2174"/>
    </row>
    <row r="54" spans="1:55" ht="41.25" customHeight="1">
      <c r="A54" s="1719" t="s">
        <v>269</v>
      </c>
      <c r="B54" s="1035" t="s">
        <v>214</v>
      </c>
      <c r="C54" s="2292" t="str">
        <f>MENU!Z44</f>
        <v>Pha mới: 2024/05/18</v>
      </c>
      <c r="D54" s="1039" t="s">
        <v>5</v>
      </c>
      <c r="E54" s="46" t="s">
        <v>1314</v>
      </c>
      <c r="F54" s="1903" t="s">
        <v>1305</v>
      </c>
      <c r="G54" s="2621"/>
      <c r="H54" s="2543"/>
      <c r="I54" s="1738">
        <f>XM.HN!B44</f>
        <v>3</v>
      </c>
      <c r="J54" s="2505"/>
      <c r="K54" s="1741"/>
      <c r="L54" s="1764"/>
      <c r="M54" s="2051" t="str">
        <f>IF('2. XL-1F TT '!AB17="","",'2. XL-1F TT '!AB17)</f>
        <v/>
      </c>
      <c r="N54" s="1742"/>
      <c r="O54" s="2539"/>
      <c r="P54" s="1738">
        <f>XM.HN!C44</f>
        <v>3</v>
      </c>
      <c r="Q54" s="2512"/>
      <c r="R54" s="1749"/>
      <c r="S54" s="1764"/>
      <c r="T54" s="2051" t="str">
        <f>IF('2. XL-1F TT '!AF17="","",'2. XL-1F TT '!AF17)</f>
        <v/>
      </c>
      <c r="U54" s="1750"/>
      <c r="W54" s="1738">
        <f>XM.HN!D44</f>
        <v>2.2000000000000002</v>
      </c>
      <c r="X54" s="2512"/>
      <c r="Y54" s="1749"/>
      <c r="Z54" s="1764"/>
      <c r="AA54" s="2051" t="str">
        <f>IF('2. XL-1F TT '!AJ17="","",'2. XL-1F TT '!AJ17)</f>
        <v/>
      </c>
      <c r="AB54" s="1750"/>
      <c r="AD54" s="1738">
        <f>XM.HN!E44</f>
        <v>2.68</v>
      </c>
      <c r="AE54" s="2512"/>
      <c r="AF54" s="1749"/>
      <c r="AG54" s="1764"/>
      <c r="AH54" s="2051" t="str">
        <f>IF('2. XL-1F TT(CA2)'!AB17="","",'2. XL-1F TT(CA2)'!AB17)</f>
        <v/>
      </c>
      <c r="AI54" s="1750"/>
      <c r="AK54" s="1738">
        <f>XM.HN!F44</f>
        <v>2.6</v>
      </c>
      <c r="AL54" s="2512"/>
      <c r="AM54" s="1749"/>
      <c r="AN54" s="1764"/>
      <c r="AO54" s="2051" t="str">
        <f>IF('2. XL-1F TT(CA2)'!AF17="","",'2. XL-1F TT(CA2)'!AF17)</f>
        <v/>
      </c>
      <c r="AP54" s="1750"/>
      <c r="AR54" s="1738">
        <f>XM.HN!G44</f>
        <v>2.9</v>
      </c>
      <c r="AS54" s="2657"/>
      <c r="AT54" s="1741"/>
      <c r="AU54" s="1764"/>
      <c r="AV54" s="2051" t="str">
        <f>IF('2. XL-1F TT(CA2)'!AJ17="","",'2. XL-1F TT(CA2)'!AJ17)</f>
        <v/>
      </c>
      <c r="AW54" s="1778"/>
      <c r="AY54" s="2174"/>
    </row>
    <row r="55" spans="1:55" ht="41.25" customHeight="1">
      <c r="A55" s="1720" t="s">
        <v>270</v>
      </c>
      <c r="B55" s="1035" t="s">
        <v>214</v>
      </c>
      <c r="C55" s="1033" t="s">
        <v>58</v>
      </c>
      <c r="D55" s="1039" t="s">
        <v>6</v>
      </c>
      <c r="E55" s="13" t="s">
        <v>1543</v>
      </c>
      <c r="F55" s="1903" t="s">
        <v>1327</v>
      </c>
      <c r="G55" s="2622">
        <v>0.45</v>
      </c>
      <c r="H55" s="2543">
        <f>XM.HN!B38</f>
        <v>3.85</v>
      </c>
      <c r="I55" s="1754">
        <f>(1*H55*36.5)/(1*10)/32%/100</f>
        <v>0.43914062500000001</v>
      </c>
      <c r="J55" s="2658">
        <f>($G$55-I55)*2122</f>
        <v>23.04359375000001</v>
      </c>
      <c r="K55" s="1773" t="s">
        <v>8</v>
      </c>
      <c r="L55" s="1764">
        <f t="shared" si="6"/>
        <v>23.04359375000001</v>
      </c>
      <c r="M55" s="2051" t="str">
        <f>IF('2. XL-1F TT '!AB18="","",'2. XL-1F TT '!AB18)</f>
        <v>có</v>
      </c>
      <c r="N55" s="1765" t="s">
        <v>10</v>
      </c>
      <c r="O55" s="2665">
        <f>XM.HN!C38</f>
        <v>4.0999999999999996</v>
      </c>
      <c r="P55" s="1754">
        <f>(1*O55*36.5)/(1*10)/32%/100</f>
        <v>0.46765624999999994</v>
      </c>
      <c r="Q55" s="2658">
        <f>($G$55-P55)*2122</f>
        <v>-37.466562499999853</v>
      </c>
      <c r="R55" s="1773" t="s">
        <v>8</v>
      </c>
      <c r="S55" s="1764">
        <f t="shared" si="7"/>
        <v>0</v>
      </c>
      <c r="T55" s="2051" t="str">
        <f>IF('2. XL-1F TT '!AF18="","",'2. XL-1F TT '!AF18)</f>
        <v/>
      </c>
      <c r="U55" s="1765" t="s">
        <v>10</v>
      </c>
      <c r="V55" s="2665">
        <f>XM.HN!D38</f>
        <v>4</v>
      </c>
      <c r="W55" s="1754">
        <f>(1*V55*36.5)/(1*10)/32%/100</f>
        <v>0.45624999999999999</v>
      </c>
      <c r="X55" s="2658">
        <f>($G$55-W55)*2122</f>
        <v>-13.262499999999953</v>
      </c>
      <c r="Y55" s="1773" t="s">
        <v>8</v>
      </c>
      <c r="Z55" s="1764">
        <f t="shared" si="8"/>
        <v>0</v>
      </c>
      <c r="AA55" s="2051" t="str">
        <f>IF('2. XL-1F TT '!AJ18="","",'2. XL-1F TT '!AJ18)</f>
        <v/>
      </c>
      <c r="AB55" s="1765" t="s">
        <v>10</v>
      </c>
      <c r="AC55" s="2665">
        <f>XM.HN!E38</f>
        <v>3.95</v>
      </c>
      <c r="AD55" s="1754">
        <f>(1*AC55*36.5)/(1*10)/32%/100</f>
        <v>0.45054687500000001</v>
      </c>
      <c r="AE55" s="2658">
        <f>($G$55-AD55)*2122</f>
        <v>-1.1604687500000046</v>
      </c>
      <c r="AF55" s="1773" t="s">
        <v>8</v>
      </c>
      <c r="AG55" s="1764">
        <f t="shared" si="9"/>
        <v>0</v>
      </c>
      <c r="AH55" s="2051" t="str">
        <f>IF('2. XL-1F TT(CA2)'!AB18="","",'2. XL-1F TT(CA2)'!AB18)</f>
        <v/>
      </c>
      <c r="AI55" s="1765" t="s">
        <v>10</v>
      </c>
      <c r="AJ55" s="2663">
        <f>XM.HN!F38</f>
        <v>4.2</v>
      </c>
      <c r="AK55" s="1754">
        <f>(1*AJ55*36.5)/(1*10)/32%/100</f>
        <v>0.47906250000000006</v>
      </c>
      <c r="AL55" s="2658">
        <f>($G$55-AK55)*2122</f>
        <v>-61.670625000000101</v>
      </c>
      <c r="AM55" s="1773" t="s">
        <v>8</v>
      </c>
      <c r="AN55" s="1764">
        <f t="shared" si="10"/>
        <v>0</v>
      </c>
      <c r="AO55" s="2051" t="str">
        <f>IF('2. XL-1F TT(CA2)'!AF18="","",'2. XL-1F TT(CA2)'!AF18)</f>
        <v/>
      </c>
      <c r="AP55" s="1765" t="s">
        <v>10</v>
      </c>
      <c r="AQ55" s="2663">
        <f>XM.HN!G38</f>
        <v>4</v>
      </c>
      <c r="AR55" s="1754">
        <f>(1*AQ55*36.5)/(1*10)/32%/100</f>
        <v>0.45624999999999999</v>
      </c>
      <c r="AS55" s="2494">
        <f>($G$55-AR55)*2122</f>
        <v>-13.262499999999953</v>
      </c>
      <c r="AT55" s="1745" t="s">
        <v>8</v>
      </c>
      <c r="AU55" s="1764">
        <f t="shared" si="11"/>
        <v>0</v>
      </c>
      <c r="AV55" s="2051" t="str">
        <f>IF('2. XL-1F TT(CA2)'!AJ18="","",'2. XL-1F TT(CA2)'!AJ18)</f>
        <v/>
      </c>
      <c r="AW55" s="1747" t="s">
        <v>10</v>
      </c>
      <c r="AY55" s="2174"/>
    </row>
    <row r="56" spans="1:55" ht="41.25" hidden="1" customHeight="1">
      <c r="A56" s="1720" t="s">
        <v>271</v>
      </c>
      <c r="B56" s="1035" t="s">
        <v>214</v>
      </c>
      <c r="C56" s="1033" t="s">
        <v>59</v>
      </c>
      <c r="D56" s="1039" t="s">
        <v>6</v>
      </c>
      <c r="E56" s="1336" t="s">
        <v>1545</v>
      </c>
      <c r="F56" s="2200" t="s">
        <v>1335</v>
      </c>
      <c r="G56" s="2622">
        <v>0.22</v>
      </c>
      <c r="H56" s="2543">
        <f>XM.HN!B39</f>
        <v>0</v>
      </c>
      <c r="I56" s="1743">
        <f>(1*H56*36.5)/(1*10)/32%/100</f>
        <v>0</v>
      </c>
      <c r="J56" s="2494">
        <f>($G$56-I56)*612</f>
        <v>134.64000000000001</v>
      </c>
      <c r="K56" s="1745" t="s">
        <v>8</v>
      </c>
      <c r="L56" s="1764">
        <f t="shared" si="6"/>
        <v>0</v>
      </c>
      <c r="M56" s="2051" t="str">
        <f>IF('2. XL-1F TT '!AB19="","",'2. XL-1F TT '!AB19)</f>
        <v/>
      </c>
      <c r="N56" s="1751" t="s">
        <v>10</v>
      </c>
      <c r="O56" s="2544">
        <f>XM.HN!C39</f>
        <v>0</v>
      </c>
      <c r="P56" s="1743">
        <f>(1*O56*36.5)/(1*10)/32%/100</f>
        <v>0</v>
      </c>
      <c r="Q56" s="2494">
        <f>($G$56-P56)*612</f>
        <v>134.64000000000001</v>
      </c>
      <c r="R56" s="1745" t="s">
        <v>8</v>
      </c>
      <c r="S56" s="1764">
        <f t="shared" si="7"/>
        <v>0</v>
      </c>
      <c r="T56" s="2051" t="str">
        <f>IF('2. XL-1F TT '!AF19="","",'2. XL-1F TT '!AF19)</f>
        <v/>
      </c>
      <c r="U56" s="1751" t="s">
        <v>10</v>
      </c>
      <c r="V56" s="2543">
        <f>XM.HN!D39</f>
        <v>0</v>
      </c>
      <c r="W56" s="1743">
        <f>(1*V56*36.5)/(1*10)/32%/100</f>
        <v>0</v>
      </c>
      <c r="X56" s="2494">
        <f>($G$56-W56)*612</f>
        <v>134.64000000000001</v>
      </c>
      <c r="Y56" s="1745" t="s">
        <v>8</v>
      </c>
      <c r="Z56" s="1764">
        <f t="shared" si="8"/>
        <v>0</v>
      </c>
      <c r="AA56" s="2051" t="str">
        <f>IF('2. XL-1F TT '!AJ19="","",'2. XL-1F TT '!AJ19)</f>
        <v/>
      </c>
      <c r="AB56" s="1751" t="s">
        <v>10</v>
      </c>
      <c r="AC56" s="2543">
        <f>XM.HN!E39</f>
        <v>0</v>
      </c>
      <c r="AD56" s="1743">
        <f>(1*AC56*36.5)/(1*10)/32%/100</f>
        <v>0</v>
      </c>
      <c r="AE56" s="2494">
        <f>($G$56-AD56)*612</f>
        <v>134.64000000000001</v>
      </c>
      <c r="AF56" s="1745" t="s">
        <v>8</v>
      </c>
      <c r="AG56" s="1764">
        <f t="shared" si="9"/>
        <v>0</v>
      </c>
      <c r="AH56" s="2051" t="str">
        <f>IF('2. XL-1F TT(CA2)'!AB19="","",'2. XL-1F TT(CA2)'!AB19)</f>
        <v/>
      </c>
      <c r="AI56" s="1751" t="s">
        <v>10</v>
      </c>
      <c r="AJ56" s="2543">
        <f>XM.HN!F39</f>
        <v>0</v>
      </c>
      <c r="AK56" s="1743">
        <f>(1*AJ56*36.5)/(1*10)/32%/100</f>
        <v>0</v>
      </c>
      <c r="AL56" s="2494">
        <f>($G$56-AK56)*612</f>
        <v>134.64000000000001</v>
      </c>
      <c r="AM56" s="1745" t="s">
        <v>8</v>
      </c>
      <c r="AN56" s="1764">
        <f t="shared" si="10"/>
        <v>0</v>
      </c>
      <c r="AO56" s="2051" t="str">
        <f>IF('2. XL-1F TT(CA2)'!AF19="","",'2. XL-1F TT(CA2)'!AF19)</f>
        <v/>
      </c>
      <c r="AP56" s="1751" t="s">
        <v>10</v>
      </c>
      <c r="AQ56" s="2543">
        <f>XM.HN!G39</f>
        <v>0</v>
      </c>
      <c r="AR56" s="1743">
        <f>(1*AQ56*36.5)/(1*10)/32%/100</f>
        <v>0</v>
      </c>
      <c r="AS56" s="2494">
        <f>($G$56-AR56)*612</f>
        <v>134.64000000000001</v>
      </c>
      <c r="AT56" s="1745" t="s">
        <v>8</v>
      </c>
      <c r="AU56" s="1764">
        <f t="shared" si="11"/>
        <v>0</v>
      </c>
      <c r="AV56" s="2051" t="str">
        <f>IF('2. XL-1F TT(CA2)'!AJ19="","",'2. XL-1F TT(CA2)'!AJ19)</f>
        <v/>
      </c>
      <c r="AW56" s="1747" t="s">
        <v>10</v>
      </c>
      <c r="AY56" s="2174"/>
    </row>
    <row r="57" spans="1:55" ht="41.25" hidden="1" customHeight="1">
      <c r="A57" s="1720" t="s">
        <v>272</v>
      </c>
      <c r="B57" s="1035" t="s">
        <v>214</v>
      </c>
      <c r="C57" s="1033" t="s">
        <v>60</v>
      </c>
      <c r="D57" s="1039" t="s">
        <v>6</v>
      </c>
      <c r="E57" s="46" t="s">
        <v>1340</v>
      </c>
      <c r="F57" s="2155" t="s">
        <v>1332</v>
      </c>
      <c r="G57" s="2622">
        <v>0.1</v>
      </c>
      <c r="H57" s="2543">
        <f>XM.HN!B40</f>
        <v>0</v>
      </c>
      <c r="I57" s="1743">
        <f>(1*H57*36.5)/(5*10)/32%/100</f>
        <v>0</v>
      </c>
      <c r="J57" s="2494">
        <f>($G$57-I57)*575</f>
        <v>57.5</v>
      </c>
      <c r="K57" s="1745" t="s">
        <v>8</v>
      </c>
      <c r="L57" s="1764">
        <f t="shared" si="6"/>
        <v>0</v>
      </c>
      <c r="M57" s="2051" t="str">
        <f>IF('2. XL-1F TT '!AB20="","",'2. XL-1F TT '!AB20)</f>
        <v/>
      </c>
      <c r="N57" s="1747" t="s">
        <v>10</v>
      </c>
      <c r="O57" s="2546">
        <f>XM.HN!C40</f>
        <v>0</v>
      </c>
      <c r="P57" s="1743">
        <f>(1*O57*36.5)/(5*10)/32%/100</f>
        <v>0</v>
      </c>
      <c r="Q57" s="2494">
        <f>($G$57-P57)*575</f>
        <v>57.5</v>
      </c>
      <c r="R57" s="1745" t="s">
        <v>8</v>
      </c>
      <c r="S57" s="1764">
        <f t="shared" si="7"/>
        <v>0</v>
      </c>
      <c r="T57" s="2051" t="str">
        <f>IF('2. XL-1F TT '!AF20="","",'2. XL-1F TT '!AF20)</f>
        <v/>
      </c>
      <c r="U57" s="1747" t="s">
        <v>10</v>
      </c>
      <c r="V57" s="2546">
        <f>XM.HN!D40</f>
        <v>0</v>
      </c>
      <c r="W57" s="1743">
        <f>(1*V57*36.5)/(5*10)/32%/100</f>
        <v>0</v>
      </c>
      <c r="X57" s="2494">
        <f>($G$57-W57)*575</f>
        <v>57.5</v>
      </c>
      <c r="Y57" s="1745" t="s">
        <v>8</v>
      </c>
      <c r="Z57" s="1764">
        <f t="shared" si="8"/>
        <v>0</v>
      </c>
      <c r="AA57" s="2051" t="str">
        <f>IF('2. XL-1F TT '!AJ20="","",'2. XL-1F TT '!AJ20)</f>
        <v/>
      </c>
      <c r="AB57" s="1747" t="s">
        <v>10</v>
      </c>
      <c r="AC57" s="2546">
        <f>XM.HN!E40</f>
        <v>0</v>
      </c>
      <c r="AD57" s="1743">
        <f>(1*AC57*36.5)/(5*10)/32%/100</f>
        <v>0</v>
      </c>
      <c r="AE57" s="2494">
        <f>($G$57-AD57)*575</f>
        <v>57.5</v>
      </c>
      <c r="AF57" s="1745" t="s">
        <v>8</v>
      </c>
      <c r="AG57" s="1764">
        <f t="shared" si="9"/>
        <v>0</v>
      </c>
      <c r="AH57" s="2051" t="str">
        <f>IF('2. XL-1F TT(CA2)'!AB20="","",'2. XL-1F TT(CA2)'!AB20)</f>
        <v/>
      </c>
      <c r="AI57" s="1747" t="s">
        <v>10</v>
      </c>
      <c r="AJ57" s="2543">
        <f>XM.HN!F40</f>
        <v>0</v>
      </c>
      <c r="AK57" s="1743">
        <f>(1*AJ57*36.5)/(5*10)/32%/100</f>
        <v>0</v>
      </c>
      <c r="AL57" s="2494">
        <f>($G$57-AK57)*575</f>
        <v>57.5</v>
      </c>
      <c r="AM57" s="1745" t="s">
        <v>8</v>
      </c>
      <c r="AN57" s="1764">
        <f t="shared" si="10"/>
        <v>0</v>
      </c>
      <c r="AO57" s="2051" t="str">
        <f>IF('2. XL-1F TT(CA2)'!AF20="","",'2. XL-1F TT(CA2)'!AF20)</f>
        <v/>
      </c>
      <c r="AP57" s="1747" t="s">
        <v>10</v>
      </c>
      <c r="AQ57" s="2543">
        <f>XM.HN!G40</f>
        <v>0</v>
      </c>
      <c r="AR57" s="1743">
        <f>(1*AQ57*36.5)/(5*10)/32%/100</f>
        <v>0</v>
      </c>
      <c r="AS57" s="2689">
        <f>($G$57-AR57)*575</f>
        <v>57.5</v>
      </c>
      <c r="AT57" s="1745" t="s">
        <v>8</v>
      </c>
      <c r="AU57" s="1764">
        <f t="shared" si="11"/>
        <v>0</v>
      </c>
      <c r="AV57" s="2051" t="str">
        <f>IF('2. XL-1F TT(CA2)'!AJ20="","",'2. XL-1F TT(CA2)'!AJ20)</f>
        <v/>
      </c>
      <c r="AW57" s="1779" t="s">
        <v>10</v>
      </c>
      <c r="AY57" s="2174"/>
    </row>
    <row r="58" spans="1:55" ht="41.25" customHeight="1">
      <c r="A58" s="1720" t="s">
        <v>273</v>
      </c>
      <c r="B58" s="1035" t="s">
        <v>214</v>
      </c>
      <c r="C58" s="1033" t="s">
        <v>146</v>
      </c>
      <c r="D58" s="1039" t="s">
        <v>3</v>
      </c>
      <c r="E58" s="2206" t="s">
        <v>1341</v>
      </c>
      <c r="F58" s="1903" t="s">
        <v>1538</v>
      </c>
      <c r="G58" s="2623">
        <v>0.01</v>
      </c>
      <c r="H58" s="2543">
        <f>XM.HN!B41</f>
        <v>8.3000000000000007</v>
      </c>
      <c r="I58" s="1774">
        <f>(H58*0.126)/100</f>
        <v>1.0458E-2</v>
      </c>
      <c r="J58" s="2658">
        <f>($G$58-I58)*530/65%/1.51</f>
        <v>-0.24731533367294958</v>
      </c>
      <c r="K58" s="1773" t="s">
        <v>8</v>
      </c>
      <c r="L58" s="1775">
        <f t="shared" si="6"/>
        <v>0</v>
      </c>
      <c r="M58" s="2052" t="str">
        <f>IF('2. XL-1F TT '!AB21="","",'2. XL-1F TT '!AB21)</f>
        <v/>
      </c>
      <c r="N58" s="1765" t="s">
        <v>10</v>
      </c>
      <c r="O58" s="2591">
        <f>XM.HN!C41</f>
        <v>8.5</v>
      </c>
      <c r="P58" s="1774">
        <f>(O58*0.126)/100</f>
        <v>1.0709999999999999E-2</v>
      </c>
      <c r="Q58" s="2658">
        <f>($G$58-P58)*530/65%/1.51</f>
        <v>-0.38339276617422241</v>
      </c>
      <c r="R58" s="1773" t="s">
        <v>8</v>
      </c>
      <c r="S58" s="1775">
        <f t="shared" si="7"/>
        <v>0</v>
      </c>
      <c r="T58" s="2052" t="str">
        <f>IF('2. XL-1F TT '!AF21="","",'2. XL-1F TT '!AF21)</f>
        <v/>
      </c>
      <c r="U58" s="1765" t="s">
        <v>10</v>
      </c>
      <c r="V58" s="2665">
        <f>XM.HN!D41</f>
        <v>8</v>
      </c>
      <c r="W58" s="1774">
        <f>(V58*0.126)/100</f>
        <v>1.008E-2</v>
      </c>
      <c r="X58" s="2658">
        <f>($G$58-W58)*530/65%/1.51</f>
        <v>-4.3199184921039337E-2</v>
      </c>
      <c r="Y58" s="1773" t="s">
        <v>8</v>
      </c>
      <c r="Z58" s="1775">
        <f t="shared" si="8"/>
        <v>0</v>
      </c>
      <c r="AA58" s="2052" t="str">
        <f>IF('2. XL-1F TT '!AJ21="","",'2. XL-1F TT '!AJ21)</f>
        <v/>
      </c>
      <c r="AB58" s="1765" t="s">
        <v>10</v>
      </c>
      <c r="AC58" s="2665">
        <f>XM.HN!E41</f>
        <v>11.2</v>
      </c>
      <c r="AD58" s="1774">
        <f>(AC58*0.126)/100</f>
        <v>1.4112E-2</v>
      </c>
      <c r="AE58" s="2658">
        <f>($G$58-AD58)*530/65%/1.51</f>
        <v>-2.2204381049414157</v>
      </c>
      <c r="AF58" s="1773" t="s">
        <v>8</v>
      </c>
      <c r="AG58" s="1775">
        <f t="shared" si="9"/>
        <v>0</v>
      </c>
      <c r="AH58" s="2052" t="str">
        <f>IF('2. XL-1F TT(CA2)'!AB21="","",'2. XL-1F TT(CA2)'!AB21)</f>
        <v/>
      </c>
      <c r="AI58" s="1765" t="s">
        <v>10</v>
      </c>
      <c r="AJ58" s="2663">
        <f>XM.HN!F41</f>
        <v>8.4</v>
      </c>
      <c r="AK58" s="1774">
        <f>(AJ58*0.126)/100</f>
        <v>1.0584E-2</v>
      </c>
      <c r="AL58" s="2658">
        <f>($G$58-AK58)*530/65%/1.51</f>
        <v>-0.31535404992358601</v>
      </c>
      <c r="AM58" s="1773" t="s">
        <v>8</v>
      </c>
      <c r="AN58" s="1775">
        <f t="shared" si="10"/>
        <v>0</v>
      </c>
      <c r="AO58" s="2052" t="str">
        <f>IF('2. XL-1F TT(CA2)'!AF21="","",'2. XL-1F TT(CA2)'!AF21)</f>
        <v/>
      </c>
      <c r="AP58" s="1765" t="s">
        <v>10</v>
      </c>
      <c r="AQ58" s="2663">
        <f>XM.HN!G41</f>
        <v>8.1</v>
      </c>
      <c r="AR58" s="1774">
        <f>(AQ58*0.126)/100</f>
        <v>1.0206E-2</v>
      </c>
      <c r="AS58" s="2494">
        <f>($G$58-AR58)*530/65%/1.51</f>
        <v>-0.11123790117167578</v>
      </c>
      <c r="AT58" s="1745" t="s">
        <v>8</v>
      </c>
      <c r="AU58" s="1775">
        <f t="shared" si="11"/>
        <v>0</v>
      </c>
      <c r="AV58" s="2051" t="str">
        <f>IF('2. XL-1F TT(CA2)'!AJ21="","",'2. XL-1F TT(CA2)'!AJ21)</f>
        <v/>
      </c>
      <c r="AW58" s="1747" t="s">
        <v>10</v>
      </c>
      <c r="AY58" s="2255" t="s">
        <v>1564</v>
      </c>
    </row>
    <row r="59" spans="1:55" ht="45" customHeight="1">
      <c r="A59" s="1719" t="s">
        <v>274</v>
      </c>
      <c r="B59" s="1035" t="s">
        <v>214</v>
      </c>
      <c r="C59" s="292" t="s">
        <v>832</v>
      </c>
      <c r="D59" s="45" t="s">
        <v>3</v>
      </c>
      <c r="E59" s="46" t="s">
        <v>1345</v>
      </c>
      <c r="F59" s="1903" t="s">
        <v>1326</v>
      </c>
      <c r="G59" s="2625">
        <v>6</v>
      </c>
      <c r="H59" s="2543">
        <f>XM.HN!B42</f>
        <v>6.1</v>
      </c>
      <c r="I59" s="1840">
        <f>IF(XM.HN!B42="","",H59*0.8+1.4)</f>
        <v>6.2799999999999994</v>
      </c>
      <c r="J59" s="2496">
        <f>($G$59-I59)*575/95</f>
        <v>-1.6947368421052593</v>
      </c>
      <c r="K59" s="1745" t="s">
        <v>8</v>
      </c>
      <c r="L59" s="1873">
        <f>IF(I59="","",IF(J59&lt;0,0,J59))</f>
        <v>0</v>
      </c>
      <c r="M59" s="2052" t="str">
        <f>IF('2. XL-1F TT '!AB22="","",'2. XL-1F TT '!AB22)</f>
        <v/>
      </c>
      <c r="N59" s="1751" t="s">
        <v>10</v>
      </c>
      <c r="O59" s="2546">
        <f>XM.HN!C42</f>
        <v>0</v>
      </c>
      <c r="P59" s="1840" t="s">
        <v>1668</v>
      </c>
      <c r="Q59" s="2496" t="e">
        <f>($G$59-P59)*575/95</f>
        <v>#VALUE!</v>
      </c>
      <c r="R59" s="1745" t="s">
        <v>8</v>
      </c>
      <c r="S59" s="1873"/>
      <c r="T59" s="2052" t="str">
        <f>IF('2. XL-1F TT '!AF22="","",'2. XL-1F TT '!AF22)</f>
        <v/>
      </c>
      <c r="U59" s="1751" t="s">
        <v>10</v>
      </c>
      <c r="V59" s="2546">
        <f>XM.HN!D42</f>
        <v>0</v>
      </c>
      <c r="W59" s="1840" t="s">
        <v>1668</v>
      </c>
      <c r="X59" s="2496" t="e">
        <f>($G$59-W59)*575/95</f>
        <v>#VALUE!</v>
      </c>
      <c r="Y59" s="1745" t="s">
        <v>8</v>
      </c>
      <c r="Z59" s="1873"/>
      <c r="AA59" s="2052" t="str">
        <f>IF('2. XL-1F TT '!AJ22="","",'2. XL-1F TT '!AJ22)</f>
        <v/>
      </c>
      <c r="AB59" s="1751" t="s">
        <v>10</v>
      </c>
      <c r="AC59" s="2546">
        <f>XM.HN!E42</f>
        <v>0</v>
      </c>
      <c r="AD59" s="1840" t="s">
        <v>1668</v>
      </c>
      <c r="AE59" s="2496" t="e">
        <f>($G$59-AD59)*575/95</f>
        <v>#VALUE!</v>
      </c>
      <c r="AF59" s="1745" t="s">
        <v>8</v>
      </c>
      <c r="AG59" s="1873"/>
      <c r="AH59" s="2052" t="str">
        <f>IF('2. XL-1F TT '!AQ22="","",'2. XL-1F TT '!AQ22)</f>
        <v/>
      </c>
      <c r="AI59" s="1751" t="s">
        <v>10</v>
      </c>
      <c r="AJ59" s="2546">
        <f>XM.HN!F42</f>
        <v>0</v>
      </c>
      <c r="AK59" s="1840" t="s">
        <v>1668</v>
      </c>
      <c r="AL59" s="2496" t="e">
        <f>($G$59-AK59)*575/95</f>
        <v>#VALUE!</v>
      </c>
      <c r="AM59" s="1745" t="s">
        <v>8</v>
      </c>
      <c r="AN59" s="1873"/>
      <c r="AO59" s="2052" t="str">
        <f>IF('2. XL-1F TT '!AX22="","",'2. XL-1F TT '!AX22)</f>
        <v/>
      </c>
      <c r="AP59" s="1751" t="s">
        <v>10</v>
      </c>
      <c r="AQ59" s="2546">
        <f>XM.HN!G42</f>
        <v>0</v>
      </c>
      <c r="AR59" s="1840" t="s">
        <v>1668</v>
      </c>
      <c r="AS59" s="2496" t="e">
        <f>($G$59-AR59)*575/95</f>
        <v>#VALUE!</v>
      </c>
      <c r="AT59" s="1745" t="s">
        <v>8</v>
      </c>
      <c r="AU59" s="1873"/>
      <c r="AV59" s="2052" t="str">
        <f>IF('2. XL-1F TT '!BE22="","",'2. XL-1F TT '!BE22)</f>
        <v/>
      </c>
      <c r="AW59" s="1751" t="s">
        <v>10</v>
      </c>
      <c r="AY59" s="2174"/>
    </row>
    <row r="60" spans="1:55" ht="34.5" customHeight="1">
      <c r="A60" s="1045" t="s">
        <v>275</v>
      </c>
      <c r="B60" s="1035" t="s">
        <v>214</v>
      </c>
      <c r="C60" s="2292" t="str">
        <f>MENU!Z45</f>
        <v>Pha mới: 2024/03/27</v>
      </c>
      <c r="D60" s="45" t="s">
        <v>5</v>
      </c>
      <c r="E60" s="46" t="s">
        <v>1315</v>
      </c>
      <c r="F60" s="1903" t="s">
        <v>1224</v>
      </c>
      <c r="G60" s="2621"/>
      <c r="H60" s="2543"/>
      <c r="I60" s="1768">
        <f>XM.HN!B43</f>
        <v>2.1</v>
      </c>
      <c r="J60" s="2506"/>
      <c r="K60" s="2075"/>
      <c r="L60" s="2076"/>
      <c r="M60" s="2198" t="str">
        <f>IF('2. XL-1F TT '!AB23="","",'2. XL-1F TT '!AB23)</f>
        <v/>
      </c>
      <c r="N60" s="2199"/>
      <c r="O60" s="2557"/>
      <c r="P60" s="1840" t="s">
        <v>1668</v>
      </c>
      <c r="Q60" s="2496" t="e">
        <f>($G$59-P60)*575/95</f>
        <v>#VALUE!</v>
      </c>
      <c r="R60" s="1745" t="s">
        <v>8</v>
      </c>
      <c r="S60" s="1873"/>
      <c r="T60" s="2198" t="str">
        <f>IF('2. XL-1F TT '!AF23="","",'2. XL-1F TT '!AF23)</f>
        <v/>
      </c>
      <c r="U60" s="2199"/>
      <c r="V60" s="2557"/>
      <c r="W60" s="1840" t="s">
        <v>1668</v>
      </c>
      <c r="X60" s="2496" t="e">
        <f>($G$59-W60)*575/95</f>
        <v>#VALUE!</v>
      </c>
      <c r="Y60" s="1745" t="s">
        <v>8</v>
      </c>
      <c r="Z60" s="1873"/>
      <c r="AA60" s="2198" t="str">
        <f>IF('2. XL-1F TT '!AJ23="","",'2. XL-1F TT '!AJ23)</f>
        <v/>
      </c>
      <c r="AB60" s="2199"/>
      <c r="AC60" s="2557"/>
      <c r="AD60" s="1840" t="s">
        <v>1668</v>
      </c>
      <c r="AE60" s="2496" t="e">
        <f>($G$59-AD60)*575/95</f>
        <v>#VALUE!</v>
      </c>
      <c r="AF60" s="1745" t="s">
        <v>8</v>
      </c>
      <c r="AG60" s="1873"/>
      <c r="AH60" s="2198" t="str">
        <f>IF('2. XL-1F TT '!AQ23="","",'2. XL-1F TT '!AQ23)</f>
        <v/>
      </c>
      <c r="AI60" s="2199"/>
      <c r="AJ60" s="2557"/>
      <c r="AK60" s="1840" t="s">
        <v>1668</v>
      </c>
      <c r="AL60" s="2496" t="e">
        <f>($G$59-AK60)*575/95</f>
        <v>#VALUE!</v>
      </c>
      <c r="AM60" s="1745" t="s">
        <v>8</v>
      </c>
      <c r="AN60" s="1873"/>
      <c r="AO60" s="2198" t="str">
        <f>IF('2. XL-1F TT '!AX23="","",'2. XL-1F TT '!AX23)</f>
        <v/>
      </c>
      <c r="AP60" s="2199"/>
      <c r="AQ60" s="2557"/>
      <c r="AR60" s="1840" t="s">
        <v>1668</v>
      </c>
      <c r="AS60" s="2496" t="e">
        <f>($G$59-AR60)*575/95</f>
        <v>#VALUE!</v>
      </c>
      <c r="AT60" s="1745" t="s">
        <v>8</v>
      </c>
      <c r="AU60" s="1873"/>
      <c r="AV60" s="2198" t="str">
        <f>IF('2. XL-1F TT '!BE23="","",'2. XL-1F TT '!BE23)</f>
        <v/>
      </c>
      <c r="AW60" s="2199"/>
      <c r="AY60" s="2174"/>
    </row>
    <row r="61" spans="1:55" s="206" customFormat="1" ht="54" customHeight="1">
      <c r="A61" s="285" t="s">
        <v>73</v>
      </c>
      <c r="B61" s="286"/>
      <c r="C61" s="286"/>
      <c r="D61" s="286"/>
      <c r="E61" s="283"/>
      <c r="F61" s="283"/>
      <c r="G61" s="2626"/>
      <c r="H61" s="2499"/>
      <c r="I61" s="286"/>
      <c r="J61" s="2499"/>
      <c r="K61" s="286"/>
      <c r="L61" s="286"/>
      <c r="M61" s="1624"/>
      <c r="N61" s="286"/>
      <c r="O61" s="2499"/>
      <c r="P61" s="287"/>
      <c r="Q61" s="2499"/>
      <c r="R61" s="286"/>
      <c r="S61" s="286"/>
      <c r="T61" s="1628"/>
      <c r="U61" s="287"/>
      <c r="V61" s="2499"/>
      <c r="W61" s="287"/>
      <c r="X61" s="2499"/>
      <c r="Y61" s="286"/>
      <c r="Z61" s="286"/>
      <c r="AA61" s="1624"/>
      <c r="AB61" s="286"/>
      <c r="AC61" s="2499"/>
      <c r="AD61" s="286"/>
      <c r="AE61" s="2499"/>
      <c r="AF61" s="286"/>
      <c r="AG61" s="286"/>
      <c r="AH61" s="1624"/>
      <c r="AI61" s="286"/>
      <c r="AJ61" s="2598"/>
      <c r="AK61" s="287"/>
      <c r="AL61" s="2598"/>
      <c r="AM61" s="287"/>
      <c r="AN61" s="287"/>
      <c r="AO61" s="1632"/>
      <c r="AP61" s="287"/>
      <c r="AQ61" s="2598"/>
      <c r="AR61" s="287"/>
      <c r="AS61" s="2598"/>
      <c r="AT61" s="287"/>
      <c r="AU61" s="287"/>
      <c r="AV61" s="1632"/>
      <c r="AW61" s="1004"/>
      <c r="AZ61" s="265"/>
      <c r="BA61" s="265"/>
      <c r="BB61" s="265"/>
      <c r="BC61" s="265"/>
    </row>
    <row r="62" spans="1:55" ht="44.25" customHeight="1">
      <c r="A62" s="1721" t="s">
        <v>238</v>
      </c>
      <c r="B62" s="1034" t="s">
        <v>317</v>
      </c>
      <c r="C62" s="1032" t="s">
        <v>61</v>
      </c>
      <c r="D62" s="1032" t="s">
        <v>63</v>
      </c>
      <c r="E62" s="1388" t="s">
        <v>1303</v>
      </c>
      <c r="F62" s="1895" t="s">
        <v>1302</v>
      </c>
      <c r="G62" s="2627"/>
      <c r="H62" s="2628"/>
      <c r="I62" s="1727" t="s">
        <v>45</v>
      </c>
      <c r="J62" s="2498"/>
      <c r="K62" s="1728"/>
      <c r="L62" s="1728" t="s">
        <v>62</v>
      </c>
      <c r="M62" s="1777"/>
      <c r="N62" s="1729"/>
      <c r="O62" s="2549"/>
      <c r="P62" s="1727" t="s">
        <v>45</v>
      </c>
      <c r="Q62" s="2498"/>
      <c r="R62" s="1728"/>
      <c r="S62" s="1728" t="s">
        <v>62</v>
      </c>
      <c r="T62" s="1777"/>
      <c r="U62" s="1780"/>
      <c r="V62" s="2579"/>
      <c r="W62" s="1727" t="s">
        <v>45</v>
      </c>
      <c r="X62" s="2498"/>
      <c r="Y62" s="1728"/>
      <c r="Z62" s="1728" t="s">
        <v>62</v>
      </c>
      <c r="AA62" s="1777"/>
      <c r="AB62" s="1780"/>
      <c r="AC62" s="2579"/>
      <c r="AD62" s="1727" t="s">
        <v>45</v>
      </c>
      <c r="AE62" s="2498"/>
      <c r="AF62" s="1728"/>
      <c r="AG62" s="1728" t="s">
        <v>62</v>
      </c>
      <c r="AH62" s="1777"/>
      <c r="AI62" s="1780"/>
      <c r="AJ62" s="2579"/>
      <c r="AK62" s="1727" t="s">
        <v>45</v>
      </c>
      <c r="AL62" s="2498"/>
      <c r="AM62" s="1728"/>
      <c r="AN62" s="1728" t="s">
        <v>62</v>
      </c>
      <c r="AO62" s="1777"/>
      <c r="AP62" s="1780"/>
      <c r="AQ62" s="2579"/>
      <c r="AR62" s="1727" t="s">
        <v>45</v>
      </c>
      <c r="AS62" s="2498"/>
      <c r="AT62" s="1728"/>
      <c r="AU62" s="1728" t="s">
        <v>62</v>
      </c>
      <c r="AV62" s="1777"/>
      <c r="AW62" s="1729"/>
      <c r="AY62" s="1046" t="s">
        <v>1521</v>
      </c>
    </row>
    <row r="63" spans="1:55" ht="46.5" customHeight="1">
      <c r="A63" s="1718" t="s">
        <v>276</v>
      </c>
      <c r="B63" s="1035" t="s">
        <v>214</v>
      </c>
      <c r="C63" s="1032" t="s">
        <v>65</v>
      </c>
      <c r="D63" s="95" t="s">
        <v>105</v>
      </c>
      <c r="E63" s="1617" t="s">
        <v>1343</v>
      </c>
      <c r="F63" s="1896" t="s">
        <v>1324</v>
      </c>
      <c r="G63" s="2635"/>
      <c r="H63" s="2636"/>
      <c r="I63" s="3033">
        <f>'XM.FILE GOC'!I63</f>
        <v>60</v>
      </c>
      <c r="J63" s="3026"/>
      <c r="K63" s="3026"/>
      <c r="L63" s="3026">
        <f>'XM.FILE GOC'!L63</f>
        <v>60</v>
      </c>
      <c r="M63" s="3026"/>
      <c r="N63" s="3034"/>
      <c r="O63" s="2550"/>
      <c r="P63" s="3033">
        <f>'XM.FILE GOC'!P63</f>
        <v>60</v>
      </c>
      <c r="Q63" s="3026"/>
      <c r="R63" s="3026"/>
      <c r="S63" s="3026">
        <f>'XM.FILE GOC'!S63</f>
        <v>60</v>
      </c>
      <c r="T63" s="3026"/>
      <c r="U63" s="3034"/>
      <c r="V63" s="2551"/>
      <c r="W63" s="3033">
        <f>'XM.FILE GOC'!W63</f>
        <v>60</v>
      </c>
      <c r="X63" s="3026"/>
      <c r="Y63" s="3026"/>
      <c r="Z63" s="3026">
        <f>'XM.FILE GOC'!Z63</f>
        <v>60</v>
      </c>
      <c r="AA63" s="3026"/>
      <c r="AB63" s="3034"/>
      <c r="AC63" s="2551"/>
      <c r="AD63" s="3033">
        <f>'XM.FILE GOC'!AD63</f>
        <v>57</v>
      </c>
      <c r="AE63" s="3026"/>
      <c r="AF63" s="3026"/>
      <c r="AG63" s="3026">
        <f>'XM.FILE GOC'!AG63</f>
        <v>56</v>
      </c>
      <c r="AH63" s="3026"/>
      <c r="AI63" s="3027"/>
      <c r="AJ63" s="2601"/>
      <c r="AK63" s="3033">
        <f>'XM.FILE GOC'!AK63</f>
        <v>55</v>
      </c>
      <c r="AL63" s="3026"/>
      <c r="AM63" s="3026"/>
      <c r="AN63" s="3026">
        <f>'XM.FILE GOC'!AN63</f>
        <v>54</v>
      </c>
      <c r="AO63" s="3026"/>
      <c r="AP63" s="3027"/>
      <c r="AQ63" s="2601"/>
      <c r="AR63" s="3033">
        <f>'XM.FILE GOC'!AR63</f>
        <v>59</v>
      </c>
      <c r="AS63" s="3026"/>
      <c r="AT63" s="3026"/>
      <c r="AU63" s="3026">
        <f>'XM.FILE GOC'!AU63</f>
        <v>58</v>
      </c>
      <c r="AV63" s="3026"/>
      <c r="AW63" s="3027"/>
      <c r="AY63" s="2174"/>
    </row>
    <row r="64" spans="1:55" ht="46.5" customHeight="1">
      <c r="A64" s="1718" t="s">
        <v>277</v>
      </c>
      <c r="B64" s="1035" t="s">
        <v>214</v>
      </c>
      <c r="C64" s="1019" t="s">
        <v>66</v>
      </c>
      <c r="D64" s="95" t="s">
        <v>105</v>
      </c>
      <c r="E64" s="1617" t="s">
        <v>1343</v>
      </c>
      <c r="F64" s="1896" t="s">
        <v>1324</v>
      </c>
      <c r="G64" s="2635"/>
      <c r="H64" s="2636"/>
      <c r="I64" s="3033">
        <f>'XM.FILE GOC'!I64</f>
        <v>60</v>
      </c>
      <c r="J64" s="3026"/>
      <c r="K64" s="3026"/>
      <c r="L64" s="3026">
        <f>'XM.FILE GOC'!L64</f>
        <v>60</v>
      </c>
      <c r="M64" s="3026"/>
      <c r="N64" s="3034"/>
      <c r="O64" s="2550"/>
      <c r="P64" s="3033">
        <f>'XM.FILE GOC'!P64</f>
        <v>62</v>
      </c>
      <c r="Q64" s="3026"/>
      <c r="R64" s="3026"/>
      <c r="S64" s="3026">
        <f>'XM.FILE GOC'!S64</f>
        <v>61</v>
      </c>
      <c r="T64" s="3026"/>
      <c r="U64" s="3034"/>
      <c r="V64" s="2551"/>
      <c r="W64" s="3033">
        <f>'XM.FILE GOC'!W64</f>
        <v>60</v>
      </c>
      <c r="X64" s="3026"/>
      <c r="Y64" s="3026"/>
      <c r="Z64" s="3026">
        <f>'XM.FILE GOC'!Z64</f>
        <v>60</v>
      </c>
      <c r="AA64" s="3026"/>
      <c r="AB64" s="3034"/>
      <c r="AC64" s="2551"/>
      <c r="AD64" s="3033">
        <f>'XM.FILE GOC'!AD64</f>
        <v>62</v>
      </c>
      <c r="AE64" s="3026"/>
      <c r="AF64" s="3026"/>
      <c r="AG64" s="3026">
        <f>'XM.FILE GOC'!AG64</f>
        <v>61</v>
      </c>
      <c r="AH64" s="3026"/>
      <c r="AI64" s="3027"/>
      <c r="AJ64" s="2601"/>
      <c r="AK64" s="3033">
        <f>'XM.FILE GOC'!AK64</f>
        <v>62</v>
      </c>
      <c r="AL64" s="3026"/>
      <c r="AM64" s="3026"/>
      <c r="AN64" s="3026">
        <f>'XM.FILE GOC'!AN64</f>
        <v>61</v>
      </c>
      <c r="AO64" s="3026"/>
      <c r="AP64" s="3027"/>
      <c r="AQ64" s="2601"/>
      <c r="AR64" s="3033">
        <f>'XM.FILE GOC'!AR64</f>
        <v>61</v>
      </c>
      <c r="AS64" s="3026"/>
      <c r="AT64" s="3026"/>
      <c r="AU64" s="3026">
        <f>'XM.FILE GOC'!AU64</f>
        <v>60</v>
      </c>
      <c r="AV64" s="3026"/>
      <c r="AW64" s="3027"/>
      <c r="AY64" s="2174"/>
    </row>
    <row r="65" spans="1:63" ht="46.5" customHeight="1">
      <c r="A65" s="1718" t="s">
        <v>278</v>
      </c>
      <c r="B65" s="1035" t="s">
        <v>214</v>
      </c>
      <c r="C65" s="1019" t="s">
        <v>68</v>
      </c>
      <c r="D65" s="95" t="s">
        <v>105</v>
      </c>
      <c r="E65" s="1336" t="s">
        <v>1347</v>
      </c>
      <c r="F65" s="2155" t="s">
        <v>1330</v>
      </c>
      <c r="G65" s="2635"/>
      <c r="H65" s="2636"/>
      <c r="I65" s="3033">
        <f>'XM.FILE GOC'!I65</f>
        <v>52</v>
      </c>
      <c r="J65" s="3026"/>
      <c r="K65" s="3034"/>
      <c r="L65" s="3026">
        <f>'XM.FILE GOC'!L65</f>
        <v>51</v>
      </c>
      <c r="M65" s="3026"/>
      <c r="N65" s="3027"/>
      <c r="O65" s="2549"/>
      <c r="P65" s="3033">
        <f>'XM.FILE GOC'!P65</f>
        <v>52</v>
      </c>
      <c r="Q65" s="3026"/>
      <c r="R65" s="3034"/>
      <c r="S65" s="3026">
        <f>'XM.FILE GOC'!S65</f>
        <v>51</v>
      </c>
      <c r="T65" s="3026"/>
      <c r="U65" s="3027"/>
      <c r="V65" s="2573"/>
      <c r="W65" s="3033">
        <f>'XM.FILE GOC'!W65</f>
        <v>53</v>
      </c>
      <c r="X65" s="3026"/>
      <c r="Y65" s="3034"/>
      <c r="Z65" s="3026">
        <f>'XM.FILE GOC'!Z65</f>
        <v>52</v>
      </c>
      <c r="AA65" s="3026"/>
      <c r="AB65" s="3027"/>
      <c r="AC65" s="2585"/>
      <c r="AD65" s="3033">
        <f>'XM.FILE GOC'!AD65</f>
        <v>53</v>
      </c>
      <c r="AE65" s="3026"/>
      <c r="AF65" s="3034"/>
      <c r="AG65" s="3026">
        <f>'XM.FILE GOC'!AG65</f>
        <v>52</v>
      </c>
      <c r="AH65" s="3026"/>
      <c r="AI65" s="3027"/>
      <c r="AJ65" s="2585"/>
      <c r="AK65" s="3033">
        <f>'XM.FILE GOC'!AK65</f>
        <v>53</v>
      </c>
      <c r="AL65" s="3026"/>
      <c r="AM65" s="3034"/>
      <c r="AN65" s="3026">
        <f>'XM.FILE GOC'!AN65</f>
        <v>52</v>
      </c>
      <c r="AO65" s="3026"/>
      <c r="AP65" s="3027"/>
      <c r="AQ65" s="2585"/>
      <c r="AR65" s="3033">
        <f>'XM.FILE GOC'!AR65</f>
        <v>52</v>
      </c>
      <c r="AS65" s="3026"/>
      <c r="AT65" s="3034"/>
      <c r="AU65" s="3026">
        <f>'XM.FILE GOC'!AU65</f>
        <v>51</v>
      </c>
      <c r="AV65" s="3026"/>
      <c r="AW65" s="3027"/>
      <c r="AY65" s="2174"/>
    </row>
    <row r="66" spans="1:63" ht="46.5" customHeight="1">
      <c r="A66" s="1718" t="s">
        <v>279</v>
      </c>
      <c r="B66" s="1035" t="s">
        <v>214</v>
      </c>
      <c r="C66" s="1019" t="s">
        <v>67</v>
      </c>
      <c r="D66" s="95" t="s">
        <v>105</v>
      </c>
      <c r="E66" s="1336" t="s">
        <v>1347</v>
      </c>
      <c r="F66" s="2155" t="s">
        <v>1330</v>
      </c>
      <c r="G66" s="2635"/>
      <c r="H66" s="2636"/>
      <c r="I66" s="3033">
        <f>'XM.FILE GOC'!I66</f>
        <v>52</v>
      </c>
      <c r="J66" s="3026"/>
      <c r="K66" s="3034"/>
      <c r="L66" s="3026">
        <f>'XM.FILE GOC'!L66</f>
        <v>51</v>
      </c>
      <c r="M66" s="3026"/>
      <c r="N66" s="3027"/>
      <c r="O66" s="2549"/>
      <c r="P66" s="3033">
        <f>'XM.FILE GOC'!P66</f>
        <v>52</v>
      </c>
      <c r="Q66" s="3026"/>
      <c r="R66" s="3034"/>
      <c r="S66" s="3026">
        <f>'XM.FILE GOC'!S66</f>
        <v>50</v>
      </c>
      <c r="T66" s="3026"/>
      <c r="U66" s="3027"/>
      <c r="V66" s="2573"/>
      <c r="W66" s="3033">
        <f>'XM.FILE GOC'!W66</f>
        <v>50</v>
      </c>
      <c r="X66" s="3026"/>
      <c r="Y66" s="3034"/>
      <c r="Z66" s="3026">
        <f>'XM.FILE GOC'!Z66</f>
        <v>50</v>
      </c>
      <c r="AA66" s="3026"/>
      <c r="AB66" s="3027"/>
      <c r="AC66" s="2585"/>
      <c r="AD66" s="3033">
        <f>'XM.FILE GOC'!AD66</f>
        <v>52</v>
      </c>
      <c r="AE66" s="3026"/>
      <c r="AF66" s="3034"/>
      <c r="AG66" s="3026">
        <f>'XM.FILE GOC'!AG66</f>
        <v>51</v>
      </c>
      <c r="AH66" s="3026"/>
      <c r="AI66" s="3027"/>
      <c r="AJ66" s="2585"/>
      <c r="AK66" s="3033">
        <f>'XM.FILE GOC'!AK66</f>
        <v>51</v>
      </c>
      <c r="AL66" s="3026"/>
      <c r="AM66" s="3034"/>
      <c r="AN66" s="3026">
        <f>'XM.FILE GOC'!AN66</f>
        <v>50</v>
      </c>
      <c r="AO66" s="3026"/>
      <c r="AP66" s="3027"/>
      <c r="AQ66" s="2585"/>
      <c r="AR66" s="3033">
        <f>'XM.FILE GOC'!AR66</f>
        <v>52</v>
      </c>
      <c r="AS66" s="3026"/>
      <c r="AT66" s="3034"/>
      <c r="AU66" s="3026">
        <f>'XM.FILE GOC'!AU66</f>
        <v>51</v>
      </c>
      <c r="AV66" s="3026"/>
      <c r="AW66" s="3027"/>
      <c r="AY66" s="2174"/>
    </row>
    <row r="67" spans="1:63" ht="46.5" customHeight="1">
      <c r="A67" s="1718" t="s">
        <v>315</v>
      </c>
      <c r="B67" s="1035" t="s">
        <v>214</v>
      </c>
      <c r="C67" s="1019" t="s">
        <v>69</v>
      </c>
      <c r="D67" s="95" t="s">
        <v>105</v>
      </c>
      <c r="E67" s="98" t="s">
        <v>1534</v>
      </c>
      <c r="F67" s="1904" t="s">
        <v>1525</v>
      </c>
      <c r="G67" s="2635"/>
      <c r="H67" s="2636"/>
      <c r="I67" s="3033">
        <f>'XM.FILE GOC'!I67</f>
        <v>35</v>
      </c>
      <c r="J67" s="3026"/>
      <c r="K67" s="3026"/>
      <c r="L67" s="3026">
        <f>'XM.FILE GOC'!L67</f>
        <v>36</v>
      </c>
      <c r="M67" s="3026"/>
      <c r="N67" s="3026"/>
      <c r="O67" s="3027"/>
      <c r="P67" s="3033">
        <f>'XM.FILE GOC'!P67</f>
        <v>36</v>
      </c>
      <c r="Q67" s="3026"/>
      <c r="R67" s="3026"/>
      <c r="S67" s="3026">
        <f>'XM.FILE GOC'!S67</f>
        <v>36</v>
      </c>
      <c r="T67" s="3026"/>
      <c r="U67" s="3026"/>
      <c r="V67" s="3027"/>
      <c r="W67" s="3033">
        <f>'XM.FILE GOC'!W67</f>
        <v>36</v>
      </c>
      <c r="X67" s="3026"/>
      <c r="Y67" s="3026"/>
      <c r="Z67" s="3026">
        <f>'XM.FILE GOC'!Z67</f>
        <v>36</v>
      </c>
      <c r="AA67" s="3026"/>
      <c r="AB67" s="3026"/>
      <c r="AC67" s="3027"/>
      <c r="AD67" s="3033">
        <f>'XM.FILE GOC'!AD67</f>
        <v>34</v>
      </c>
      <c r="AE67" s="3026"/>
      <c r="AF67" s="3026"/>
      <c r="AG67" s="3026">
        <f>'XM.FILE GOC'!AG67</f>
        <v>34</v>
      </c>
      <c r="AH67" s="3026"/>
      <c r="AI67" s="3026"/>
      <c r="AJ67" s="3027"/>
      <c r="AK67" s="3033">
        <f>'XM.FILE GOC'!AK67</f>
        <v>34</v>
      </c>
      <c r="AL67" s="3026"/>
      <c r="AM67" s="3026"/>
      <c r="AN67" s="3026">
        <f>'XM.FILE GOC'!AN67</f>
        <v>33</v>
      </c>
      <c r="AO67" s="3026"/>
      <c r="AP67" s="3026"/>
      <c r="AQ67" s="3027"/>
      <c r="AR67" s="3033">
        <f>'XM.FILE GOC'!AR67</f>
        <v>33</v>
      </c>
      <c r="AS67" s="3026"/>
      <c r="AT67" s="3026"/>
      <c r="AU67" s="3026">
        <f>'XM.FILE GOC'!AU67</f>
        <v>32</v>
      </c>
      <c r="AV67" s="3026"/>
      <c r="AW67" s="3027"/>
      <c r="AY67" s="2174"/>
    </row>
    <row r="68" spans="1:63" ht="46.5" customHeight="1">
      <c r="A68" s="1719" t="s">
        <v>280</v>
      </c>
      <c r="B68" s="1035" t="s">
        <v>214</v>
      </c>
      <c r="C68" s="1019" t="s">
        <v>147</v>
      </c>
      <c r="D68" s="95" t="s">
        <v>105</v>
      </c>
      <c r="E68" s="98" t="s">
        <v>1346</v>
      </c>
      <c r="F68" s="1904" t="s">
        <v>1322</v>
      </c>
      <c r="G68" s="2635"/>
      <c r="H68" s="2636"/>
      <c r="I68" s="3033">
        <f>'XM.FILE GOC'!I68</f>
        <v>33</v>
      </c>
      <c r="J68" s="3026"/>
      <c r="K68" s="3026"/>
      <c r="L68" s="3026">
        <f>'XM.FILE GOC'!L68</f>
        <v>32</v>
      </c>
      <c r="M68" s="3026"/>
      <c r="N68" s="3026"/>
      <c r="O68" s="3027"/>
      <c r="P68" s="3033">
        <f>'XM.FILE GOC'!P68</f>
        <v>33</v>
      </c>
      <c r="Q68" s="3026"/>
      <c r="R68" s="3026"/>
      <c r="S68" s="3026">
        <f>'XM.FILE GOC'!S68</f>
        <v>32</v>
      </c>
      <c r="T68" s="3026"/>
      <c r="U68" s="3026"/>
      <c r="V68" s="3027"/>
      <c r="W68" s="3033">
        <f>'XM.FILE GOC'!W68</f>
        <v>34</v>
      </c>
      <c r="X68" s="3026"/>
      <c r="Y68" s="3026"/>
      <c r="Z68" s="3026">
        <f>'XM.FILE GOC'!Z68</f>
        <v>33</v>
      </c>
      <c r="AA68" s="3026"/>
      <c r="AB68" s="3026"/>
      <c r="AC68" s="3027"/>
      <c r="AD68" s="3033">
        <f>'XM.FILE GOC'!AD68</f>
        <v>33</v>
      </c>
      <c r="AE68" s="3026"/>
      <c r="AF68" s="3026"/>
      <c r="AG68" s="3026">
        <f>'XM.FILE GOC'!AG68</f>
        <v>32</v>
      </c>
      <c r="AH68" s="3026"/>
      <c r="AI68" s="3026"/>
      <c r="AJ68" s="3027"/>
      <c r="AK68" s="3033">
        <f>'XM.FILE GOC'!AK68</f>
        <v>34</v>
      </c>
      <c r="AL68" s="3026"/>
      <c r="AM68" s="3026"/>
      <c r="AN68" s="3026">
        <f>'XM.FILE GOC'!AN68</f>
        <v>33</v>
      </c>
      <c r="AO68" s="3026"/>
      <c r="AP68" s="3026"/>
      <c r="AQ68" s="3027"/>
      <c r="AR68" s="3033">
        <f>'XM.FILE GOC'!AR68</f>
        <v>34</v>
      </c>
      <c r="AS68" s="3026"/>
      <c r="AT68" s="3026"/>
      <c r="AU68" s="3026">
        <f>'XM.FILE GOC'!AU68</f>
        <v>33</v>
      </c>
      <c r="AV68" s="3026"/>
      <c r="AW68" s="3027"/>
      <c r="AY68" s="2174"/>
    </row>
    <row r="69" spans="1:63" ht="46.5" customHeight="1">
      <c r="A69" s="1719" t="s">
        <v>281</v>
      </c>
      <c r="B69" s="1035" t="s">
        <v>214</v>
      </c>
      <c r="C69" s="1019" t="s">
        <v>70</v>
      </c>
      <c r="D69" s="95" t="s">
        <v>105</v>
      </c>
      <c r="E69" s="1617" t="s">
        <v>1343</v>
      </c>
      <c r="F69" s="1896" t="s">
        <v>1533</v>
      </c>
      <c r="G69" s="2635"/>
      <c r="H69" s="2636"/>
      <c r="I69" s="3033">
        <f>'XM.FILE GOC'!I69</f>
        <v>56</v>
      </c>
      <c r="J69" s="3026"/>
      <c r="K69" s="3034"/>
      <c r="L69" s="3026">
        <f>'XM.FILE GOC'!L69</f>
        <v>55</v>
      </c>
      <c r="M69" s="3026"/>
      <c r="N69" s="3027"/>
      <c r="O69" s="2550"/>
      <c r="P69" s="3033">
        <f>'XM.FILE GOC'!P69</f>
        <v>55</v>
      </c>
      <c r="Q69" s="3026"/>
      <c r="R69" s="3034"/>
      <c r="S69" s="3026">
        <f>'XM.FILE GOC'!S69</f>
        <v>56</v>
      </c>
      <c r="T69" s="3026"/>
      <c r="U69" s="3027"/>
      <c r="V69" s="2551"/>
      <c r="W69" s="3033">
        <f>'XM.FILE GOC'!W69</f>
        <v>56</v>
      </c>
      <c r="X69" s="3026"/>
      <c r="Y69" s="3034"/>
      <c r="Z69" s="3026">
        <f>'XM.FILE GOC'!Z69</f>
        <v>55</v>
      </c>
      <c r="AA69" s="3026"/>
      <c r="AB69" s="3027"/>
      <c r="AC69" s="2551"/>
      <c r="AD69" s="3033">
        <f>'XM.FILE GOC'!AD69</f>
        <v>58</v>
      </c>
      <c r="AE69" s="3026"/>
      <c r="AF69" s="3034"/>
      <c r="AG69" s="3026">
        <f>'XM.FILE GOC'!AG69</f>
        <v>57</v>
      </c>
      <c r="AH69" s="3026"/>
      <c r="AI69" s="3027"/>
      <c r="AJ69" s="2601"/>
      <c r="AK69" s="3033">
        <f>'XM.FILE GOC'!AK69</f>
        <v>55</v>
      </c>
      <c r="AL69" s="3026"/>
      <c r="AM69" s="3034"/>
      <c r="AN69" s="3026">
        <f>'XM.FILE GOC'!AN69</f>
        <v>54</v>
      </c>
      <c r="AO69" s="3026"/>
      <c r="AP69" s="3027"/>
      <c r="AQ69" s="2601"/>
      <c r="AR69" s="3033">
        <f>'XM.FILE GOC'!AR69</f>
        <v>56</v>
      </c>
      <c r="AS69" s="3026"/>
      <c r="AT69" s="3034"/>
      <c r="AU69" s="3026">
        <f>'XM.FILE GOC'!AU69</f>
        <v>55</v>
      </c>
      <c r="AV69" s="3026"/>
      <c r="AW69" s="3027"/>
      <c r="AY69" s="2174"/>
    </row>
    <row r="70" spans="1:63" ht="46.5" customHeight="1">
      <c r="A70" s="1045" t="s">
        <v>282</v>
      </c>
      <c r="B70" s="1035" t="s">
        <v>214</v>
      </c>
      <c r="C70" s="1019" t="s">
        <v>71</v>
      </c>
      <c r="D70" s="95" t="s">
        <v>105</v>
      </c>
      <c r="E70" s="1617" t="s">
        <v>1532</v>
      </c>
      <c r="F70" s="1896" t="s">
        <v>1520</v>
      </c>
      <c r="G70" s="2635"/>
      <c r="H70" s="2636"/>
      <c r="I70" s="3051"/>
      <c r="J70" s="3052"/>
      <c r="K70" s="3052"/>
      <c r="L70" s="3026">
        <f>'XM.FILE GOC'!L70</f>
        <v>91</v>
      </c>
      <c r="M70" s="3026"/>
      <c r="N70" s="3027"/>
      <c r="O70" s="2559"/>
      <c r="P70" s="3029"/>
      <c r="Q70" s="3030"/>
      <c r="R70" s="3031"/>
      <c r="S70" s="3026">
        <f>'XM.FILE GOC'!S70</f>
        <v>90</v>
      </c>
      <c r="T70" s="3026"/>
      <c r="U70" s="3027"/>
      <c r="V70" s="2559"/>
      <c r="W70" s="3029"/>
      <c r="X70" s="3030"/>
      <c r="Y70" s="3031"/>
      <c r="Z70" s="3026">
        <f>'XM.FILE GOC'!Z70</f>
        <v>90</v>
      </c>
      <c r="AA70" s="3026"/>
      <c r="AB70" s="3027"/>
      <c r="AC70" s="2559"/>
      <c r="AD70" s="3029"/>
      <c r="AE70" s="3030"/>
      <c r="AF70" s="3031"/>
      <c r="AG70" s="3026">
        <f>'XM.FILE GOC'!AG70</f>
        <v>91</v>
      </c>
      <c r="AH70" s="3026"/>
      <c r="AI70" s="3027"/>
      <c r="AJ70" s="2559"/>
      <c r="AK70" s="3029"/>
      <c r="AL70" s="3030"/>
      <c r="AM70" s="3031"/>
      <c r="AN70" s="3026">
        <f>'XM.FILE GOC'!AN70</f>
        <v>92</v>
      </c>
      <c r="AO70" s="3026"/>
      <c r="AP70" s="3027"/>
      <c r="AQ70" s="2559"/>
      <c r="AR70" s="3029"/>
      <c r="AS70" s="3030"/>
      <c r="AT70" s="3031"/>
      <c r="AU70" s="3026">
        <f>'XM.FILE GOC'!AU70</f>
        <v>90</v>
      </c>
      <c r="AV70" s="3026"/>
      <c r="AW70" s="3027"/>
      <c r="AY70" s="2174"/>
    </row>
    <row r="71" spans="1:63" s="206" customFormat="1" ht="54" customHeight="1">
      <c r="A71" s="285" t="s">
        <v>75</v>
      </c>
      <c r="B71" s="286"/>
      <c r="C71" s="286"/>
      <c r="D71" s="286"/>
      <c r="E71" s="283"/>
      <c r="F71" s="283"/>
      <c r="G71" s="2626"/>
      <c r="H71" s="2499"/>
      <c r="I71" s="286"/>
      <c r="J71" s="2499"/>
      <c r="K71" s="286"/>
      <c r="L71" s="286"/>
      <c r="M71" s="1624"/>
      <c r="N71" s="286"/>
      <c r="O71" s="2499"/>
      <c r="P71" s="287"/>
      <c r="Q71" s="2499"/>
      <c r="R71" s="286"/>
      <c r="S71" s="286"/>
      <c r="T71" s="1628"/>
      <c r="U71" s="287"/>
      <c r="V71" s="2499"/>
      <c r="W71" s="287"/>
      <c r="X71" s="2499"/>
      <c r="Y71" s="286"/>
      <c r="Z71" s="286"/>
      <c r="AA71" s="1624"/>
      <c r="AB71" s="286"/>
      <c r="AC71" s="2499"/>
      <c r="AD71" s="286"/>
      <c r="AE71" s="2499"/>
      <c r="AF71" s="286"/>
      <c r="AG71" s="286"/>
      <c r="AH71" s="1624"/>
      <c r="AI71" s="286"/>
      <c r="AJ71" s="2598"/>
      <c r="AK71" s="287"/>
      <c r="AL71" s="2598"/>
      <c r="AM71" s="287"/>
      <c r="AN71" s="287"/>
      <c r="AO71" s="1632"/>
      <c r="AP71" s="287"/>
      <c r="AQ71" s="2598"/>
      <c r="AR71" s="287"/>
      <c r="AS71" s="2598"/>
      <c r="AT71" s="287"/>
      <c r="AU71" s="287"/>
      <c r="AV71" s="287"/>
      <c r="AW71" s="287"/>
      <c r="AX71" s="287"/>
      <c r="AY71" s="287"/>
      <c r="AZ71" s="265"/>
      <c r="BA71" s="265"/>
      <c r="BB71" s="265"/>
      <c r="BC71" s="265"/>
    </row>
    <row r="72" spans="1:63" ht="51" customHeight="1">
      <c r="A72" s="1719" t="s">
        <v>283</v>
      </c>
      <c r="B72" s="1035" t="s">
        <v>214</v>
      </c>
      <c r="C72" s="1036" t="s">
        <v>235</v>
      </c>
      <c r="D72" s="1909" t="s">
        <v>1497</v>
      </c>
      <c r="E72" s="267" t="s">
        <v>1295</v>
      </c>
      <c r="F72" s="1904" t="s">
        <v>1295</v>
      </c>
      <c r="G72" s="2637"/>
      <c r="H72" s="2638"/>
      <c r="I72" s="3198">
        <f>'XM.FILE GOC'!I72</f>
        <v>140</v>
      </c>
      <c r="J72" s="3230"/>
      <c r="K72" s="3230"/>
      <c r="L72" s="3230"/>
      <c r="M72" s="3230"/>
      <c r="N72" s="3199"/>
      <c r="O72" s="2668"/>
      <c r="P72" s="3198">
        <f>'XM.FILE GOC'!P72</f>
        <v>142</v>
      </c>
      <c r="Q72" s="3230"/>
      <c r="R72" s="3230"/>
      <c r="S72" s="3230"/>
      <c r="T72" s="3230"/>
      <c r="U72" s="3199"/>
      <c r="V72" s="2676"/>
      <c r="W72" s="3198">
        <f>'XM.FILE GOC'!W72</f>
        <v>142</v>
      </c>
      <c r="X72" s="3230"/>
      <c r="Y72" s="3230"/>
      <c r="Z72" s="3230"/>
      <c r="AA72" s="3230"/>
      <c r="AB72" s="3199"/>
      <c r="AC72" s="2682"/>
      <c r="AD72" s="3198">
        <f>'XM.FILE GOC'!AD72</f>
        <v>130</v>
      </c>
      <c r="AE72" s="3230"/>
      <c r="AF72" s="3230"/>
      <c r="AG72" s="3230"/>
      <c r="AH72" s="3230"/>
      <c r="AI72" s="3199"/>
      <c r="AJ72" s="2685"/>
      <c r="AK72" s="3198">
        <f>'XM.FILE GOC'!AK72</f>
        <v>125</v>
      </c>
      <c r="AL72" s="3230"/>
      <c r="AM72" s="3230"/>
      <c r="AN72" s="3230"/>
      <c r="AO72" s="3230"/>
      <c r="AP72" s="3199"/>
      <c r="AQ72" s="2685"/>
      <c r="AR72" s="3166">
        <f>'XM.FILE GOC'!AR72</f>
        <v>130</v>
      </c>
      <c r="AS72" s="3166"/>
      <c r="AT72" s="3166"/>
      <c r="AU72" s="3166"/>
      <c r="AV72" s="3166"/>
      <c r="AW72" s="3166"/>
      <c r="AY72" s="2174"/>
    </row>
    <row r="73" spans="1:63" ht="51" customHeight="1">
      <c r="A73" s="1045" t="s">
        <v>284</v>
      </c>
      <c r="B73" s="1035" t="s">
        <v>214</v>
      </c>
      <c r="C73" s="102" t="s">
        <v>236</v>
      </c>
      <c r="D73" s="1909" t="s">
        <v>1497</v>
      </c>
      <c r="E73" s="1618" t="s">
        <v>1296</v>
      </c>
      <c r="F73" s="1904" t="s">
        <v>1296</v>
      </c>
      <c r="G73" s="2637"/>
      <c r="H73" s="2638"/>
      <c r="I73" s="3198">
        <f>'XM.FILE GOC'!I73</f>
        <v>38</v>
      </c>
      <c r="J73" s="3230"/>
      <c r="K73" s="3230"/>
      <c r="L73" s="3230"/>
      <c r="M73" s="3230"/>
      <c r="N73" s="3199"/>
      <c r="O73" s="2669"/>
      <c r="P73" s="3198">
        <f>'XM.FILE GOC'!P73</f>
        <v>40</v>
      </c>
      <c r="Q73" s="3230"/>
      <c r="R73" s="3230"/>
      <c r="S73" s="3230"/>
      <c r="T73" s="3230"/>
      <c r="U73" s="3199"/>
      <c r="V73" s="2676">
        <f>'XM.FILE GOC'!W73</f>
        <v>42</v>
      </c>
      <c r="W73" s="3198">
        <f>'XM.FILE GOC'!W73</f>
        <v>42</v>
      </c>
      <c r="X73" s="3230"/>
      <c r="Y73" s="3230"/>
      <c r="Z73" s="3230"/>
      <c r="AA73" s="3230"/>
      <c r="AB73" s="3199"/>
      <c r="AC73" s="2669"/>
      <c r="AD73" s="3198">
        <f>'XM.FILE GOC'!AD73</f>
        <v>40</v>
      </c>
      <c r="AE73" s="3230"/>
      <c r="AF73" s="3230"/>
      <c r="AG73" s="3230"/>
      <c r="AH73" s="3230"/>
      <c r="AI73" s="3230"/>
      <c r="AJ73" s="2686"/>
      <c r="AK73" s="3198">
        <f>'XM.FILE GOC'!AK73</f>
        <v>42</v>
      </c>
      <c r="AL73" s="3230"/>
      <c r="AM73" s="3230"/>
      <c r="AN73" s="3230"/>
      <c r="AO73" s="3230"/>
      <c r="AP73" s="3230"/>
      <c r="AQ73" s="2686"/>
      <c r="AR73" s="3166">
        <f>'XM.FILE GOC'!AR73</f>
        <v>40</v>
      </c>
      <c r="AS73" s="3166"/>
      <c r="AT73" s="3166"/>
      <c r="AU73" s="3166"/>
      <c r="AV73" s="3166"/>
      <c r="AW73" s="3166"/>
      <c r="AY73" s="2174"/>
    </row>
    <row r="74" spans="1:63" ht="26.25" customHeight="1">
      <c r="A74" s="1725"/>
      <c r="B74" s="266"/>
      <c r="C74" s="266"/>
      <c r="D74" s="266"/>
      <c r="E74" s="266"/>
      <c r="F74" s="1608"/>
      <c r="G74" s="2639"/>
      <c r="H74" s="2507"/>
      <c r="I74" s="266"/>
      <c r="J74" s="2507"/>
      <c r="K74" s="266"/>
      <c r="L74" s="266"/>
      <c r="M74" s="1626"/>
      <c r="N74" s="266"/>
      <c r="O74" s="2507"/>
      <c r="P74" s="266"/>
      <c r="Q74" s="2507"/>
      <c r="R74" s="266"/>
      <c r="S74" s="266"/>
      <c r="T74" s="1626"/>
      <c r="U74" s="266"/>
      <c r="V74" s="2507"/>
      <c r="W74" s="266"/>
      <c r="X74" s="2507"/>
      <c r="Y74" s="266"/>
      <c r="Z74" s="266"/>
      <c r="AA74" s="1626"/>
      <c r="AB74" s="266"/>
      <c r="AC74" s="2507"/>
      <c r="AD74" s="266"/>
      <c r="AE74" s="2507"/>
      <c r="AF74" s="266"/>
      <c r="AG74" s="266"/>
      <c r="AH74" s="1626"/>
      <c r="AI74" s="266"/>
      <c r="AJ74" s="2507"/>
      <c r="AK74" s="266"/>
      <c r="AL74" s="2507"/>
      <c r="AM74" s="266"/>
      <c r="AN74" s="266"/>
      <c r="AO74" s="1626"/>
      <c r="AP74" s="266"/>
      <c r="AQ74" s="2507"/>
      <c r="AR74" s="266"/>
      <c r="AS74" s="2507"/>
      <c r="AT74" s="266"/>
      <c r="AU74" s="266"/>
      <c r="AV74" s="1626"/>
      <c r="AW74" s="266"/>
    </row>
    <row r="75" spans="1:63" ht="41.25" customHeight="1">
      <c r="A75" s="2727"/>
      <c r="B75" s="2716"/>
      <c r="C75" s="2727" t="s">
        <v>1484</v>
      </c>
      <c r="D75" s="2717"/>
      <c r="E75" s="2728"/>
      <c r="F75" s="2717"/>
      <c r="G75" s="2729" t="s">
        <v>72</v>
      </c>
      <c r="H75" s="2721"/>
      <c r="I75" s="2730" t="str">
        <f>MENU!$AC$9</f>
        <v>Thứ 4,</v>
      </c>
      <c r="J75" s="2721"/>
      <c r="K75" s="2721"/>
      <c r="L75" s="2722" t="str">
        <f>MENU!$AD$9</f>
        <v>2024/05/22</v>
      </c>
      <c r="M75" s="2731"/>
      <c r="N75" s="2723"/>
      <c r="O75" s="2723"/>
      <c r="P75" s="2723"/>
      <c r="Q75" s="2723"/>
      <c r="R75" s="2723"/>
      <c r="S75" s="2723"/>
      <c r="T75" s="2731"/>
      <c r="U75" s="2721"/>
      <c r="V75" s="2721"/>
      <c r="W75" s="2721"/>
      <c r="X75" s="2721"/>
      <c r="Y75" s="2721"/>
      <c r="Z75" s="2721"/>
      <c r="AA75" s="2732"/>
      <c r="AB75" s="2721"/>
      <c r="AC75" s="2721"/>
      <c r="AD75" s="2733" t="s">
        <v>127</v>
      </c>
      <c r="AE75" s="2721"/>
      <c r="AF75" s="2721"/>
      <c r="AG75" s="2721"/>
      <c r="AH75" s="2732"/>
      <c r="AI75" s="2721"/>
      <c r="AJ75" s="2724"/>
      <c r="AK75" s="2716"/>
      <c r="AL75" s="2725"/>
      <c r="AM75" s="2725"/>
      <c r="AN75" s="2725"/>
      <c r="AO75" s="2734"/>
      <c r="AP75" s="2725"/>
      <c r="AQ75" s="2725"/>
      <c r="AR75" s="2725"/>
      <c r="AS75" s="2725"/>
      <c r="AT75" s="2725"/>
      <c r="AU75" s="2725"/>
      <c r="AV75" s="2734"/>
      <c r="AW75" s="2726"/>
      <c r="AY75" s="3239" t="s">
        <v>1521</v>
      </c>
      <c r="AZ75" s="1047" t="s">
        <v>1023</v>
      </c>
      <c r="BA75" s="1047"/>
      <c r="BB75" s="1047"/>
      <c r="BC75" s="1047"/>
      <c r="BD75" s="1047"/>
      <c r="BE75" s="1047"/>
      <c r="BF75" s="1047"/>
      <c r="BG75" s="1047"/>
      <c r="BH75" s="1047"/>
      <c r="BI75" s="1047"/>
      <c r="BJ75" s="1047"/>
      <c r="BK75" s="1047"/>
    </row>
    <row r="76" spans="1:63" ht="28.5" customHeight="1">
      <c r="A76" s="1723"/>
      <c r="B76" s="1031"/>
      <c r="C76" s="1031"/>
      <c r="D76" s="1031"/>
      <c r="E76" s="1605"/>
      <c r="F76" s="1899"/>
      <c r="G76" s="3234" t="s">
        <v>125</v>
      </c>
      <c r="H76" s="2614"/>
      <c r="I76" s="269" t="s">
        <v>1469</v>
      </c>
      <c r="J76" s="2487"/>
      <c r="K76" s="269"/>
      <c r="L76" s="269"/>
      <c r="M76" s="1623"/>
      <c r="N76" s="269"/>
      <c r="O76" s="2538"/>
      <c r="P76" s="282" t="s">
        <v>1459</v>
      </c>
      <c r="Q76" s="2487"/>
      <c r="R76" s="269"/>
      <c r="S76" s="269"/>
      <c r="T76" s="1623"/>
      <c r="U76" s="270"/>
      <c r="V76" s="2487"/>
      <c r="W76" s="269" t="s">
        <v>1460</v>
      </c>
      <c r="X76" s="2487"/>
      <c r="Y76" s="269"/>
      <c r="Z76" s="269"/>
      <c r="AA76" s="1623"/>
      <c r="AB76" s="269"/>
      <c r="AC76" s="2538"/>
      <c r="AD76" s="282" t="s">
        <v>1461</v>
      </c>
      <c r="AE76" s="2487"/>
      <c r="AF76" s="269"/>
      <c r="AG76" s="269"/>
      <c r="AH76" s="1623"/>
      <c r="AI76" s="270"/>
      <c r="AJ76" s="2487"/>
      <c r="AK76" s="269" t="s">
        <v>1462</v>
      </c>
      <c r="AL76" s="2487"/>
      <c r="AM76" s="269"/>
      <c r="AN76" s="269"/>
      <c r="AO76" s="1623"/>
      <c r="AP76" s="269"/>
      <c r="AQ76" s="2487"/>
      <c r="AR76" s="282" t="s">
        <v>1463</v>
      </c>
      <c r="AS76" s="2487"/>
      <c r="AT76" s="269"/>
      <c r="AU76" s="270"/>
      <c r="AV76" s="1634"/>
      <c r="AW76" s="1003"/>
      <c r="AY76" s="3239"/>
      <c r="AZ76" s="1047"/>
      <c r="BA76" s="1047"/>
      <c r="BB76" s="1047"/>
      <c r="BC76" s="1047"/>
      <c r="BD76" s="1047"/>
      <c r="BE76" s="1047"/>
      <c r="BF76" s="1047"/>
      <c r="BG76" s="1047"/>
      <c r="BH76" s="1047"/>
      <c r="BI76" s="1047"/>
      <c r="BJ76" s="1047"/>
      <c r="BK76" s="1047"/>
    </row>
    <row r="77" spans="1:63" ht="67.5" customHeight="1">
      <c r="A77" s="1724" t="s">
        <v>238</v>
      </c>
      <c r="B77" s="1034" t="s">
        <v>317</v>
      </c>
      <c r="C77" s="1038" t="s">
        <v>316</v>
      </c>
      <c r="D77" s="1830" t="s">
        <v>124</v>
      </c>
      <c r="E77" s="1388" t="s">
        <v>1303</v>
      </c>
      <c r="F77" s="1900" t="s">
        <v>1302</v>
      </c>
      <c r="G77" s="3235"/>
      <c r="H77" s="2571"/>
      <c r="I77" s="1761" t="s">
        <v>1446</v>
      </c>
      <c r="J77" s="2655" t="s">
        <v>1</v>
      </c>
      <c r="K77" s="3229" t="s">
        <v>1447</v>
      </c>
      <c r="L77" s="3229"/>
      <c r="M77" s="3227" t="s">
        <v>1507</v>
      </c>
      <c r="N77" s="3228"/>
      <c r="O77" s="2539"/>
      <c r="P77" s="1761" t="s">
        <v>1446</v>
      </c>
      <c r="Q77" s="2655" t="s">
        <v>1</v>
      </c>
      <c r="R77" s="3229" t="s">
        <v>1447</v>
      </c>
      <c r="S77" s="3229"/>
      <c r="T77" s="3227" t="s">
        <v>1507</v>
      </c>
      <c r="U77" s="3228"/>
      <c r="V77" s="2571"/>
      <c r="W77" s="1761" t="s">
        <v>1446</v>
      </c>
      <c r="X77" s="2655" t="s">
        <v>1</v>
      </c>
      <c r="Y77" s="3229" t="s">
        <v>1447</v>
      </c>
      <c r="Z77" s="3229"/>
      <c r="AA77" s="3227" t="s">
        <v>1507</v>
      </c>
      <c r="AB77" s="3228"/>
      <c r="AC77" s="2539"/>
      <c r="AD77" s="1761" t="s">
        <v>1446</v>
      </c>
      <c r="AE77" s="2655" t="s">
        <v>1</v>
      </c>
      <c r="AF77" s="3229" t="s">
        <v>1447</v>
      </c>
      <c r="AG77" s="3229"/>
      <c r="AH77" s="3227" t="s">
        <v>1507</v>
      </c>
      <c r="AI77" s="3228"/>
      <c r="AJ77" s="2539"/>
      <c r="AK77" s="2012" t="s">
        <v>1446</v>
      </c>
      <c r="AL77" s="2655" t="s">
        <v>1</v>
      </c>
      <c r="AM77" s="3229" t="s">
        <v>1447</v>
      </c>
      <c r="AN77" s="3229"/>
      <c r="AO77" s="3227" t="s">
        <v>1507</v>
      </c>
      <c r="AP77" s="3228"/>
      <c r="AQ77" s="2539"/>
      <c r="AR77" s="1761" t="s">
        <v>1446</v>
      </c>
      <c r="AS77" s="2655" t="s">
        <v>1</v>
      </c>
      <c r="AT77" s="3229" t="s">
        <v>1447</v>
      </c>
      <c r="AU77" s="3229"/>
      <c r="AV77" s="3227" t="s">
        <v>1507</v>
      </c>
      <c r="AW77" s="3228"/>
      <c r="AY77" s="3239"/>
      <c r="AZ77" s="1047"/>
      <c r="BA77" s="1047"/>
      <c r="BB77" s="1047"/>
      <c r="BC77" s="1047"/>
      <c r="BD77" s="1047"/>
      <c r="BE77" s="1047"/>
      <c r="BF77" s="1047"/>
      <c r="BG77" s="1047"/>
      <c r="BH77" s="1047"/>
      <c r="BI77" s="1047"/>
      <c r="BJ77" s="1047"/>
      <c r="BK77" s="1047"/>
    </row>
    <row r="78" spans="1:63" ht="39.75" customHeight="1">
      <c r="A78" s="1834" t="s">
        <v>285</v>
      </c>
      <c r="B78" s="1835" t="s">
        <v>127</v>
      </c>
      <c r="C78" s="1872" t="s">
        <v>1490</v>
      </c>
      <c r="D78" s="1836" t="s">
        <v>4</v>
      </c>
      <c r="E78" s="1837" t="s">
        <v>1347</v>
      </c>
      <c r="F78" s="1901" t="s">
        <v>1330</v>
      </c>
      <c r="G78" s="2640">
        <v>50</v>
      </c>
      <c r="H78" s="2577">
        <f>XM.HN!B47</f>
        <v>7.35</v>
      </c>
      <c r="I78" s="1930">
        <f>H78*6.49</f>
        <v>47.701499999999996</v>
      </c>
      <c r="J78" s="2661">
        <f>($G$78-I78)*15517/1000</f>
        <v>35.66582450000007</v>
      </c>
      <c r="K78" s="1842" t="s">
        <v>8</v>
      </c>
      <c r="L78" s="1843">
        <f t="shared" ref="L78:L94" si="12">IF(I78=0,0,IF(J78&lt;0,0,J78))</f>
        <v>35.66582450000007</v>
      </c>
      <c r="M78" s="2048" t="str">
        <f>IF('3.XT-C TT'!AB6="","",'3.XT-C TT'!AB6)</f>
        <v/>
      </c>
      <c r="N78" s="1845" t="s">
        <v>9</v>
      </c>
      <c r="O78" s="2540">
        <f>XM.HN!C47</f>
        <v>7.5</v>
      </c>
      <c r="P78" s="1930">
        <f>O78*6.49</f>
        <v>48.675000000000004</v>
      </c>
      <c r="Q78" s="2489">
        <f>($G$78-P78)*15517/1000</f>
        <v>20.560024999999932</v>
      </c>
      <c r="R78" s="1842" t="s">
        <v>8</v>
      </c>
      <c r="S78" s="1843">
        <f t="shared" ref="S78:S94" si="13">IF(P78=0,0,IF(Q78&lt;0,0,Q78))</f>
        <v>20.560024999999932</v>
      </c>
      <c r="T78" s="2048">
        <f>IF('3.XT-C TT'!AF6="","",'3.XT-C TT'!AF6)</f>
        <v>25</v>
      </c>
      <c r="U78" s="1845" t="s">
        <v>9</v>
      </c>
      <c r="V78" s="2540">
        <f>XM.HN!D47</f>
        <v>8.0500000000000007</v>
      </c>
      <c r="W78" s="1930">
        <f>V78*6.49</f>
        <v>52.244500000000009</v>
      </c>
      <c r="X78" s="2489">
        <f>($G$78-W78)*15517/1000</f>
        <v>-34.82790650000014</v>
      </c>
      <c r="Y78" s="1842" t="s">
        <v>8</v>
      </c>
      <c r="Z78" s="1843">
        <f t="shared" ref="Z78:Z94" si="14">IF(W78=0,0,IF(X78&lt;0,0,X78))</f>
        <v>0</v>
      </c>
      <c r="AA78" s="2048" t="str">
        <f>IF('3.XT-C TT'!AJ6="","",'3.XT-C TT'!AJ6)</f>
        <v/>
      </c>
      <c r="AB78" s="1845" t="s">
        <v>9</v>
      </c>
      <c r="AC78" s="2540">
        <f>XM.HN!E47</f>
        <v>7.7</v>
      </c>
      <c r="AD78" s="1930">
        <f>AC78*6.49</f>
        <v>49.973000000000006</v>
      </c>
      <c r="AE78" s="2489">
        <f>($G$78-AD78)*15517/1000</f>
        <v>0.41895899999990566</v>
      </c>
      <c r="AF78" s="1842" t="s">
        <v>8</v>
      </c>
      <c r="AG78" s="1843">
        <f t="shared" ref="AG78:AG94" si="15">IF(AD78=0,0,IF(AE78&lt;0,0,AE78))</f>
        <v>0.41895899999990566</v>
      </c>
      <c r="AH78" s="2048" t="str">
        <f>IF('3.XT-C TT(CA2)'!AB6="","",'3.XT-C TT(CA2)'!AB6)</f>
        <v/>
      </c>
      <c r="AI78" s="1845" t="s">
        <v>9</v>
      </c>
      <c r="AJ78" s="2540">
        <f>XM.HN!F47</f>
        <v>7.7</v>
      </c>
      <c r="AK78" s="2008">
        <f>AJ78*6.49</f>
        <v>49.973000000000006</v>
      </c>
      <c r="AL78" s="2679">
        <f>($G$78-AK78)*15517/1000</f>
        <v>0.41895899999990566</v>
      </c>
      <c r="AM78" s="2009" t="s">
        <v>8</v>
      </c>
      <c r="AN78" s="2010">
        <f t="shared" ref="AN78:AN94" si="16">IF(AK78=0,0,IF(AL78&lt;0,0,AL78))</f>
        <v>0.41895899999990566</v>
      </c>
      <c r="AO78" s="2048" t="str">
        <f>IF('3.XT-C TT(CA2)'!AF6="","",'3.XT-C TT(CA2)'!AF6)</f>
        <v/>
      </c>
      <c r="AP78" s="2011" t="s">
        <v>9</v>
      </c>
      <c r="AQ78" s="2540">
        <f>XM.HN!G47</f>
        <v>7.8</v>
      </c>
      <c r="AR78" s="1930">
        <f>AQ78*6.49</f>
        <v>50.622</v>
      </c>
      <c r="AS78" s="2489">
        <f>($G$78-AR78)*15517/1000</f>
        <v>-9.6515739999999983</v>
      </c>
      <c r="AT78" s="1842" t="s">
        <v>8</v>
      </c>
      <c r="AU78" s="1843">
        <f t="shared" ref="AU78:AU94" si="17">IF(AR78=0,0,IF(AS78&lt;0,0,AS78))</f>
        <v>0</v>
      </c>
      <c r="AV78" s="2048" t="str">
        <f>IF('3.XT-C TT(CA2)'!AJ6="","",'3.XT-C TT(CA2)'!AJ6)</f>
        <v/>
      </c>
      <c r="AW78" s="1845" t="s">
        <v>9</v>
      </c>
      <c r="AY78" s="3243"/>
      <c r="AZ78" s="1047"/>
      <c r="BA78" s="1047"/>
      <c r="BB78" s="1047"/>
      <c r="BC78" s="1047"/>
      <c r="BD78" s="1047"/>
      <c r="BE78" s="1047"/>
      <c r="BF78" s="1047"/>
      <c r="BG78" s="1047"/>
      <c r="BH78" s="1047"/>
      <c r="BI78" s="1047"/>
      <c r="BJ78" s="1047"/>
      <c r="BK78" s="1047"/>
    </row>
    <row r="79" spans="1:63" ht="39.75" customHeight="1">
      <c r="A79" s="1857"/>
      <c r="B79" s="1858"/>
      <c r="C79" s="1871" t="s">
        <v>231</v>
      </c>
      <c r="D79" s="1860"/>
      <c r="E79" s="1861" t="s">
        <v>1494</v>
      </c>
      <c r="F79" s="1902"/>
      <c r="G79" s="2641"/>
      <c r="H79" s="2578"/>
      <c r="I79" s="1882"/>
      <c r="J79" s="2662"/>
      <c r="K79" s="1865" t="s">
        <v>8</v>
      </c>
      <c r="L79" s="1869">
        <f>L78/25*8.5</f>
        <v>12.126380330000025</v>
      </c>
      <c r="M79" s="2050" t="str">
        <f>IF('3.XT-C TT'!AB7="","",'3.XT-C TT'!AB7)</f>
        <v/>
      </c>
      <c r="N79" s="1867" t="s">
        <v>10</v>
      </c>
      <c r="O79" s="2542"/>
      <c r="P79" s="1882"/>
      <c r="Q79" s="2491"/>
      <c r="R79" s="1865" t="s">
        <v>8</v>
      </c>
      <c r="S79" s="1869">
        <f>S78/25*8.5</f>
        <v>6.9904084999999769</v>
      </c>
      <c r="T79" s="2050" t="str">
        <f>IF('3.XT-C TT'!AF7="","",'3.XT-C TT'!AF7)</f>
        <v/>
      </c>
      <c r="U79" s="1867" t="s">
        <v>10</v>
      </c>
      <c r="V79" s="2542"/>
      <c r="W79" s="1882"/>
      <c r="X79" s="2491"/>
      <c r="Y79" s="1865" t="s">
        <v>8</v>
      </c>
      <c r="Z79" s="1869">
        <f>Z78/25*8.5</f>
        <v>0</v>
      </c>
      <c r="AA79" s="2050" t="str">
        <f>IF('3.XT-C TT'!AJ7="","",'3.XT-C TT'!AJ7)</f>
        <v/>
      </c>
      <c r="AB79" s="1867" t="s">
        <v>10</v>
      </c>
      <c r="AC79" s="2542"/>
      <c r="AD79" s="1882"/>
      <c r="AE79" s="2491"/>
      <c r="AF79" s="1865" t="s">
        <v>8</v>
      </c>
      <c r="AG79" s="1869">
        <f>AG78/25*8.5</f>
        <v>0.1424460599999679</v>
      </c>
      <c r="AH79" s="2050" t="str">
        <f>IF('3.XT-C TT(CA2)'!AB7="","",'3.XT-C TT(CA2)'!AB7)</f>
        <v/>
      </c>
      <c r="AI79" s="1867" t="s">
        <v>10</v>
      </c>
      <c r="AJ79" s="2542"/>
      <c r="AK79" s="1882"/>
      <c r="AL79" s="2491"/>
      <c r="AM79" s="1865" t="s">
        <v>8</v>
      </c>
      <c r="AN79" s="1869">
        <f>AN78/25*8.5</f>
        <v>0.1424460599999679</v>
      </c>
      <c r="AO79" s="2050" t="str">
        <f>IF('3.XT-C TT(CA2)'!AF7="","",'3.XT-C TT(CA2)'!AF7)</f>
        <v/>
      </c>
      <c r="AP79" s="1867" t="s">
        <v>10</v>
      </c>
      <c r="AQ79" s="2542"/>
      <c r="AR79" s="1882"/>
      <c r="AS79" s="2491"/>
      <c r="AT79" s="1865" t="s">
        <v>8</v>
      </c>
      <c r="AU79" s="1869">
        <f>AU78/25*8.5</f>
        <v>0</v>
      </c>
      <c r="AV79" s="2050" t="str">
        <f>IF('3.XT-C TT(CA2)'!AJ7="","",'3.XT-C TT(CA2)'!AJ7)</f>
        <v/>
      </c>
      <c r="AW79" s="1867" t="s">
        <v>10</v>
      </c>
      <c r="AY79" s="3244"/>
      <c r="AZ79" s="1047"/>
      <c r="BA79" s="1047"/>
      <c r="BB79" s="1047"/>
      <c r="BC79" s="1047"/>
      <c r="BD79" s="1047"/>
      <c r="BE79" s="1047"/>
      <c r="BF79" s="1047"/>
      <c r="BG79" s="1047"/>
      <c r="BH79" s="1047"/>
      <c r="BI79" s="1047"/>
      <c r="BJ79" s="1047"/>
      <c r="BK79" s="1047"/>
    </row>
    <row r="80" spans="1:63" ht="39.75" customHeight="1">
      <c r="A80" s="1834" t="s">
        <v>286</v>
      </c>
      <c r="B80" s="1835" t="s">
        <v>127</v>
      </c>
      <c r="C80" s="1872" t="s">
        <v>1491</v>
      </c>
      <c r="D80" s="1836" t="s">
        <v>4</v>
      </c>
      <c r="E80" s="1837" t="s">
        <v>1347</v>
      </c>
      <c r="F80" s="1901" t="s">
        <v>1330</v>
      </c>
      <c r="G80" s="2640">
        <v>50</v>
      </c>
      <c r="H80" s="2577">
        <f>XM.HN!B49</f>
        <v>7.15</v>
      </c>
      <c r="I80" s="1930">
        <f>H80*6.49</f>
        <v>46.403500000000001</v>
      </c>
      <c r="J80" s="2661">
        <f>($G$80-I80)*11475/1000</f>
        <v>41.269837499999987</v>
      </c>
      <c r="K80" s="1842" t="s">
        <v>8</v>
      </c>
      <c r="L80" s="1843">
        <f t="shared" si="12"/>
        <v>41.269837499999987</v>
      </c>
      <c r="M80" s="2048" t="str">
        <f>IF('3.XT-C TT'!AB8="","",'3.XT-C TT'!AB8)</f>
        <v/>
      </c>
      <c r="N80" s="1845" t="s">
        <v>9</v>
      </c>
      <c r="O80" s="2540">
        <f>XM.HN!C49</f>
        <v>7.35</v>
      </c>
      <c r="P80" s="1930">
        <f>O80*6.49</f>
        <v>47.701499999999996</v>
      </c>
      <c r="Q80" s="2489">
        <f>($G$80-P80)*11475/1000</f>
        <v>26.375287500000049</v>
      </c>
      <c r="R80" s="1842" t="s">
        <v>8</v>
      </c>
      <c r="S80" s="1843">
        <f t="shared" si="13"/>
        <v>26.375287500000049</v>
      </c>
      <c r="T80" s="2048">
        <f>IF('3.XT-C TT'!AF8="","",'3.XT-C TT'!AF8)</f>
        <v>25</v>
      </c>
      <c r="U80" s="1845" t="s">
        <v>9</v>
      </c>
      <c r="V80" s="2540">
        <f>XM.HN!D49</f>
        <v>7.7</v>
      </c>
      <c r="W80" s="1930">
        <f>V80*6.49</f>
        <v>49.973000000000006</v>
      </c>
      <c r="X80" s="2489">
        <f>($G$80-W80)*11475/1000</f>
        <v>0.30982499999993018</v>
      </c>
      <c r="Y80" s="1842" t="s">
        <v>8</v>
      </c>
      <c r="Z80" s="1843">
        <f t="shared" si="14"/>
        <v>0.30982499999993018</v>
      </c>
      <c r="AA80" s="2048" t="str">
        <f>IF('3.XT-C TT'!AJ8="","",'3.XT-C TT'!AJ8)</f>
        <v/>
      </c>
      <c r="AB80" s="1845" t="s">
        <v>9</v>
      </c>
      <c r="AC80" s="2540">
        <f>XM.HN!E49</f>
        <v>7.5</v>
      </c>
      <c r="AD80" s="1930">
        <f>AC80*6.49</f>
        <v>48.675000000000004</v>
      </c>
      <c r="AE80" s="2489">
        <f>($G$80-AD80)*11475/1000</f>
        <v>15.204374999999951</v>
      </c>
      <c r="AF80" s="1842" t="s">
        <v>8</v>
      </c>
      <c r="AG80" s="1843">
        <f t="shared" si="15"/>
        <v>15.204374999999951</v>
      </c>
      <c r="AH80" s="2048">
        <f>IF('3.XT-C TT(CA2)'!AB8="","",'3.XT-C TT(CA2)'!AB8)</f>
        <v>15</v>
      </c>
      <c r="AI80" s="1845" t="s">
        <v>9</v>
      </c>
      <c r="AJ80" s="2540">
        <f>XM.HN!F49</f>
        <v>7.6</v>
      </c>
      <c r="AK80" s="1930">
        <f>AJ80*6.49</f>
        <v>49.323999999999998</v>
      </c>
      <c r="AL80" s="2489">
        <f>($G$80-AK80)*11475/1000</f>
        <v>7.7571000000000225</v>
      </c>
      <c r="AM80" s="1842" t="s">
        <v>8</v>
      </c>
      <c r="AN80" s="1843">
        <f t="shared" si="16"/>
        <v>7.7571000000000225</v>
      </c>
      <c r="AO80" s="2048" t="str">
        <f>IF('3.XT-C TT(CA2)'!AF8="","",'3.XT-C TT(CA2)'!AF8)</f>
        <v/>
      </c>
      <c r="AP80" s="1845" t="s">
        <v>9</v>
      </c>
      <c r="AQ80" s="2540">
        <f>XM.HN!G49</f>
        <v>7.9</v>
      </c>
      <c r="AR80" s="1930">
        <f>AQ80*6.49</f>
        <v>51.271000000000001</v>
      </c>
      <c r="AS80" s="2489">
        <f>($G$80-AR80)*11475/1000</f>
        <v>-14.584725000000009</v>
      </c>
      <c r="AT80" s="1842" t="s">
        <v>8</v>
      </c>
      <c r="AU80" s="1843">
        <f t="shared" si="17"/>
        <v>0</v>
      </c>
      <c r="AV80" s="2048" t="str">
        <f>IF('3.XT-C TT(CA2)'!AJ8="","",'3.XT-C TT(CA2)'!AJ8)</f>
        <v/>
      </c>
      <c r="AW80" s="1845" t="s">
        <v>9</v>
      </c>
      <c r="AY80" s="3243"/>
      <c r="AZ80" s="1047"/>
      <c r="BA80" s="1047"/>
      <c r="BB80" s="1047"/>
      <c r="BC80" s="1047"/>
      <c r="BD80" s="1047"/>
      <c r="BE80" s="1047"/>
      <c r="BF80" s="1047"/>
      <c r="BG80" s="1047"/>
      <c r="BH80" s="1047"/>
      <c r="BI80" s="1047"/>
      <c r="BJ80" s="1047"/>
      <c r="BK80" s="1047"/>
    </row>
    <row r="81" spans="1:63" ht="39.75" customHeight="1">
      <c r="A81" s="1857"/>
      <c r="B81" s="1858"/>
      <c r="C81" s="1871" t="s">
        <v>231</v>
      </c>
      <c r="D81" s="1860"/>
      <c r="E81" s="1861" t="s">
        <v>1494</v>
      </c>
      <c r="F81" s="1902"/>
      <c r="G81" s="2641"/>
      <c r="H81" s="2578"/>
      <c r="I81" s="1882"/>
      <c r="J81" s="2662"/>
      <c r="K81" s="1865" t="s">
        <v>8</v>
      </c>
      <c r="L81" s="1869">
        <f>L80/25*8.5</f>
        <v>14.031744749999996</v>
      </c>
      <c r="M81" s="2050" t="str">
        <f>IF('3.XT-C TT'!AB9="","",'3.XT-C TT'!AB9)</f>
        <v/>
      </c>
      <c r="N81" s="1867" t="s">
        <v>10</v>
      </c>
      <c r="O81" s="2542"/>
      <c r="P81" s="1882"/>
      <c r="Q81" s="2491"/>
      <c r="R81" s="1865" t="s">
        <v>8</v>
      </c>
      <c r="S81" s="1869">
        <f>S80/25*8.5</f>
        <v>8.9675977500000172</v>
      </c>
      <c r="T81" s="2050" t="str">
        <f>IF('3.XT-C TT'!AF9="","",'3.XT-C TT'!AF9)</f>
        <v/>
      </c>
      <c r="U81" s="1867" t="s">
        <v>10</v>
      </c>
      <c r="V81" s="2542"/>
      <c r="W81" s="1882"/>
      <c r="X81" s="2491"/>
      <c r="Y81" s="1865" t="s">
        <v>8</v>
      </c>
      <c r="Z81" s="1869">
        <f>Z80/25*8.5</f>
        <v>0.10534049999997626</v>
      </c>
      <c r="AA81" s="2050" t="str">
        <f>IF('3.XT-C TT'!AJ9="","",'3.XT-C TT'!AJ9)</f>
        <v/>
      </c>
      <c r="AB81" s="1867" t="s">
        <v>10</v>
      </c>
      <c r="AC81" s="2542"/>
      <c r="AD81" s="1882"/>
      <c r="AE81" s="2491"/>
      <c r="AF81" s="1865" t="s">
        <v>8</v>
      </c>
      <c r="AG81" s="1869">
        <f>AG80/25*8.5</f>
        <v>5.1694874999999829</v>
      </c>
      <c r="AH81" s="2050">
        <f>IF('3.XT-C TT(CA2)'!AB9="","",'3.XT-C TT(CA2)'!AB9)</f>
        <v>5</v>
      </c>
      <c r="AI81" s="1867" t="s">
        <v>10</v>
      </c>
      <c r="AJ81" s="2542"/>
      <c r="AK81" s="1882"/>
      <c r="AL81" s="2491"/>
      <c r="AM81" s="1865" t="s">
        <v>8</v>
      </c>
      <c r="AN81" s="1869">
        <f>AN80/25*8.5</f>
        <v>2.6374140000000077</v>
      </c>
      <c r="AO81" s="2050" t="str">
        <f>IF('3.XT-C TT(CA2)'!AF9="","",'3.XT-C TT(CA2)'!AF9)</f>
        <v/>
      </c>
      <c r="AP81" s="1867" t="s">
        <v>10</v>
      </c>
      <c r="AQ81" s="2542"/>
      <c r="AR81" s="1882"/>
      <c r="AS81" s="2491"/>
      <c r="AT81" s="1865" t="s">
        <v>8</v>
      </c>
      <c r="AU81" s="1869">
        <f>AU80/25*8.5</f>
        <v>0</v>
      </c>
      <c r="AV81" s="2050" t="str">
        <f>IF('3.XT-C TT(CA2)'!AJ9="","",'3.XT-C TT(CA2)'!AJ9)</f>
        <v/>
      </c>
      <c r="AW81" s="1867" t="s">
        <v>10</v>
      </c>
      <c r="AY81" s="3244"/>
      <c r="AZ81" s="1047"/>
      <c r="BA81" s="1047"/>
      <c r="BB81" s="1047"/>
      <c r="BC81" s="1047"/>
      <c r="BD81" s="1047"/>
      <c r="BE81" s="1047"/>
      <c r="BF81" s="1047"/>
      <c r="BG81" s="1047"/>
      <c r="BH81" s="1047"/>
      <c r="BI81" s="1047"/>
      <c r="BJ81" s="1047"/>
      <c r="BK81" s="1047"/>
    </row>
    <row r="82" spans="1:63" ht="39.75" customHeight="1">
      <c r="A82" s="1834" t="s">
        <v>287</v>
      </c>
      <c r="B82" s="1835" t="s">
        <v>127</v>
      </c>
      <c r="C82" s="1872" t="s">
        <v>1492</v>
      </c>
      <c r="D82" s="1836" t="s">
        <v>4</v>
      </c>
      <c r="E82" s="1837" t="s">
        <v>1343</v>
      </c>
      <c r="F82" s="1901" t="s">
        <v>1324</v>
      </c>
      <c r="G82" s="2640">
        <v>60</v>
      </c>
      <c r="H82" s="2577">
        <f>XM.HN!B51</f>
        <v>12.65</v>
      </c>
      <c r="I82" s="1930">
        <f>H82*4.62</f>
        <v>58.443000000000005</v>
      </c>
      <c r="J82" s="2661">
        <f>($G$82-I82)*8200/1000</f>
        <v>12.767399999999959</v>
      </c>
      <c r="K82" s="1842" t="s">
        <v>8</v>
      </c>
      <c r="L82" s="1843">
        <f t="shared" si="12"/>
        <v>12.767399999999959</v>
      </c>
      <c r="M82" s="2048" t="str">
        <f>IF('3.XT-C TT'!AB10="","",'3.XT-C TT'!AB10)</f>
        <v/>
      </c>
      <c r="N82" s="1845" t="s">
        <v>9</v>
      </c>
      <c r="O82" s="2540">
        <f>XM.HN!C51</f>
        <v>12.6</v>
      </c>
      <c r="P82" s="1930">
        <f>O82*4.62</f>
        <v>58.211999999999996</v>
      </c>
      <c r="Q82" s="2489">
        <f>($G$82-P82)*8200/1000</f>
        <v>14.661600000000032</v>
      </c>
      <c r="R82" s="1842" t="s">
        <v>8</v>
      </c>
      <c r="S82" s="1843">
        <f t="shared" si="13"/>
        <v>14.661600000000032</v>
      </c>
      <c r="T82" s="2048">
        <f>IF('3.XT-C TT'!AF10="","",'3.XT-C TT'!AF10)</f>
        <v>15</v>
      </c>
      <c r="U82" s="1845" t="s">
        <v>9</v>
      </c>
      <c r="V82" s="2540">
        <f>XM.HN!D51</f>
        <v>14</v>
      </c>
      <c r="W82" s="1930">
        <f>V82*4.62</f>
        <v>64.680000000000007</v>
      </c>
      <c r="X82" s="2489">
        <f>($G$82-W82)*8200/1000</f>
        <v>-38.376000000000062</v>
      </c>
      <c r="Y82" s="1842" t="s">
        <v>8</v>
      </c>
      <c r="Z82" s="1843">
        <f t="shared" si="14"/>
        <v>0</v>
      </c>
      <c r="AA82" s="2048" t="str">
        <f>IF('3.XT-C TT'!AJ10="","",'3.XT-C TT'!AJ10)</f>
        <v/>
      </c>
      <c r="AB82" s="1845" t="s">
        <v>9</v>
      </c>
      <c r="AC82" s="2540">
        <f>XM.HN!E51</f>
        <v>13.4</v>
      </c>
      <c r="AD82" s="1930">
        <f>AC82*4.62</f>
        <v>61.908000000000001</v>
      </c>
      <c r="AE82" s="2489">
        <f>($G$82-AD82)*8200/1000</f>
        <v>-15.645600000000009</v>
      </c>
      <c r="AF82" s="1842" t="s">
        <v>8</v>
      </c>
      <c r="AG82" s="1843">
        <f t="shared" si="15"/>
        <v>0</v>
      </c>
      <c r="AH82" s="2048" t="str">
        <f>IF('3.XT-C TT(CA2)'!AB10="","",'3.XT-C TT(CA2)'!AB10)</f>
        <v/>
      </c>
      <c r="AI82" s="1845" t="s">
        <v>9</v>
      </c>
      <c r="AJ82" s="2540">
        <f>XM.HN!F51</f>
        <v>13.3</v>
      </c>
      <c r="AK82" s="1930">
        <f>AJ82*4.62</f>
        <v>61.446000000000005</v>
      </c>
      <c r="AL82" s="2489">
        <f>($G$82-AK82)*8200/1000</f>
        <v>-11.857200000000041</v>
      </c>
      <c r="AM82" s="1842" t="s">
        <v>8</v>
      </c>
      <c r="AN82" s="1843">
        <f t="shared" si="16"/>
        <v>0</v>
      </c>
      <c r="AO82" s="2048" t="str">
        <f>IF('3.XT-C TT(CA2)'!AF10="","",'3.XT-C TT(CA2)'!AF10)</f>
        <v/>
      </c>
      <c r="AP82" s="1845" t="s">
        <v>9</v>
      </c>
      <c r="AQ82" s="2540">
        <f>XM.HN!G51</f>
        <v>13.4</v>
      </c>
      <c r="AR82" s="1930">
        <f>AQ82*4.62</f>
        <v>61.908000000000001</v>
      </c>
      <c r="AS82" s="2489">
        <f>($G$82-AR82)*8200/1000</f>
        <v>-15.645600000000009</v>
      </c>
      <c r="AT82" s="1842" t="s">
        <v>8</v>
      </c>
      <c r="AU82" s="1843">
        <f t="shared" si="17"/>
        <v>0</v>
      </c>
      <c r="AV82" s="2048" t="str">
        <f>IF('3.XT-C TT(CA2)'!AJ10="","",'3.XT-C TT(CA2)'!AJ10)</f>
        <v/>
      </c>
      <c r="AW82" s="1845" t="s">
        <v>9</v>
      </c>
      <c r="AY82" s="3243"/>
      <c r="AZ82" s="1047"/>
      <c r="BA82" s="1047"/>
      <c r="BB82" s="1047"/>
      <c r="BC82" s="1047"/>
      <c r="BD82" s="1047"/>
      <c r="BE82" s="1047"/>
      <c r="BF82" s="1047"/>
      <c r="BG82" s="1047"/>
      <c r="BH82" s="1047"/>
      <c r="BI82" s="1047"/>
      <c r="BJ82" s="1047"/>
      <c r="BK82" s="1047"/>
    </row>
    <row r="83" spans="1:63" ht="39.75" customHeight="1">
      <c r="A83" s="1857"/>
      <c r="B83" s="1858"/>
      <c r="C83" s="1871" t="s">
        <v>233</v>
      </c>
      <c r="D83" s="1860"/>
      <c r="E83" s="1861" t="s">
        <v>1498</v>
      </c>
      <c r="F83" s="1902"/>
      <c r="G83" s="2641"/>
      <c r="H83" s="2578"/>
      <c r="I83" s="1882"/>
      <c r="J83" s="2662"/>
      <c r="K83" s="1865" t="s">
        <v>8</v>
      </c>
      <c r="L83" s="1869">
        <f>L82/25*8</f>
        <v>4.085567999999987</v>
      </c>
      <c r="M83" s="2050" t="str">
        <f>IF('3.XT-C TT'!AB11="","",'3.XT-C TT'!AB11)</f>
        <v/>
      </c>
      <c r="N83" s="1867" t="s">
        <v>10</v>
      </c>
      <c r="O83" s="2542"/>
      <c r="P83" s="1882"/>
      <c r="Q83" s="2491"/>
      <c r="R83" s="1865" t="s">
        <v>8</v>
      </c>
      <c r="S83" s="1869">
        <f>S82/25*8</f>
        <v>4.6917120000000105</v>
      </c>
      <c r="T83" s="2050" t="str">
        <f>IF('3.XT-C TT'!AF11="","",'3.XT-C TT'!AF11)</f>
        <v/>
      </c>
      <c r="U83" s="1867" t="s">
        <v>10</v>
      </c>
      <c r="V83" s="2542"/>
      <c r="W83" s="1882"/>
      <c r="X83" s="2491"/>
      <c r="Y83" s="1865" t="s">
        <v>8</v>
      </c>
      <c r="Z83" s="1869">
        <f>Z82/25*8</f>
        <v>0</v>
      </c>
      <c r="AA83" s="2050" t="str">
        <f>IF('3.XT-C TT'!AJ11="","",'3.XT-C TT'!AJ11)</f>
        <v/>
      </c>
      <c r="AB83" s="1867" t="s">
        <v>10</v>
      </c>
      <c r="AC83" s="2542"/>
      <c r="AD83" s="1882"/>
      <c r="AE83" s="2491"/>
      <c r="AF83" s="1865" t="s">
        <v>8</v>
      </c>
      <c r="AG83" s="1869">
        <f>AG82/25*8</f>
        <v>0</v>
      </c>
      <c r="AH83" s="2050" t="str">
        <f>IF('3.XT-C TT(CA2)'!AB11="","",'3.XT-C TT(CA2)'!AB11)</f>
        <v/>
      </c>
      <c r="AI83" s="1867" t="s">
        <v>10</v>
      </c>
      <c r="AJ83" s="2542"/>
      <c r="AK83" s="1882"/>
      <c r="AL83" s="2491"/>
      <c r="AM83" s="1865" t="s">
        <v>8</v>
      </c>
      <c r="AN83" s="1869">
        <f>AN82/25*8</f>
        <v>0</v>
      </c>
      <c r="AO83" s="2050" t="str">
        <f>IF('3.XT-C TT(CA2)'!AF11="","",'3.XT-C TT(CA2)'!AF11)</f>
        <v/>
      </c>
      <c r="AP83" s="1867" t="s">
        <v>10</v>
      </c>
      <c r="AQ83" s="2542"/>
      <c r="AR83" s="1882"/>
      <c r="AS83" s="2491"/>
      <c r="AT83" s="1865" t="s">
        <v>8</v>
      </c>
      <c r="AU83" s="1869">
        <f>AU82/25*8</f>
        <v>0</v>
      </c>
      <c r="AV83" s="2050" t="str">
        <f>IF('3.XT-C TT(CA2)'!AJ11="","",'3.XT-C TT(CA2)'!AJ11)</f>
        <v/>
      </c>
      <c r="AW83" s="1867" t="s">
        <v>10</v>
      </c>
      <c r="AY83" s="3244"/>
      <c r="AZ83" s="1047"/>
      <c r="BA83" s="1047"/>
      <c r="BB83" s="1047"/>
      <c r="BC83" s="1047"/>
      <c r="BD83" s="1047"/>
      <c r="BE83" s="1047"/>
      <c r="BF83" s="1047"/>
      <c r="BG83" s="1047"/>
      <c r="BH83" s="1047"/>
      <c r="BI83" s="1047"/>
      <c r="BJ83" s="1047"/>
      <c r="BK83" s="1047"/>
    </row>
    <row r="84" spans="1:63" ht="39.75" customHeight="1">
      <c r="A84" s="1834" t="s">
        <v>288</v>
      </c>
      <c r="B84" s="1835" t="s">
        <v>127</v>
      </c>
      <c r="C84" s="1872" t="s">
        <v>1493</v>
      </c>
      <c r="D84" s="1836" t="s">
        <v>4</v>
      </c>
      <c r="E84" s="1837" t="s">
        <v>1343</v>
      </c>
      <c r="F84" s="1901" t="s">
        <v>1324</v>
      </c>
      <c r="G84" s="2640">
        <v>60</v>
      </c>
      <c r="H84" s="2577">
        <f>XM.HN!B53</f>
        <v>13</v>
      </c>
      <c r="I84" s="1930">
        <f>H84*4.62</f>
        <v>60.06</v>
      </c>
      <c r="J84" s="2661">
        <f>($G$84-I84)*8668/1000</f>
        <v>-0.52008000000001975</v>
      </c>
      <c r="K84" s="1842" t="s">
        <v>8</v>
      </c>
      <c r="L84" s="1843">
        <f t="shared" si="12"/>
        <v>0</v>
      </c>
      <c r="M84" s="2048" t="str">
        <f>IF('3.XT-C TT'!AB12="","",'3.XT-C TT'!AB12)</f>
        <v/>
      </c>
      <c r="N84" s="1845" t="s">
        <v>9</v>
      </c>
      <c r="O84" s="2540">
        <f>XM.HN!C53</f>
        <v>12.9</v>
      </c>
      <c r="P84" s="1930">
        <f>O84*4.62</f>
        <v>59.598000000000006</v>
      </c>
      <c r="Q84" s="2489">
        <f>($G$84-P84)*8668/1000</f>
        <v>3.4845359999999475</v>
      </c>
      <c r="R84" s="1842" t="s">
        <v>8</v>
      </c>
      <c r="S84" s="1843">
        <f t="shared" si="13"/>
        <v>3.4845359999999475</v>
      </c>
      <c r="T84" s="2048">
        <f>IF('3.XT-C TT'!AF12="","",'3.XT-C TT'!AF12)</f>
        <v>10</v>
      </c>
      <c r="U84" s="1845" t="s">
        <v>9</v>
      </c>
      <c r="V84" s="2540">
        <f>XM.HN!D53</f>
        <v>13.2</v>
      </c>
      <c r="W84" s="1930">
        <f>V84*4.62</f>
        <v>60.983999999999995</v>
      </c>
      <c r="X84" s="2489">
        <f>($G$84-W84)*8668/1000</f>
        <v>-8.5293119999999547</v>
      </c>
      <c r="Y84" s="1842" t="s">
        <v>8</v>
      </c>
      <c r="Z84" s="1843">
        <f t="shared" si="14"/>
        <v>0</v>
      </c>
      <c r="AA84" s="2048" t="str">
        <f>IF('3.XT-C TT'!AJ12="","",'3.XT-C TT'!AJ12)</f>
        <v/>
      </c>
      <c r="AB84" s="1845" t="s">
        <v>9</v>
      </c>
      <c r="AC84" s="2540">
        <f>XM.HN!E53</f>
        <v>13</v>
      </c>
      <c r="AD84" s="1930">
        <f>AC84*4.62</f>
        <v>60.06</v>
      </c>
      <c r="AE84" s="2489">
        <f>($G$84-AD84)*8668/1000</f>
        <v>-0.52008000000001975</v>
      </c>
      <c r="AF84" s="1842" t="s">
        <v>8</v>
      </c>
      <c r="AG84" s="1843">
        <f t="shared" si="15"/>
        <v>0</v>
      </c>
      <c r="AH84" s="2048" t="str">
        <f>IF('3.XT-C TT(CA2)'!AB12="","",'3.XT-C TT(CA2)'!AB12)</f>
        <v/>
      </c>
      <c r="AI84" s="1845" t="s">
        <v>9</v>
      </c>
      <c r="AJ84" s="2540">
        <f>XM.HN!F53</f>
        <v>13</v>
      </c>
      <c r="AK84" s="1930">
        <f>AJ84*4.62</f>
        <v>60.06</v>
      </c>
      <c r="AL84" s="2489">
        <f>($G$84-AK84)*8668/1000</f>
        <v>-0.52008000000001975</v>
      </c>
      <c r="AM84" s="1842" t="s">
        <v>8</v>
      </c>
      <c r="AN84" s="1843">
        <f t="shared" si="16"/>
        <v>0</v>
      </c>
      <c r="AO84" s="2048" t="str">
        <f>IF('3.XT-C TT(CA2)'!AF12="","",'3.XT-C TT(CA2)'!AF12)</f>
        <v/>
      </c>
      <c r="AP84" s="1845" t="s">
        <v>9</v>
      </c>
      <c r="AQ84" s="2540">
        <f>XM.HN!G53</f>
        <v>13</v>
      </c>
      <c r="AR84" s="1930">
        <f>AQ84*4.62</f>
        <v>60.06</v>
      </c>
      <c r="AS84" s="2489">
        <f>($G$84-AR84)*8668/1000</f>
        <v>-0.52008000000001975</v>
      </c>
      <c r="AT84" s="1842" t="s">
        <v>8</v>
      </c>
      <c r="AU84" s="1843">
        <f t="shared" si="17"/>
        <v>0</v>
      </c>
      <c r="AV84" s="2048" t="str">
        <f>IF('3.XT-C TT(CA2)'!AJ12="","",'3.XT-C TT(CA2)'!AJ12)</f>
        <v/>
      </c>
      <c r="AW84" s="1845" t="s">
        <v>9</v>
      </c>
      <c r="AY84" s="3243"/>
      <c r="AZ84" s="1047"/>
      <c r="BA84" s="1047"/>
      <c r="BB84" s="1047"/>
      <c r="BC84" s="1047"/>
      <c r="BD84" s="1047"/>
      <c r="BE84" s="1047"/>
      <c r="BF84" s="1047"/>
      <c r="BG84" s="1047"/>
      <c r="BH84" s="1047"/>
      <c r="BI84" s="1047"/>
      <c r="BJ84" s="1047"/>
      <c r="BK84" s="1047"/>
    </row>
    <row r="85" spans="1:63" ht="39.75" customHeight="1">
      <c r="A85" s="1857"/>
      <c r="B85" s="1858"/>
      <c r="C85" s="1871" t="s">
        <v>233</v>
      </c>
      <c r="D85" s="1860"/>
      <c r="E85" s="1861" t="s">
        <v>1272</v>
      </c>
      <c r="F85" s="1902"/>
      <c r="G85" s="2641"/>
      <c r="H85" s="2578"/>
      <c r="I85" s="1882"/>
      <c r="J85" s="2662"/>
      <c r="K85" s="1865" t="s">
        <v>8</v>
      </c>
      <c r="L85" s="1869">
        <f>L84/25*8</f>
        <v>0</v>
      </c>
      <c r="M85" s="2050" t="str">
        <f>IF('3.XT-C TT'!AB13="","",'3.XT-C TT'!AB13)</f>
        <v/>
      </c>
      <c r="N85" s="1867" t="s">
        <v>10</v>
      </c>
      <c r="O85" s="2542"/>
      <c r="P85" s="1882"/>
      <c r="Q85" s="2491"/>
      <c r="R85" s="1865" t="s">
        <v>8</v>
      </c>
      <c r="S85" s="1869">
        <f>S84/25*8</f>
        <v>1.1150515199999831</v>
      </c>
      <c r="T85" s="2050" t="str">
        <f>IF('3.XT-C TT'!AF13="","",'3.XT-C TT'!AF13)</f>
        <v/>
      </c>
      <c r="U85" s="1867" t="s">
        <v>10</v>
      </c>
      <c r="V85" s="2542"/>
      <c r="W85" s="1882"/>
      <c r="X85" s="2491"/>
      <c r="Y85" s="1865" t="s">
        <v>8</v>
      </c>
      <c r="Z85" s="1869">
        <f>Z84/25*8</f>
        <v>0</v>
      </c>
      <c r="AA85" s="2050" t="str">
        <f>IF('3.XT-C TT'!AJ13="","",'3.XT-C TT'!AJ13)</f>
        <v/>
      </c>
      <c r="AB85" s="1867" t="s">
        <v>10</v>
      </c>
      <c r="AC85" s="2542"/>
      <c r="AD85" s="1882"/>
      <c r="AE85" s="2491"/>
      <c r="AF85" s="1865" t="s">
        <v>8</v>
      </c>
      <c r="AG85" s="1869">
        <f>AG84/25*8</f>
        <v>0</v>
      </c>
      <c r="AH85" s="2050" t="str">
        <f>IF('3.XT-C TT(CA2)'!AB13="","",'3.XT-C TT(CA2)'!AB13)</f>
        <v/>
      </c>
      <c r="AI85" s="1867" t="s">
        <v>10</v>
      </c>
      <c r="AJ85" s="2542"/>
      <c r="AK85" s="1882"/>
      <c r="AL85" s="2491"/>
      <c r="AM85" s="1865" t="s">
        <v>8</v>
      </c>
      <c r="AN85" s="1869">
        <f>AN84/25*8</f>
        <v>0</v>
      </c>
      <c r="AO85" s="2050" t="str">
        <f>IF('3.XT-C TT(CA2)'!AF13="","",'3.XT-C TT(CA2)'!AF13)</f>
        <v/>
      </c>
      <c r="AP85" s="1867" t="s">
        <v>10</v>
      </c>
      <c r="AQ85" s="2542"/>
      <c r="AR85" s="1882"/>
      <c r="AS85" s="2491"/>
      <c r="AT85" s="1865" t="s">
        <v>8</v>
      </c>
      <c r="AU85" s="1869">
        <f>AU84/25*8</f>
        <v>0</v>
      </c>
      <c r="AV85" s="2050" t="str">
        <f>IF('3.XT-C TT(CA2)'!AJ13="","",'3.XT-C TT(CA2)'!AJ13)</f>
        <v/>
      </c>
      <c r="AW85" s="1867" t="s">
        <v>10</v>
      </c>
      <c r="AY85" s="3244"/>
      <c r="AZ85" s="1047"/>
      <c r="BA85" s="1047"/>
      <c r="BB85" s="1047"/>
      <c r="BC85" s="1047"/>
      <c r="BD85" s="1047"/>
      <c r="BE85" s="1047"/>
      <c r="BF85" s="1047"/>
      <c r="BG85" s="1047"/>
      <c r="BH85" s="1047"/>
      <c r="BI85" s="1047"/>
      <c r="BJ85" s="1047"/>
      <c r="BK85" s="1047"/>
    </row>
    <row r="86" spans="1:63" ht="39.75" customHeight="1">
      <c r="A86" s="1718" t="s">
        <v>289</v>
      </c>
      <c r="B86" s="1035" t="s">
        <v>127</v>
      </c>
      <c r="C86" s="102" t="s">
        <v>80</v>
      </c>
      <c r="D86" s="1315" t="s">
        <v>4</v>
      </c>
      <c r="E86" s="46" t="s">
        <v>1348</v>
      </c>
      <c r="F86" s="1903" t="s">
        <v>1325</v>
      </c>
      <c r="G86" s="2642">
        <v>140</v>
      </c>
      <c r="H86" s="2546">
        <f>XM.HN!B55</f>
        <v>17.25</v>
      </c>
      <c r="I86" s="1752">
        <f>H86*8</f>
        <v>138</v>
      </c>
      <c r="J86" s="2494">
        <f>($G$86-I86)*53066/1000</f>
        <v>106.13200000000001</v>
      </c>
      <c r="K86" s="1745" t="s">
        <v>8</v>
      </c>
      <c r="L86" s="1764">
        <f t="shared" si="12"/>
        <v>106.13200000000001</v>
      </c>
      <c r="M86" s="2051" t="str">
        <f>IF('3.XT-C TT'!AB14="","",'3.XT-C TT'!AB14)</f>
        <v/>
      </c>
      <c r="N86" s="1747" t="s">
        <v>9</v>
      </c>
      <c r="O86" s="2546">
        <f>XM.HN!C55</f>
        <v>17.5</v>
      </c>
      <c r="P86" s="1752">
        <f>O86*8</f>
        <v>140</v>
      </c>
      <c r="Q86" s="2494">
        <f>($G$86-P86)*53066/1000</f>
        <v>0</v>
      </c>
      <c r="R86" s="1745" t="s">
        <v>8</v>
      </c>
      <c r="S86" s="1764">
        <f t="shared" si="13"/>
        <v>0</v>
      </c>
      <c r="T86" s="2051" t="str">
        <f>IF('3.XT-C TT'!AF14="","",'3.XT-C TT'!AF14)</f>
        <v/>
      </c>
      <c r="U86" s="1747" t="s">
        <v>9</v>
      </c>
      <c r="V86" s="2571">
        <f>XM.HN!D55</f>
        <v>17.2</v>
      </c>
      <c r="W86" s="1752">
        <f>V86*8</f>
        <v>137.6</v>
      </c>
      <c r="X86" s="2494">
        <f>($G$86-W86)*53066/1000</f>
        <v>127.3584000000003</v>
      </c>
      <c r="Y86" s="1745" t="s">
        <v>8</v>
      </c>
      <c r="Z86" s="1764">
        <f t="shared" si="14"/>
        <v>127.3584000000003</v>
      </c>
      <c r="AA86" s="2051">
        <f>IF('3.XT-C TT'!AJ14="","",'3.XT-C TT'!AJ14)</f>
        <v>75</v>
      </c>
      <c r="AB86" s="1747" t="s">
        <v>9</v>
      </c>
      <c r="AC86" s="2539">
        <f>XM.HN!E55</f>
        <v>17.5</v>
      </c>
      <c r="AD86" s="1752">
        <f>AC86*8</f>
        <v>140</v>
      </c>
      <c r="AE86" s="2494">
        <f>($G$86-AD86)*53066/1000</f>
        <v>0</v>
      </c>
      <c r="AF86" s="1745" t="s">
        <v>8</v>
      </c>
      <c r="AG86" s="1764">
        <f t="shared" si="15"/>
        <v>0</v>
      </c>
      <c r="AH86" s="2051" t="str">
        <f>IF('3.XT-C TT(CA2)'!AB14="","",'3.XT-C TT(CA2)'!AB14)</f>
        <v/>
      </c>
      <c r="AI86" s="1747" t="s">
        <v>9</v>
      </c>
      <c r="AJ86" s="2539">
        <f>XM.HN!F55</f>
        <v>17.5</v>
      </c>
      <c r="AK86" s="1752">
        <f>AJ86*8</f>
        <v>140</v>
      </c>
      <c r="AL86" s="2494">
        <f>($G$86-AK86)*53066/1000</f>
        <v>0</v>
      </c>
      <c r="AM86" s="1745" t="s">
        <v>8</v>
      </c>
      <c r="AN86" s="1764">
        <f t="shared" si="16"/>
        <v>0</v>
      </c>
      <c r="AO86" s="2051" t="str">
        <f>IF('3.XT-C TT(CA2)'!AF14="","",'3.XT-C TT(CA2)'!AF14)</f>
        <v/>
      </c>
      <c r="AP86" s="1747" t="s">
        <v>9</v>
      </c>
      <c r="AQ86" s="2539">
        <f>XM.HN!G55</f>
        <v>17.399999999999999</v>
      </c>
      <c r="AR86" s="1752">
        <f>AQ86*8</f>
        <v>139.19999999999999</v>
      </c>
      <c r="AS86" s="2494">
        <f>($G$86-AR86)*53066/1000</f>
        <v>42.452800000000607</v>
      </c>
      <c r="AT86" s="1745" t="s">
        <v>8</v>
      </c>
      <c r="AU86" s="1764">
        <f t="shared" si="17"/>
        <v>42.452800000000607</v>
      </c>
      <c r="AV86" s="2051">
        <f>IF('3.XT-C TT(CA2)'!AJ14="","",'3.XT-C TT(CA2)'!AJ14)</f>
        <v>50</v>
      </c>
      <c r="AW86" s="1747" t="s">
        <v>9</v>
      </c>
      <c r="AY86" s="2174"/>
      <c r="AZ86" s="1047"/>
      <c r="BA86" s="1047"/>
      <c r="BB86" s="1047"/>
      <c r="BC86" s="1047"/>
      <c r="BD86" s="1047"/>
      <c r="BE86" s="1047"/>
      <c r="BF86" s="1047"/>
      <c r="BG86" s="1047"/>
      <c r="BH86" s="1047"/>
      <c r="BI86" s="1047"/>
      <c r="BJ86" s="1047"/>
      <c r="BK86" s="1047"/>
    </row>
    <row r="87" spans="1:63" ht="39.75" customHeight="1">
      <c r="A87" s="1045" t="s">
        <v>290</v>
      </c>
      <c r="B87" s="1035" t="s">
        <v>127</v>
      </c>
      <c r="C87" s="1314" t="s">
        <v>81</v>
      </c>
      <c r="D87" s="1315" t="s">
        <v>4</v>
      </c>
      <c r="E87" s="46" t="s">
        <v>1546</v>
      </c>
      <c r="F87" s="1903" t="s">
        <v>1524</v>
      </c>
      <c r="G87" s="2642">
        <v>8.5</v>
      </c>
      <c r="H87" s="2546">
        <f>XM.HN!B56</f>
        <v>6.5</v>
      </c>
      <c r="I87" s="1930">
        <f>H87*1.3</f>
        <v>8.4500000000000011</v>
      </c>
      <c r="J87" s="2494">
        <f>($G$87-I87)*53066/1000</f>
        <v>2.6532999999999434</v>
      </c>
      <c r="K87" s="1745" t="s">
        <v>8</v>
      </c>
      <c r="L87" s="1764">
        <f t="shared" si="12"/>
        <v>2.6532999999999434</v>
      </c>
      <c r="M87" s="2051" t="str">
        <f>IF('3.XT-C TT'!AB15="","",'3.XT-C TT'!AB15)</f>
        <v/>
      </c>
      <c r="N87" s="1747" t="s">
        <v>9</v>
      </c>
      <c r="O87" s="2546">
        <f>XM.HN!C56</f>
        <v>6.5</v>
      </c>
      <c r="P87" s="1930">
        <f>O87*1.3</f>
        <v>8.4500000000000011</v>
      </c>
      <c r="Q87" s="2494">
        <f>($G$87-P87)*53066/1000</f>
        <v>2.6532999999999434</v>
      </c>
      <c r="R87" s="1745" t="s">
        <v>8</v>
      </c>
      <c r="S87" s="1764">
        <f t="shared" si="13"/>
        <v>2.6532999999999434</v>
      </c>
      <c r="T87" s="2051" t="str">
        <f>IF('3.XT-C TT'!AF15="","",'3.XT-C TT'!AF15)</f>
        <v/>
      </c>
      <c r="U87" s="1747" t="s">
        <v>9</v>
      </c>
      <c r="V87" s="2571">
        <f>XM.HN!D56</f>
        <v>6.45</v>
      </c>
      <c r="W87" s="1930">
        <f>V87*1.3</f>
        <v>8.3849999999999998</v>
      </c>
      <c r="X87" s="2494">
        <f>($G$87-W87)*53066/1000</f>
        <v>6.1025900000000108</v>
      </c>
      <c r="Y87" s="1745" t="s">
        <v>8</v>
      </c>
      <c r="Z87" s="1764">
        <f t="shared" si="14"/>
        <v>6.1025900000000108</v>
      </c>
      <c r="AA87" s="2051" t="str">
        <f>IF('3.XT-C TT'!AJ15="","",'3.XT-C TT'!AJ15)</f>
        <v/>
      </c>
      <c r="AB87" s="1747" t="s">
        <v>9</v>
      </c>
      <c r="AC87" s="2539">
        <f>XM.HN!E56</f>
        <v>6.55</v>
      </c>
      <c r="AD87" s="1930">
        <f>AC87*1.3</f>
        <v>8.5150000000000006</v>
      </c>
      <c r="AE87" s="2494">
        <f>($G$87-AD87)*53066/1000</f>
        <v>-0.79599000000003017</v>
      </c>
      <c r="AF87" s="1745" t="s">
        <v>8</v>
      </c>
      <c r="AG87" s="1764">
        <f t="shared" si="15"/>
        <v>0</v>
      </c>
      <c r="AH87" s="2051" t="str">
        <f>IF('3.XT-C TT(CA2)'!AB15="","",'3.XT-C TT(CA2)'!AB15)</f>
        <v/>
      </c>
      <c r="AI87" s="1747" t="s">
        <v>9</v>
      </c>
      <c r="AJ87" s="2539">
        <f>XM.HN!F56</f>
        <v>6.5</v>
      </c>
      <c r="AK87" s="1930">
        <f>AJ87*1.3</f>
        <v>8.4500000000000011</v>
      </c>
      <c r="AL87" s="2494">
        <f>($G$87-AK87)*53066/1000</f>
        <v>2.6532999999999434</v>
      </c>
      <c r="AM87" s="1745" t="s">
        <v>8</v>
      </c>
      <c r="AN87" s="1764">
        <f t="shared" si="16"/>
        <v>2.6532999999999434</v>
      </c>
      <c r="AO87" s="2051" t="str">
        <f>IF('3.XT-C TT(CA2)'!AF15="","",'3.XT-C TT(CA2)'!AF15)</f>
        <v/>
      </c>
      <c r="AP87" s="1747" t="s">
        <v>9</v>
      </c>
      <c r="AQ87" s="2539">
        <f>XM.HN!G56</f>
        <v>6.4</v>
      </c>
      <c r="AR87" s="1930">
        <f>AQ87*1.3</f>
        <v>8.32</v>
      </c>
      <c r="AS87" s="2494">
        <f>($G$87-AR87)*53066/1000</f>
        <v>9.5518799999999846</v>
      </c>
      <c r="AT87" s="1745" t="s">
        <v>8</v>
      </c>
      <c r="AU87" s="1764">
        <f t="shared" si="17"/>
        <v>9.5518799999999846</v>
      </c>
      <c r="AV87" s="2051" t="str">
        <f>IF('3.XT-C TT(CA2)'!AJ15="","",'3.XT-C TT(CA2)'!AJ15)</f>
        <v/>
      </c>
      <c r="AW87" s="1737" t="s">
        <v>9</v>
      </c>
      <c r="AY87" s="2177"/>
      <c r="AZ87" s="1047"/>
      <c r="BA87" s="1047"/>
      <c r="BB87" s="1047"/>
      <c r="BC87" s="1047"/>
      <c r="BD87" s="1047"/>
      <c r="BE87" s="1047"/>
      <c r="BF87" s="1047"/>
      <c r="BG87" s="1047"/>
      <c r="BH87" s="1047"/>
      <c r="BI87" s="1047"/>
      <c r="BJ87" s="1047"/>
      <c r="BK87" s="1047"/>
    </row>
    <row r="88" spans="1:63" ht="39.75" customHeight="1">
      <c r="A88" s="1719" t="s">
        <v>291</v>
      </c>
      <c r="B88" s="1035" t="s">
        <v>127</v>
      </c>
      <c r="C88" s="2287" t="s">
        <v>1585</v>
      </c>
      <c r="D88" s="1040" t="s">
        <v>3</v>
      </c>
      <c r="E88" s="46" t="s">
        <v>1345</v>
      </c>
      <c r="F88" s="1903" t="s">
        <v>1329</v>
      </c>
      <c r="G88" s="2642">
        <v>6</v>
      </c>
      <c r="H88" s="2546">
        <f>XM.HN!B57</f>
        <v>17.8</v>
      </c>
      <c r="I88" s="1738">
        <f>(H88*0.4237)-1.0461</f>
        <v>6.4957600000000006</v>
      </c>
      <c r="J88" s="2494">
        <f>($G$88-I88)*3360/100</f>
        <v>-16.657536000000022</v>
      </c>
      <c r="K88" s="1745" t="s">
        <v>8</v>
      </c>
      <c r="L88" s="1764">
        <f>IF(I88=-1.0461,0,IF(J88&lt;0,0,J88))</f>
        <v>0</v>
      </c>
      <c r="M88" s="2051" t="str">
        <f>IF('3.XT-C TT'!AB16="","",'3.XT-C TT'!AB16)</f>
        <v/>
      </c>
      <c r="N88" s="1747" t="s">
        <v>10</v>
      </c>
      <c r="O88" s="2539">
        <f>XM.HN!C57</f>
        <v>17.75</v>
      </c>
      <c r="P88" s="1738">
        <f>(O88*0.4237)-1.0461</f>
        <v>6.4745750000000006</v>
      </c>
      <c r="Q88" s="2494">
        <f>($G$88-P88)*3360/100</f>
        <v>-15.945720000000021</v>
      </c>
      <c r="R88" s="1745" t="s">
        <v>8</v>
      </c>
      <c r="S88" s="1764">
        <f>IF(P88=-1.0461,0,IF(Q88&lt;0,0,Q88))</f>
        <v>0</v>
      </c>
      <c r="T88" s="2051" t="str">
        <f>IF('3.XT-C TT'!AF16="","",'3.XT-C TT'!AF16)</f>
        <v/>
      </c>
      <c r="U88" s="1747" t="s">
        <v>10</v>
      </c>
      <c r="V88" s="2571">
        <f>XM.HN!D57</f>
        <v>17</v>
      </c>
      <c r="W88" s="1738">
        <f>(V88*0.4237)-1.0461</f>
        <v>6.1568000000000005</v>
      </c>
      <c r="X88" s="2494">
        <f>($G$88-W88)*3360/100</f>
        <v>-5.2684800000000163</v>
      </c>
      <c r="Y88" s="1745" t="s">
        <v>8</v>
      </c>
      <c r="Z88" s="1764">
        <f>IF(W88=-1.0461,0,IF(X88&lt;0,0,X88))</f>
        <v>0</v>
      </c>
      <c r="AA88" s="2051" t="str">
        <f>IF('3.XT-C TT'!AJ16="","",'3.XT-C TT'!AJ16)</f>
        <v/>
      </c>
      <c r="AB88" s="1747" t="s">
        <v>10</v>
      </c>
      <c r="AC88" s="2539">
        <f>XM.HN!E57</f>
        <v>17.3</v>
      </c>
      <c r="AD88" s="1738">
        <f>(AC88*0.4237)-1.0461</f>
        <v>6.2839100000000006</v>
      </c>
      <c r="AE88" s="2494">
        <f>($G$88-AD88)*3360/100</f>
        <v>-9.5393760000000185</v>
      </c>
      <c r="AF88" s="1745" t="s">
        <v>8</v>
      </c>
      <c r="AG88" s="1764">
        <f>IF(AD88=-1.0461,0,IF(AE88&lt;0,0,AE88))</f>
        <v>0</v>
      </c>
      <c r="AH88" s="2051" t="str">
        <f>IF('3.XT-C TT(CA2)'!AB16="","",'3.XT-C TT(CA2)'!AB16)</f>
        <v/>
      </c>
      <c r="AI88" s="1747" t="s">
        <v>10</v>
      </c>
      <c r="AJ88" s="2539">
        <f>XM.HN!F57</f>
        <v>17.2</v>
      </c>
      <c r="AK88" s="1738">
        <f>(AJ88*0.4237)-1.0461</f>
        <v>6.2415399999999996</v>
      </c>
      <c r="AL88" s="2494">
        <f>($G$88-AK88)*3360/100</f>
        <v>-8.1157439999999887</v>
      </c>
      <c r="AM88" s="1745" t="s">
        <v>8</v>
      </c>
      <c r="AN88" s="1764">
        <f>IF(AK88=-1.0461,0,IF(AL88&lt;0,0,AL88))</f>
        <v>0</v>
      </c>
      <c r="AO88" s="2051" t="str">
        <f>IF('3.XT-C TT(CA2)'!AF16="","",'3.XT-C TT(CA2)'!AF16)</f>
        <v/>
      </c>
      <c r="AP88" s="1747" t="s">
        <v>10</v>
      </c>
      <c r="AQ88" s="2539">
        <f>XM.HN!G57</f>
        <v>17.399999999999999</v>
      </c>
      <c r="AR88" s="1738">
        <f>(AQ88*0.4237)-1.0461</f>
        <v>6.3262799999999997</v>
      </c>
      <c r="AS88" s="2494">
        <f>($G$88-AR88)*3360/100</f>
        <v>-10.963007999999988</v>
      </c>
      <c r="AT88" s="1745" t="s">
        <v>8</v>
      </c>
      <c r="AU88" s="1764">
        <f>IF(AR88=-1.0461,0,IF(AS88&lt;0,0,AS88))</f>
        <v>0</v>
      </c>
      <c r="AV88" s="2051" t="str">
        <f>IF('3.XT-C TT(CA2)'!AJ16="","",'3.XT-C TT(CA2)'!AJ16)</f>
        <v/>
      </c>
      <c r="AW88" s="1747" t="s">
        <v>10</v>
      </c>
      <c r="AY88" s="2174"/>
      <c r="AZ88" s="1047"/>
      <c r="BA88" s="1047"/>
      <c r="BB88" s="1047"/>
      <c r="BC88" s="1047"/>
      <c r="BD88" s="1047"/>
      <c r="BE88" s="1047"/>
      <c r="BF88" s="1047"/>
      <c r="BG88" s="1047"/>
      <c r="BH88" s="1047"/>
      <c r="BI88" s="1047"/>
      <c r="BJ88" s="1047"/>
      <c r="BK88" s="1047"/>
    </row>
    <row r="89" spans="1:63" ht="39.75" customHeight="1">
      <c r="A89" s="1045" t="s">
        <v>292</v>
      </c>
      <c r="B89" s="1035" t="s">
        <v>127</v>
      </c>
      <c r="C89" s="2292" t="str">
        <f>MENU!AE44</f>
        <v>Pha mới: 2024/05/19</v>
      </c>
      <c r="D89" s="1040" t="s">
        <v>5</v>
      </c>
      <c r="E89" s="46" t="s">
        <v>1316</v>
      </c>
      <c r="F89" s="1894" t="s">
        <v>1548</v>
      </c>
      <c r="G89" s="2643"/>
      <c r="H89" s="2546"/>
      <c r="I89" s="2248">
        <f>XM.HN!B66</f>
        <v>2.2000000000000002</v>
      </c>
      <c r="J89" s="2493"/>
      <c r="K89" s="1741"/>
      <c r="L89" s="1764">
        <f t="shared" si="12"/>
        <v>0</v>
      </c>
      <c r="M89" s="2051" t="str">
        <f>IF('3.XT-C TT'!AB17="","",'3.XT-C TT'!AB17)</f>
        <v/>
      </c>
      <c r="N89" s="1742"/>
      <c r="O89" s="2546"/>
      <c r="P89" s="2248">
        <f>XM.HN!C66</f>
        <v>2.1800000000000002</v>
      </c>
      <c r="Q89" s="2505"/>
      <c r="R89" s="1748"/>
      <c r="S89" s="1764">
        <f t="shared" si="13"/>
        <v>0</v>
      </c>
      <c r="T89" s="2051" t="str">
        <f>IF('3.XT-C TT'!AF17="","",'3.XT-C TT'!AF17)</f>
        <v/>
      </c>
      <c r="U89" s="1753"/>
      <c r="V89" s="2571"/>
      <c r="W89" s="2248">
        <f>XM.HN!D66</f>
        <v>2.2000000000000002</v>
      </c>
      <c r="X89" s="2505"/>
      <c r="Y89" s="1748"/>
      <c r="Z89" s="1764">
        <f t="shared" si="14"/>
        <v>0</v>
      </c>
      <c r="AA89" s="2051" t="str">
        <f>IF('3.XT-C TT'!AJ17="","",'3.XT-C TT'!AJ17)</f>
        <v/>
      </c>
      <c r="AB89" s="1753"/>
      <c r="AC89" s="2539"/>
      <c r="AD89" s="2248">
        <f>XM.HN!E66</f>
        <v>2.1800000000000002</v>
      </c>
      <c r="AE89" s="2505"/>
      <c r="AF89" s="1748"/>
      <c r="AG89" s="1764">
        <f t="shared" si="15"/>
        <v>0</v>
      </c>
      <c r="AH89" s="2051" t="str">
        <f>IF('3.XT-C TT(CA2)'!AB17="","",'3.XT-C TT(CA2)'!AB17)</f>
        <v/>
      </c>
      <c r="AI89" s="1753"/>
      <c r="AJ89" s="2539"/>
      <c r="AK89" s="2248">
        <f>XM.HN!F66</f>
        <v>2.15</v>
      </c>
      <c r="AL89" s="2505"/>
      <c r="AM89" s="1748"/>
      <c r="AN89" s="1764">
        <f t="shared" si="16"/>
        <v>0</v>
      </c>
      <c r="AO89" s="2051" t="str">
        <f>IF('3.XT-C TT(CA2)'!AF17="","",'3.XT-C TT(CA2)'!AF17)</f>
        <v/>
      </c>
      <c r="AP89" s="1753"/>
      <c r="AQ89" s="2539"/>
      <c r="AR89" s="2248">
        <f>XM.HN!G66</f>
        <v>2.1800000000000002</v>
      </c>
      <c r="AS89" s="2657"/>
      <c r="AT89" s="1741"/>
      <c r="AU89" s="1764">
        <f t="shared" si="17"/>
        <v>0</v>
      </c>
      <c r="AV89" s="2051" t="str">
        <f>IF('3.XT-C TT(CA2)'!AJ17="","",'3.XT-C TT(CA2)'!AJ17)</f>
        <v/>
      </c>
      <c r="AW89" s="1778"/>
      <c r="AY89" s="2174"/>
      <c r="AZ89" s="1047"/>
      <c r="BA89" s="1047"/>
      <c r="BB89" s="1047"/>
      <c r="BC89" s="1047"/>
      <c r="BD89" s="1047"/>
      <c r="BE89" s="1047"/>
      <c r="BF89" s="1047"/>
      <c r="BG89" s="1047"/>
      <c r="BH89" s="1047"/>
      <c r="BI89" s="1047"/>
      <c r="BJ89" s="1047"/>
      <c r="BK89" s="1047"/>
    </row>
    <row r="90" spans="1:63" ht="39.75" customHeight="1">
      <c r="A90" s="1720" t="s">
        <v>295</v>
      </c>
      <c r="B90" s="2481"/>
      <c r="C90" s="102" t="s">
        <v>1616</v>
      </c>
      <c r="D90" s="2482" t="s">
        <v>6</v>
      </c>
      <c r="E90" s="13" t="s">
        <v>1349</v>
      </c>
      <c r="F90" s="1903" t="s">
        <v>1327</v>
      </c>
      <c r="G90" s="2644">
        <v>0.45</v>
      </c>
      <c r="H90" s="2546">
        <f>XM.HN!B59</f>
        <v>1.8</v>
      </c>
      <c r="I90" s="1754">
        <f>(1*H90*36.5)/(0.5*10)/32%/100</f>
        <v>0.41062500000000002</v>
      </c>
      <c r="J90" s="2494">
        <f>($G$90-I90)*3234</f>
        <v>127.33874999999998</v>
      </c>
      <c r="K90" s="1745" t="s">
        <v>8</v>
      </c>
      <c r="L90" s="1764">
        <f t="shared" ref="L90" si="18">IF(I90=0,0,IF(J90&lt;0,0,J90))</f>
        <v>127.33874999999998</v>
      </c>
      <c r="M90" s="2051" t="str">
        <f>IF('3.XT-C TT'!AB18="","",'3.XT-C TT'!AB18)</f>
        <v/>
      </c>
      <c r="N90" s="1751" t="s">
        <v>10</v>
      </c>
      <c r="O90" s="2544">
        <f>XM.HN!C59</f>
        <v>1.78</v>
      </c>
      <c r="P90" s="1754">
        <f>(1*O90*36.5)/(0.5*10)/32%/100</f>
        <v>0.40606249999999994</v>
      </c>
      <c r="Q90" s="2494">
        <f>($G$90-P90)*3234</f>
        <v>142.09387500000022</v>
      </c>
      <c r="R90" s="1773" t="s">
        <v>8</v>
      </c>
      <c r="S90" s="1764">
        <f t="shared" ref="S90" si="19">IF(P90=0,0,IF(Q90&lt;0,0,Q90))</f>
        <v>142.09387500000022</v>
      </c>
      <c r="T90" s="2051" t="str">
        <f>IF('3.XT-C TT'!AF18="","",'3.XT-C TT'!AF18)</f>
        <v/>
      </c>
      <c r="U90" s="1765" t="s">
        <v>10</v>
      </c>
      <c r="V90" s="2665">
        <f>XM.HN!D59</f>
        <v>1.8</v>
      </c>
      <c r="W90" s="1754">
        <f>(1*V90*36.5)/(0.5*10)/32%/100</f>
        <v>0.41062500000000002</v>
      </c>
      <c r="X90" s="2494">
        <f>($G$90-W90)*3234</f>
        <v>127.33874999999998</v>
      </c>
      <c r="Y90" s="1773" t="s">
        <v>8</v>
      </c>
      <c r="Z90" s="1764">
        <f t="shared" ref="Z90" si="20">IF(W90=0,0,IF(X90&lt;0,0,X90))</f>
        <v>127.33874999999998</v>
      </c>
      <c r="AA90" s="2051" t="str">
        <f>IF('3.XT-C TT'!AJ18="","",'3.XT-C TT'!AJ18)</f>
        <v/>
      </c>
      <c r="AB90" s="1765" t="s">
        <v>10</v>
      </c>
      <c r="AC90" s="2665">
        <f>XM.HN!E59</f>
        <v>1.8</v>
      </c>
      <c r="AD90" s="1754">
        <f>(1*AC90*36.5)/(0.5*10)/32%/100</f>
        <v>0.41062500000000002</v>
      </c>
      <c r="AE90" s="2494">
        <f>($G$90-AD90)*3234</f>
        <v>127.33874999999998</v>
      </c>
      <c r="AF90" s="1773" t="s">
        <v>8</v>
      </c>
      <c r="AG90" s="1764">
        <f t="shared" ref="AG90" si="21">IF(AD90=0,0,IF(AE90&lt;0,0,AE90))</f>
        <v>127.33874999999998</v>
      </c>
      <c r="AH90" s="2051">
        <f>IF('3.XT-C TT(CA2)'!AB18="","",'3.XT-C TT(CA2)'!AB18)</f>
        <v>100</v>
      </c>
      <c r="AI90" s="1765" t="s">
        <v>10</v>
      </c>
      <c r="AJ90" s="2663">
        <f>XM.HN!F59</f>
        <v>1.88</v>
      </c>
      <c r="AK90" s="1754">
        <f>(1*AJ90*36.5)/(0.5*10)/32%/100</f>
        <v>0.42887499999999995</v>
      </c>
      <c r="AL90" s="2494">
        <f>($G$90-AK90)*3234</f>
        <v>68.318250000000191</v>
      </c>
      <c r="AM90" s="1773" t="s">
        <v>8</v>
      </c>
      <c r="AN90" s="1764">
        <f t="shared" ref="AN90" si="22">IF(AK90=0,0,IF(AL90&lt;0,0,AL90))</f>
        <v>68.318250000000191</v>
      </c>
      <c r="AO90" s="2051" t="str">
        <f>IF('3.XT-C TT(CA2)'!AF18="","",'3.XT-C TT(CA2)'!AF18)</f>
        <v/>
      </c>
      <c r="AP90" s="1765" t="s">
        <v>10</v>
      </c>
      <c r="AQ90" s="2663">
        <f>XM.HN!G59</f>
        <v>1.86</v>
      </c>
      <c r="AR90" s="1754">
        <f>(1*AQ90*36.5)/(0.5*10)/32%/100</f>
        <v>0.42431249999999998</v>
      </c>
      <c r="AS90" s="2494">
        <f>($G$90-AR90)*3234</f>
        <v>83.073375000000098</v>
      </c>
      <c r="AT90" s="1731" t="s">
        <v>8</v>
      </c>
      <c r="AU90" s="1764">
        <f t="shared" ref="AU90" si="23">IF(AR90=0,0,IF(AS90&lt;0,0,AS90))</f>
        <v>83.073375000000098</v>
      </c>
      <c r="AV90" s="2051" t="str">
        <f>IF('3.XT-C TT(CA2)'!AJ18="","",'3.XT-C TT(CA2)'!AJ18)</f>
        <v/>
      </c>
      <c r="AW90" s="1732" t="s">
        <v>10</v>
      </c>
      <c r="AY90" s="2482"/>
      <c r="AZ90" s="1047"/>
      <c r="BA90" s="1047"/>
      <c r="BB90" s="1047"/>
      <c r="BC90" s="1047"/>
      <c r="BD90" s="1047"/>
      <c r="BE90" s="1047"/>
      <c r="BF90" s="1047"/>
      <c r="BG90" s="1047"/>
      <c r="BH90" s="1047"/>
      <c r="BI90" s="1047"/>
      <c r="BJ90" s="1047"/>
      <c r="BK90" s="1047"/>
    </row>
    <row r="91" spans="1:63" ht="39.75" hidden="1" customHeight="1">
      <c r="A91" s="1720" t="s">
        <v>293</v>
      </c>
      <c r="B91" s="1035" t="s">
        <v>127</v>
      </c>
      <c r="C91" s="102" t="s">
        <v>1615</v>
      </c>
      <c r="D91" s="45" t="s">
        <v>6</v>
      </c>
      <c r="E91" s="46" t="s">
        <v>1629</v>
      </c>
      <c r="F91" s="1903" t="s">
        <v>1630</v>
      </c>
      <c r="G91" s="2644">
        <v>0.18</v>
      </c>
      <c r="H91" s="2546">
        <f>XM.HN!B60</f>
        <v>0</v>
      </c>
      <c r="I91" s="1743">
        <f>(0.1*H91*36.5)/(0.5*10)/32%/100</f>
        <v>0</v>
      </c>
      <c r="J91" s="2494">
        <f>($G$91-I91)*3361</f>
        <v>604.98</v>
      </c>
      <c r="K91" s="1745" t="s">
        <v>8</v>
      </c>
      <c r="L91" s="1764">
        <f t="shared" si="12"/>
        <v>0</v>
      </c>
      <c r="M91" s="2051" t="str">
        <f>IF('3.XT-C TT'!AB19="","",'3.XT-C TT'!AB19)</f>
        <v/>
      </c>
      <c r="N91" s="1751" t="s">
        <v>10</v>
      </c>
      <c r="O91" s="2544">
        <f>XM.HN!C60</f>
        <v>0</v>
      </c>
      <c r="P91" s="1743">
        <f>(0.1*O91*36.5)/(0.5*10)/32%/100</f>
        <v>0</v>
      </c>
      <c r="Q91" s="2494">
        <f>($G$91-P91)*3361</f>
        <v>604.98</v>
      </c>
      <c r="R91" s="1773" t="s">
        <v>8</v>
      </c>
      <c r="S91" s="1764">
        <f t="shared" si="13"/>
        <v>0</v>
      </c>
      <c r="T91" s="2051" t="str">
        <f>IF('3.XT-C TT'!AF19="","",'3.XT-C TT'!AF19)</f>
        <v/>
      </c>
      <c r="U91" s="1765" t="s">
        <v>10</v>
      </c>
      <c r="V91" s="2665">
        <f>XM.HN!D60</f>
        <v>0</v>
      </c>
      <c r="W91" s="1743">
        <f>(0.1*V91*36.5)/(0.5*10)/32%/100</f>
        <v>0</v>
      </c>
      <c r="X91" s="2494">
        <f>($G$91-W91)*3361</f>
        <v>604.98</v>
      </c>
      <c r="Y91" s="1773" t="s">
        <v>8</v>
      </c>
      <c r="Z91" s="1764">
        <f t="shared" si="14"/>
        <v>0</v>
      </c>
      <c r="AA91" s="2051" t="str">
        <f>IF('3.XT-C TT'!AJ19="","",'3.XT-C TT'!AJ19)</f>
        <v/>
      </c>
      <c r="AB91" s="1765" t="s">
        <v>10</v>
      </c>
      <c r="AC91" s="2665">
        <f>XM.HN!E60</f>
        <v>0</v>
      </c>
      <c r="AD91" s="1743">
        <f>(0.1*AC91*36.5)/(0.5*10)/32%/100</f>
        <v>0</v>
      </c>
      <c r="AE91" s="2494">
        <f>($G$91-AD91)*3361</f>
        <v>604.98</v>
      </c>
      <c r="AF91" s="1773" t="s">
        <v>8</v>
      </c>
      <c r="AG91" s="1764">
        <f t="shared" si="15"/>
        <v>0</v>
      </c>
      <c r="AH91" s="2051" t="str">
        <f>IF('3.XT-C TT(CA2)'!AB19="","",'3.XT-C TT(CA2)'!AB19)</f>
        <v/>
      </c>
      <c r="AI91" s="1765" t="s">
        <v>10</v>
      </c>
      <c r="AJ91" s="2663">
        <f>XM.HN!F60</f>
        <v>0</v>
      </c>
      <c r="AK91" s="1743">
        <f>(0.1*AJ91*36.5)/(0.5*10)/32%/100</f>
        <v>0</v>
      </c>
      <c r="AL91" s="2494">
        <f>($G$91-AK91)*3361</f>
        <v>604.98</v>
      </c>
      <c r="AM91" s="1773" t="s">
        <v>8</v>
      </c>
      <c r="AN91" s="1764">
        <f t="shared" si="16"/>
        <v>0</v>
      </c>
      <c r="AO91" s="2051" t="str">
        <f>IF('3.XT-C TT(CA2)'!AF19="","",'3.XT-C TT(CA2)'!AF19)</f>
        <v/>
      </c>
      <c r="AP91" s="1765" t="s">
        <v>10</v>
      </c>
      <c r="AQ91" s="2663">
        <f>XM.HN!G60</f>
        <v>0</v>
      </c>
      <c r="AR91" s="1743">
        <f>(0.1*AQ91*36.5)/(0.5*10)/32%/100</f>
        <v>0</v>
      </c>
      <c r="AS91" s="2494">
        <f>($G$91-AR91)*3361</f>
        <v>604.98</v>
      </c>
      <c r="AT91" s="1731" t="s">
        <v>8</v>
      </c>
      <c r="AU91" s="1764">
        <f t="shared" si="17"/>
        <v>0</v>
      </c>
      <c r="AV91" s="2051" t="str">
        <f>IF('3.XT-C TT(CA2)'!AJ19="","",'3.XT-C TT(CA2)'!AJ19)</f>
        <v/>
      </c>
      <c r="AW91" s="1732" t="s">
        <v>10</v>
      </c>
      <c r="AY91" s="2174"/>
      <c r="AZ91" s="1047"/>
      <c r="BA91" s="1047"/>
      <c r="BB91" s="1047"/>
      <c r="BC91" s="1047"/>
      <c r="BD91" s="1047"/>
      <c r="BE91" s="1047"/>
      <c r="BF91" s="1047"/>
      <c r="BG91" s="1047"/>
      <c r="BH91" s="1047"/>
      <c r="BI91" s="1047"/>
      <c r="BJ91" s="1047"/>
      <c r="BK91" s="1047"/>
    </row>
    <row r="92" spans="1:63" ht="39.75" customHeight="1">
      <c r="A92" s="2285"/>
      <c r="B92" s="2280"/>
      <c r="C92" s="102" t="s">
        <v>1578</v>
      </c>
      <c r="D92" s="2279" t="s">
        <v>6</v>
      </c>
      <c r="E92" s="13" t="s">
        <v>1349</v>
      </c>
      <c r="F92" s="1903" t="s">
        <v>1327</v>
      </c>
      <c r="G92" s="2644">
        <v>0.45</v>
      </c>
      <c r="H92" s="2546">
        <f>XM.HN!B61</f>
        <v>2.02</v>
      </c>
      <c r="I92" s="1754">
        <f>(1*H92*36.5)/(0.5*10)/32%/100</f>
        <v>0.46081249999999996</v>
      </c>
      <c r="J92" s="2494">
        <f>($G$92-I92)*3361</f>
        <v>-36.340812499999821</v>
      </c>
      <c r="K92" s="1745" t="s">
        <v>8</v>
      </c>
      <c r="L92" s="1764">
        <f t="shared" ref="L92" si="24">IF(I92=0,0,IF(J92&lt;0,0,J92))</f>
        <v>0</v>
      </c>
      <c r="M92" s="2051" t="str">
        <f>IF('3.XT-C TT'!AB20="","",'3.XT-C TT'!AB20)</f>
        <v/>
      </c>
      <c r="N92" s="1751" t="s">
        <v>10</v>
      </c>
      <c r="O92" s="2544">
        <f>XM.HN!C61</f>
        <v>2</v>
      </c>
      <c r="P92" s="1754">
        <f>(1*O92*36.5)/(0.5*10)/32%/100</f>
        <v>0.45624999999999999</v>
      </c>
      <c r="Q92" s="2494">
        <f>($G$92-P92)*3361</f>
        <v>-21.006249999999927</v>
      </c>
      <c r="R92" s="1773" t="s">
        <v>8</v>
      </c>
      <c r="S92" s="1764">
        <f t="shared" ref="S92" si="25">IF(P92=0,0,IF(Q92&lt;0,0,Q92))</f>
        <v>0</v>
      </c>
      <c r="T92" s="2051" t="str">
        <f>IF('3.XT-C TT'!AF20="","",'3.XT-C TT'!AF20)</f>
        <v/>
      </c>
      <c r="U92" s="1765" t="s">
        <v>10</v>
      </c>
      <c r="V92" s="2665">
        <f>XM.HN!D61</f>
        <v>2.06</v>
      </c>
      <c r="W92" s="1754">
        <f>(1*V92*36.5)/(0.5*10)/32%/100</f>
        <v>0.46993750000000001</v>
      </c>
      <c r="X92" s="2494">
        <f>($G$92-W92)*3361</f>
        <v>-67.009937499999992</v>
      </c>
      <c r="Y92" s="1773" t="s">
        <v>8</v>
      </c>
      <c r="Z92" s="1764">
        <f t="shared" ref="Z92" si="26">IF(W92=0,0,IF(X92&lt;0,0,X92))</f>
        <v>0</v>
      </c>
      <c r="AA92" s="2051" t="str">
        <f>IF('3.XT-C TT'!AJ20="","",'3.XT-C TT'!AJ20)</f>
        <v/>
      </c>
      <c r="AB92" s="1765" t="s">
        <v>10</v>
      </c>
      <c r="AC92" s="2665">
        <f>XM.HN!E61</f>
        <v>2.06</v>
      </c>
      <c r="AD92" s="1754">
        <f>(1*AC92*36.5)/(0.5*10)/32%/100</f>
        <v>0.46993750000000001</v>
      </c>
      <c r="AE92" s="2494">
        <f>($G$92-AD92)*3361</f>
        <v>-67.009937499999992</v>
      </c>
      <c r="AF92" s="1773" t="s">
        <v>8</v>
      </c>
      <c r="AG92" s="1764">
        <f t="shared" ref="AG92" si="27">IF(AD92=0,0,IF(AE92&lt;0,0,AE92))</f>
        <v>0</v>
      </c>
      <c r="AH92" s="2051" t="str">
        <f>IF('3.XT-C TT(CA2)'!AB20="","",'3.XT-C TT(CA2)'!AB20)</f>
        <v/>
      </c>
      <c r="AI92" s="1765" t="s">
        <v>10</v>
      </c>
      <c r="AJ92" s="2663">
        <f>XM.HN!F61</f>
        <v>2.04</v>
      </c>
      <c r="AK92" s="1754">
        <f>(1*AJ92*36.5)/(0.5*10)/32%/100</f>
        <v>0.46537500000000004</v>
      </c>
      <c r="AL92" s="2494">
        <f>($G$92-AK92)*3361</f>
        <v>-51.675375000000095</v>
      </c>
      <c r="AM92" s="1773" t="s">
        <v>8</v>
      </c>
      <c r="AN92" s="1764">
        <f t="shared" ref="AN92" si="28">IF(AK92=0,0,IF(AL92&lt;0,0,AL92))</f>
        <v>0</v>
      </c>
      <c r="AO92" s="2051" t="str">
        <f>IF('3.XT-C TT(CA2)'!AF20="","",'3.XT-C TT(CA2)'!AF20)</f>
        <v/>
      </c>
      <c r="AP92" s="1765" t="s">
        <v>10</v>
      </c>
      <c r="AQ92" s="2663">
        <f>XM.HN!G61</f>
        <v>2.02</v>
      </c>
      <c r="AR92" s="1754">
        <f>(1*AQ92*36.5)/(0.5*10)/32%/100</f>
        <v>0.46081249999999996</v>
      </c>
      <c r="AS92" s="2494">
        <f>($G$92-AR92)*3361</f>
        <v>-36.340812499999821</v>
      </c>
      <c r="AT92" s="1731" t="s">
        <v>8</v>
      </c>
      <c r="AU92" s="1764">
        <f t="shared" ref="AU92" si="29">IF(AR92=0,0,IF(AS92&lt;0,0,AS92))</f>
        <v>0</v>
      </c>
      <c r="AV92" s="2051" t="str">
        <f>IF('3.XT-C TT(CA2)'!AJ20="","",'3.XT-C TT(CA2)'!AJ20)</f>
        <v/>
      </c>
      <c r="AW92" s="1732" t="s">
        <v>10</v>
      </c>
      <c r="AY92" s="2279"/>
      <c r="AZ92" s="1047"/>
      <c r="BA92" s="1047"/>
      <c r="BB92" s="1047"/>
      <c r="BC92" s="1047"/>
      <c r="BD92" s="1047"/>
      <c r="BE92" s="1047"/>
      <c r="BF92" s="1047"/>
      <c r="BG92" s="1047"/>
      <c r="BH92" s="1047"/>
      <c r="BI92" s="1047"/>
      <c r="BJ92" s="1047"/>
      <c r="BK92" s="1047"/>
    </row>
    <row r="93" spans="1:63" ht="39.75" customHeight="1">
      <c r="A93" s="1720" t="s">
        <v>294</v>
      </c>
      <c r="B93" s="1035" t="s">
        <v>127</v>
      </c>
      <c r="C93" s="102" t="s">
        <v>83</v>
      </c>
      <c r="D93" s="45" t="s">
        <v>6</v>
      </c>
      <c r="E93" s="13" t="s">
        <v>1349</v>
      </c>
      <c r="F93" s="1903" t="s">
        <v>1327</v>
      </c>
      <c r="G93" s="2644">
        <v>0.45</v>
      </c>
      <c r="H93" s="2546">
        <f>XM.HN!B62</f>
        <v>2.06</v>
      </c>
      <c r="I93" s="1754">
        <f>(1*H93*36.5)/(0.5*10)/32%/100</f>
        <v>0.46993750000000001</v>
      </c>
      <c r="J93" s="2494">
        <f>($G$93-I93)*10509</f>
        <v>-209.52318749999998</v>
      </c>
      <c r="K93" s="1745" t="s">
        <v>8</v>
      </c>
      <c r="L93" s="1764">
        <f t="shared" si="12"/>
        <v>0</v>
      </c>
      <c r="M93" s="2051" t="str">
        <f>IF('3.XT-C TT'!AB21="","",'3.XT-C TT'!AB21)</f>
        <v/>
      </c>
      <c r="N93" s="1751" t="s">
        <v>10</v>
      </c>
      <c r="O93" s="2544">
        <f>XM.HN!C62</f>
        <v>2.06</v>
      </c>
      <c r="P93" s="1754">
        <f>(1*O93*36.5)/(0.5*10)/32%/100</f>
        <v>0.46993750000000001</v>
      </c>
      <c r="Q93" s="2494">
        <f>($G$93-P93)*10509</f>
        <v>-209.52318749999998</v>
      </c>
      <c r="R93" s="1773" t="s">
        <v>8</v>
      </c>
      <c r="S93" s="1764">
        <f t="shared" si="13"/>
        <v>0</v>
      </c>
      <c r="T93" s="2051" t="str">
        <f>IF('3.XT-C TT'!AF21="","",'3.XT-C TT'!AF21)</f>
        <v/>
      </c>
      <c r="U93" s="1765" t="s">
        <v>10</v>
      </c>
      <c r="V93" s="2665">
        <f>XM.HN!D62</f>
        <v>2.1</v>
      </c>
      <c r="W93" s="1754">
        <f>(1*V93*36.5)/(0.5*10)/32%/100</f>
        <v>0.47906250000000006</v>
      </c>
      <c r="X93" s="2494">
        <f>($G$93-W93)*10509</f>
        <v>-305.41781250000048</v>
      </c>
      <c r="Y93" s="1773" t="s">
        <v>8</v>
      </c>
      <c r="Z93" s="1764">
        <f t="shared" si="14"/>
        <v>0</v>
      </c>
      <c r="AA93" s="2051" t="str">
        <f>IF('3.XT-C TT'!AJ21="","",'3.XT-C TT'!AJ21)</f>
        <v/>
      </c>
      <c r="AB93" s="1765" t="s">
        <v>10</v>
      </c>
      <c r="AC93" s="2665">
        <f>XM.HN!E62</f>
        <v>2.1</v>
      </c>
      <c r="AD93" s="1754">
        <f>(1*AC93*36.5)/(0.5*10)/32%/100</f>
        <v>0.47906250000000006</v>
      </c>
      <c r="AE93" s="2494">
        <f>($G$93-AD93)*10509</f>
        <v>-305.41781250000048</v>
      </c>
      <c r="AF93" s="1773" t="s">
        <v>8</v>
      </c>
      <c r="AG93" s="1764">
        <f t="shared" si="15"/>
        <v>0</v>
      </c>
      <c r="AH93" s="2051" t="str">
        <f>IF('3.XT-C TT(CA2)'!AB21="","",'3.XT-C TT(CA2)'!AB21)</f>
        <v/>
      </c>
      <c r="AI93" s="1765" t="s">
        <v>10</v>
      </c>
      <c r="AJ93" s="2663">
        <f>XM.HN!F62</f>
        <v>2.1</v>
      </c>
      <c r="AK93" s="1754">
        <f>(1*AJ93*36.5)/(0.5*10)/32%/100</f>
        <v>0.47906250000000006</v>
      </c>
      <c r="AL93" s="2494">
        <f>($G$93-AK93)*10509</f>
        <v>-305.41781250000048</v>
      </c>
      <c r="AM93" s="1773" t="s">
        <v>8</v>
      </c>
      <c r="AN93" s="1764">
        <f t="shared" si="16"/>
        <v>0</v>
      </c>
      <c r="AO93" s="2051" t="str">
        <f>IF('3.XT-C TT(CA2)'!AF21="","",'3.XT-C TT(CA2)'!AF21)</f>
        <v/>
      </c>
      <c r="AP93" s="1765" t="s">
        <v>10</v>
      </c>
      <c r="AQ93" s="2663">
        <f>XM.HN!G62</f>
        <v>2.06</v>
      </c>
      <c r="AR93" s="1754">
        <f>(1*AQ93*36.5)/(0.5*10)/32%/100</f>
        <v>0.46993750000000001</v>
      </c>
      <c r="AS93" s="2494">
        <f>($G$93-AR93)*10509</f>
        <v>-209.52318749999998</v>
      </c>
      <c r="AT93" s="1731" t="s">
        <v>8</v>
      </c>
      <c r="AU93" s="1764">
        <f t="shared" si="17"/>
        <v>0</v>
      </c>
      <c r="AV93" s="2051" t="str">
        <f>IF('3.XT-C TT(CA2)'!AJ21="","",'3.XT-C TT(CA2)'!AJ21)</f>
        <v/>
      </c>
      <c r="AW93" s="1732" t="s">
        <v>10</v>
      </c>
      <c r="AY93" s="2174"/>
      <c r="AZ93" s="1047"/>
      <c r="BA93" s="1047"/>
      <c r="BB93" s="1047"/>
      <c r="BC93" s="1047"/>
      <c r="BD93" s="1047"/>
      <c r="BE93" s="1047"/>
      <c r="BF93" s="1047"/>
      <c r="BG93" s="1047"/>
      <c r="BH93" s="1047"/>
      <c r="BI93" s="1047"/>
      <c r="BJ93" s="1047"/>
      <c r="BK93" s="1047"/>
    </row>
    <row r="94" spans="1:63" ht="39.75" customHeight="1">
      <c r="A94" s="1720" t="s">
        <v>296</v>
      </c>
      <c r="B94" s="1035" t="s">
        <v>127</v>
      </c>
      <c r="C94" s="102" t="s">
        <v>148</v>
      </c>
      <c r="D94" s="45" t="s">
        <v>6</v>
      </c>
      <c r="E94" s="2206" t="s">
        <v>1547</v>
      </c>
      <c r="F94" s="1903" t="s">
        <v>1538</v>
      </c>
      <c r="G94" s="2645">
        <v>0.01</v>
      </c>
      <c r="H94" s="2546">
        <f>XM.HN!B63</f>
        <v>5.3</v>
      </c>
      <c r="I94" s="1774">
        <f>(H94*0.126)/100</f>
        <v>6.6779999999999999E-3</v>
      </c>
      <c r="J94" s="2494">
        <f>($G$94-I94)*2808/65%/1.51</f>
        <v>9.5040000000000013</v>
      </c>
      <c r="K94" s="1745" t="s">
        <v>8</v>
      </c>
      <c r="L94" s="1775">
        <f t="shared" si="12"/>
        <v>9.5040000000000013</v>
      </c>
      <c r="M94" s="2051" t="str">
        <f>IF('3.XT-C TT'!AB22="","",'3.XT-C TT'!AB22)</f>
        <v/>
      </c>
      <c r="N94" s="1751" t="s">
        <v>10</v>
      </c>
      <c r="O94" s="2546">
        <f>XM.HN!C63</f>
        <v>5.2</v>
      </c>
      <c r="P94" s="1774">
        <f>(O94*0.126)/100</f>
        <v>6.5519999999999997E-3</v>
      </c>
      <c r="Q94" s="2494">
        <f>($G$94-P94)*2808/65%/1.51</f>
        <v>9.8644768211920546</v>
      </c>
      <c r="R94" s="1745" t="s">
        <v>8</v>
      </c>
      <c r="S94" s="1775">
        <f t="shared" si="13"/>
        <v>9.8644768211920546</v>
      </c>
      <c r="T94" s="2051" t="str">
        <f>IF('3.XT-C TT'!AF22="","",'3.XT-C TT'!AF22)</f>
        <v/>
      </c>
      <c r="U94" s="1747" t="s">
        <v>10</v>
      </c>
      <c r="V94" s="2546">
        <f>XM.HN!D63</f>
        <v>6.1</v>
      </c>
      <c r="W94" s="1774">
        <f>(V94*0.126)/100</f>
        <v>7.6859999999999993E-3</v>
      </c>
      <c r="X94" s="2494">
        <f>($G$94-W94)*2808/65%/1.51</f>
        <v>6.6201854304635788</v>
      </c>
      <c r="Y94" s="1745" t="s">
        <v>8</v>
      </c>
      <c r="Z94" s="1775">
        <f t="shared" si="14"/>
        <v>6.6201854304635788</v>
      </c>
      <c r="AA94" s="2051" t="str">
        <f>IF('3.XT-C TT'!AJ22="","",'3.XT-C TT'!AJ22)</f>
        <v/>
      </c>
      <c r="AB94" s="1751" t="s">
        <v>10</v>
      </c>
      <c r="AC94" s="2546">
        <f>XM.HN!E63</f>
        <v>6.2</v>
      </c>
      <c r="AD94" s="1774">
        <f>(AC94*0.126)/100</f>
        <v>7.8120000000000004E-3</v>
      </c>
      <c r="AE94" s="2494">
        <f>($G$94-AD94)*2808/65%/1.51</f>
        <v>6.2597086092715228</v>
      </c>
      <c r="AF94" s="1745" t="s">
        <v>8</v>
      </c>
      <c r="AG94" s="1775">
        <f t="shared" si="15"/>
        <v>6.2597086092715228</v>
      </c>
      <c r="AH94" s="2051" t="str">
        <f>IF('3.XT-C TT(CA2)'!AB22="","",'3.XT-C TT(CA2)'!AB22)</f>
        <v/>
      </c>
      <c r="AI94" s="1751" t="s">
        <v>10</v>
      </c>
      <c r="AJ94" s="2546">
        <f>XM.HN!F63</f>
        <v>6.4</v>
      </c>
      <c r="AK94" s="1774">
        <f>(AJ94*0.126)/100</f>
        <v>8.064E-3</v>
      </c>
      <c r="AL94" s="2494">
        <f>($G$94-AK94)*2808/65%/1.51</f>
        <v>5.5387549668874172</v>
      </c>
      <c r="AM94" s="1745" t="s">
        <v>8</v>
      </c>
      <c r="AN94" s="1775">
        <f t="shared" si="16"/>
        <v>5.5387549668874172</v>
      </c>
      <c r="AO94" s="2051" t="str">
        <f>IF('3.XT-C TT(CA2)'!AF22="","",'3.XT-C TT(CA2)'!AF22)</f>
        <v/>
      </c>
      <c r="AP94" s="1751" t="s">
        <v>10</v>
      </c>
      <c r="AQ94" s="2546">
        <f>XM.HN!G63</f>
        <v>6.4</v>
      </c>
      <c r="AR94" s="1774">
        <f>(AQ94*0.126)/100</f>
        <v>8.064E-3</v>
      </c>
      <c r="AS94" s="2494">
        <f>($G$94-AR94)*2808/65%/1.51</f>
        <v>5.5387549668874172</v>
      </c>
      <c r="AT94" s="1745" t="s">
        <v>8</v>
      </c>
      <c r="AU94" s="1775">
        <f t="shared" si="17"/>
        <v>5.5387549668874172</v>
      </c>
      <c r="AV94" s="2051" t="str">
        <f>IF('3.XT-C TT(CA2)'!AJ22="","",'3.XT-C TT(CA2)'!AJ22)</f>
        <v/>
      </c>
      <c r="AW94" s="1747" t="s">
        <v>10</v>
      </c>
      <c r="AY94" s="2174"/>
      <c r="AZ94" s="1047"/>
      <c r="BA94" s="1047"/>
      <c r="BB94" s="1047"/>
      <c r="BC94" s="1047"/>
      <c r="BD94" s="1047"/>
      <c r="BE94" s="1047"/>
      <c r="BF94" s="1047"/>
      <c r="BG94" s="1047"/>
      <c r="BH94" s="1047"/>
      <c r="BI94" s="1047"/>
      <c r="BJ94" s="1047"/>
      <c r="BK94" s="1047"/>
    </row>
    <row r="95" spans="1:63" ht="39.75" customHeight="1">
      <c r="A95" s="1719" t="s">
        <v>297</v>
      </c>
      <c r="B95" s="1035" t="s">
        <v>127</v>
      </c>
      <c r="C95" s="292" t="s">
        <v>1568</v>
      </c>
      <c r="D95" s="2184" t="s">
        <v>3</v>
      </c>
      <c r="E95" s="2187" t="s">
        <v>1345</v>
      </c>
      <c r="F95" s="1903" t="s">
        <v>1326</v>
      </c>
      <c r="G95" s="2643">
        <v>6</v>
      </c>
      <c r="H95" s="2546">
        <f>XM.HN!B64</f>
        <v>5.45</v>
      </c>
      <c r="I95" s="2194">
        <f>IF(XM.HN!B64="","",H95*0.8+1.4)</f>
        <v>5.76</v>
      </c>
      <c r="J95" s="2496">
        <f>($G$95-I95)*4042/95*0.88</f>
        <v>8.9860042105263229</v>
      </c>
      <c r="K95" s="1745" t="s">
        <v>8</v>
      </c>
      <c r="L95" s="1873">
        <f>IF(I95="","",(IF(J95&lt;0,0,J95)))</f>
        <v>8.9860042105263229</v>
      </c>
      <c r="M95" s="2051" t="str">
        <f>IF('3.XT-C TT'!AB23="","",'3.XT-C TT'!AB23)</f>
        <v/>
      </c>
      <c r="N95" s="1751" t="s">
        <v>10</v>
      </c>
      <c r="O95" s="2546">
        <f>XM.HN!C64</f>
        <v>5.4</v>
      </c>
      <c r="P95" s="2194">
        <f>IF(XM.HN!C64="","",O95*0.8+1.4)</f>
        <v>5.7200000000000006</v>
      </c>
      <c r="Q95" s="2496">
        <f>($G$95-P95)*4042/95*0.88</f>
        <v>10.483671578947346</v>
      </c>
      <c r="R95" s="1745" t="s">
        <v>8</v>
      </c>
      <c r="S95" s="1873">
        <f>IF(P95="","",(IF(Q95&lt;0,0,Q95)))</f>
        <v>10.483671578947346</v>
      </c>
      <c r="T95" s="2051" t="str">
        <f>IF('3.XT-C TT'!AF23="","",'3.XT-C TT'!AF23)</f>
        <v/>
      </c>
      <c r="U95" s="1751" t="s">
        <v>10</v>
      </c>
      <c r="V95" s="2546">
        <f>XM.HN!D64</f>
        <v>5.4</v>
      </c>
      <c r="W95" s="2194">
        <f>IF(XM.HN!D64="","",V95*0.8+1.4)</f>
        <v>5.7200000000000006</v>
      </c>
      <c r="X95" s="2496">
        <f>($G$95-W95)*4042/95*0.88</f>
        <v>10.483671578947346</v>
      </c>
      <c r="Y95" s="1745" t="s">
        <v>8</v>
      </c>
      <c r="Z95" s="1873">
        <f>IF(W95="","",(IF(X95&lt;0,0,X95)))</f>
        <v>10.483671578947346</v>
      </c>
      <c r="AA95" s="2051" t="str">
        <f>IF('3.XT-C TT'!AJ23="","",'3.XT-C TT'!AJ23)</f>
        <v/>
      </c>
      <c r="AB95" s="1747" t="s">
        <v>10</v>
      </c>
      <c r="AC95" s="2546">
        <f>XM.HN!E64</f>
        <v>5.45</v>
      </c>
      <c r="AD95" s="2194">
        <f>IF(XM.HN!E64="","",AC95*0.8+1.4)</f>
        <v>5.76</v>
      </c>
      <c r="AE95" s="2496">
        <f>($G$95-AD95)*4042/95*0.88</f>
        <v>8.9860042105263229</v>
      </c>
      <c r="AF95" s="1745" t="s">
        <v>8</v>
      </c>
      <c r="AG95" s="1873">
        <f>IF(AD95="","",(IF(AE95&lt;0,0,AE95)))</f>
        <v>8.9860042105263229</v>
      </c>
      <c r="AH95" s="2051" t="str">
        <f>IF('3.XT-C TT(CA2)'!AB23="","",'3.XT-C TT(CA2)'!AB23)</f>
        <v/>
      </c>
      <c r="AI95" s="1751" t="s">
        <v>10</v>
      </c>
      <c r="AJ95" s="2546">
        <f>XM.HN!F64</f>
        <v>5.45</v>
      </c>
      <c r="AK95" s="2194">
        <f>IF(XM.HN!F64="","",AJ95*0.8+1.4)</f>
        <v>5.76</v>
      </c>
      <c r="AL95" s="2496">
        <f>($G$95-AK95)*4042/95*0.88</f>
        <v>8.9860042105263229</v>
      </c>
      <c r="AM95" s="1745" t="s">
        <v>8</v>
      </c>
      <c r="AN95" s="1873">
        <f>IF(AK95="","",(IF(AL95&lt;0,0,AL95)))</f>
        <v>8.9860042105263229</v>
      </c>
      <c r="AO95" s="2051" t="str">
        <f>IF('3.XT-C TT(CA2)'!AF23="","",'3.XT-C TT(CA2)'!AF23)</f>
        <v/>
      </c>
      <c r="AP95" s="1751" t="s">
        <v>10</v>
      </c>
      <c r="AQ95" s="2546">
        <f>XM.HN!G64</f>
        <v>5.4</v>
      </c>
      <c r="AR95" s="2194">
        <f>IF(XM.HN!G64="","",AQ95*0.8+1.4)</f>
        <v>5.7200000000000006</v>
      </c>
      <c r="AS95" s="2496">
        <f>($G$95-AR95)*4042/95*0.88</f>
        <v>10.483671578947346</v>
      </c>
      <c r="AT95" s="1745" t="s">
        <v>8</v>
      </c>
      <c r="AU95" s="1873">
        <f>IF(AR95="","",(IF(AS95&lt;0,0,AS95)))</f>
        <v>10.483671578947346</v>
      </c>
      <c r="AV95" s="2051" t="str">
        <f>IF('3.XT-C TT(CA2)'!AJ23="","",'3.XT-C TT(CA2)'!AJ23)</f>
        <v/>
      </c>
      <c r="AW95" s="1747" t="s">
        <v>10</v>
      </c>
      <c r="AY95" s="3243"/>
      <c r="AZ95" s="1047"/>
      <c r="BA95" s="1047"/>
      <c r="BB95" s="1047"/>
      <c r="BC95" s="1047"/>
      <c r="BD95" s="1047"/>
      <c r="BE95" s="1047"/>
      <c r="BF95" s="1047"/>
      <c r="BG95" s="1047"/>
      <c r="BH95" s="1047"/>
      <c r="BI95" s="1047"/>
      <c r="BJ95" s="1047"/>
      <c r="BK95" s="1047"/>
    </row>
    <row r="96" spans="1:63" ht="39.75" customHeight="1">
      <c r="A96" s="1719" t="s">
        <v>298</v>
      </c>
      <c r="B96" s="1035" t="s">
        <v>127</v>
      </c>
      <c r="C96" s="2292" t="str">
        <f>MENU!AE45</f>
        <v>Pha mới: 2024/05/19</v>
      </c>
      <c r="D96" s="2184" t="s">
        <v>5</v>
      </c>
      <c r="E96" s="2187" t="s">
        <v>1315</v>
      </c>
      <c r="F96" s="1903" t="s">
        <v>1567</v>
      </c>
      <c r="G96" s="2643"/>
      <c r="H96" s="2543"/>
      <c r="I96" s="1768">
        <f>XM.HN!B65</f>
        <v>2.2000000000000002</v>
      </c>
      <c r="J96" s="2496"/>
      <c r="K96" s="1745"/>
      <c r="L96" s="1746"/>
      <c r="M96" s="2051" t="str">
        <f>IF('3.XT-C TT'!AB24="","",'3.XT-C TT'!AB24)</f>
        <v/>
      </c>
      <c r="N96" s="1751"/>
      <c r="O96" s="2546"/>
      <c r="P96" s="1768">
        <f>XM.HN!C65</f>
        <v>2.1800000000000002</v>
      </c>
      <c r="Q96" s="2496"/>
      <c r="R96" s="1745"/>
      <c r="S96" s="1746"/>
      <c r="T96" s="2051" t="str">
        <f>IF('3.XT-C TT'!AF24="","",'3.XT-C TT'!AF24)</f>
        <v/>
      </c>
      <c r="U96" s="1747"/>
      <c r="V96" s="2546"/>
      <c r="W96" s="1768">
        <f>XM.HN!D65</f>
        <v>2.12</v>
      </c>
      <c r="X96" s="2496"/>
      <c r="Y96" s="1745"/>
      <c r="Z96" s="1746"/>
      <c r="AA96" s="2051" t="str">
        <f>IF('3.XT-C TT'!AJ24="","",'3.XT-C TT'!AJ24)</f>
        <v/>
      </c>
      <c r="AB96" s="1751"/>
      <c r="AC96" s="2546"/>
      <c r="AD96" s="1768">
        <f>XM.HN!E65</f>
        <v>2</v>
      </c>
      <c r="AE96" s="2496"/>
      <c r="AF96" s="1745"/>
      <c r="AG96" s="1746"/>
      <c r="AH96" s="2051" t="str">
        <f>IF('3.XT-C TT(CA2)'!AB24="","",'3.XT-C TT(CA2)'!AB24)</f>
        <v/>
      </c>
      <c r="AI96" s="1751"/>
      <c r="AJ96" s="2546"/>
      <c r="AK96" s="1768">
        <f>XM.HN!F65</f>
        <v>2.0299999999999998</v>
      </c>
      <c r="AL96" s="2607"/>
      <c r="AM96" s="1735"/>
      <c r="AN96" s="1745"/>
      <c r="AO96" s="1746" t="str">
        <f>IF('3.XT-C TT(CA2)'!AF24="","",'3.XT-C TT(CA2)'!AF24)</f>
        <v/>
      </c>
      <c r="AP96" s="2051"/>
      <c r="AQ96" s="2608"/>
      <c r="AR96" s="1768">
        <f>XM.HN!G65</f>
        <v>2.02</v>
      </c>
      <c r="AS96" s="2493"/>
      <c r="AT96" s="1735"/>
      <c r="AU96" s="1736"/>
      <c r="AV96" s="1736"/>
      <c r="AW96" s="1778"/>
      <c r="AY96" s="3244"/>
      <c r="AZ96" s="1047"/>
      <c r="BA96" s="1047"/>
      <c r="BB96" s="1047"/>
      <c r="BC96" s="1047"/>
      <c r="BD96" s="1047"/>
      <c r="BE96" s="1047"/>
      <c r="BF96" s="1047"/>
      <c r="BG96" s="1047"/>
      <c r="BH96" s="1047"/>
      <c r="BI96" s="1047"/>
      <c r="BJ96" s="1047"/>
      <c r="BK96" s="1047"/>
    </row>
    <row r="97" spans="1:63" ht="39.75" hidden="1" customHeight="1">
      <c r="A97" s="1719"/>
      <c r="B97" s="1183"/>
      <c r="C97" s="1348" t="s">
        <v>1270</v>
      </c>
      <c r="D97" s="273" t="s">
        <v>3</v>
      </c>
      <c r="E97" s="46" t="s">
        <v>1317</v>
      </c>
      <c r="F97" s="1903" t="s">
        <v>1306</v>
      </c>
      <c r="G97" s="2643">
        <v>12</v>
      </c>
      <c r="H97" s="2546">
        <f>XM.HN!B67</f>
        <v>0</v>
      </c>
      <c r="I97" s="1733" t="str">
        <f>IF(XM.HN!B67="","",(H97*10/6.95))</f>
        <v/>
      </c>
      <c r="J97" s="2494" t="e">
        <f>($G$97-I97)*3360/100</f>
        <v>#VALUE!</v>
      </c>
      <c r="K97" s="1745" t="s">
        <v>8</v>
      </c>
      <c r="L97" s="1746" t="str">
        <f>IF(I97="","",(IF(J97&lt;0,0,J97)))</f>
        <v/>
      </c>
      <c r="M97" s="1776"/>
      <c r="N97" s="1747" t="s">
        <v>10</v>
      </c>
      <c r="O97" s="2539">
        <f>XM.HN!C67</f>
        <v>0</v>
      </c>
      <c r="P97" s="1404" t="str">
        <f>IF(XM.HN!C67="","",(O97*10/6.95))</f>
        <v/>
      </c>
      <c r="Q97" s="2671" t="e">
        <f>($G$97-P97)*3360/100</f>
        <v>#VALUE!</v>
      </c>
      <c r="R97" s="1745" t="s">
        <v>8</v>
      </c>
      <c r="S97" s="1746" t="str">
        <f>IF(P97="","",(IF(Q97&lt;0,0,Q97)))</f>
        <v/>
      </c>
      <c r="T97" s="1776"/>
      <c r="U97" s="1747" t="s">
        <v>10</v>
      </c>
      <c r="V97" s="2571">
        <f>XM.HN!D67</f>
        <v>0</v>
      </c>
      <c r="W97" s="1733" t="str">
        <f>IF(XM.HN!D67="","",(V97*10/6.95))</f>
        <v/>
      </c>
      <c r="X97" s="2494" t="e">
        <f>($G$97-W97)*3360/100</f>
        <v>#VALUE!</v>
      </c>
      <c r="Y97" s="1745" t="s">
        <v>8</v>
      </c>
      <c r="Z97" s="1746" t="str">
        <f>IF(W97="","",(IF(X97&lt;0,0,X97)))</f>
        <v/>
      </c>
      <c r="AA97" s="1776"/>
      <c r="AB97" s="1747" t="s">
        <v>10</v>
      </c>
      <c r="AC97" s="2539">
        <f>XM.HN!E67</f>
        <v>0</v>
      </c>
      <c r="AD97" s="1733" t="str">
        <f>IF(XM.HN!E67="","",(AC97*10/6.95))</f>
        <v/>
      </c>
      <c r="AE97" s="2494" t="e">
        <f>($G$97-AD97)*3360/100</f>
        <v>#VALUE!</v>
      </c>
      <c r="AF97" s="1745" t="s">
        <v>8</v>
      </c>
      <c r="AG97" s="1746" t="str">
        <f>IF(AD97="","",(IF(AE97&lt;0,0,AE97)))</f>
        <v/>
      </c>
      <c r="AH97" s="1776"/>
      <c r="AI97" s="1747" t="s">
        <v>10</v>
      </c>
      <c r="AJ97" s="2539">
        <f>XM.HN!F67</f>
        <v>0</v>
      </c>
      <c r="AK97" s="1404" t="str">
        <f>IF(XM.HN!F67="","",(AJ97*10/6.95))</f>
        <v/>
      </c>
      <c r="AL97" s="2671" t="e">
        <f>($G$97-AK97)*3360/100</f>
        <v>#VALUE!</v>
      </c>
      <c r="AM97" s="1745" t="s">
        <v>8</v>
      </c>
      <c r="AN97" s="1746" t="str">
        <f>IF(AK97="","",(IF(AL97&lt;0,0,AL97)))</f>
        <v/>
      </c>
      <c r="AO97" s="1776"/>
      <c r="AP97" s="1747" t="s">
        <v>10</v>
      </c>
      <c r="AQ97" s="2539">
        <f>XM.HN!G67</f>
        <v>0</v>
      </c>
      <c r="AR97" s="1733" t="str">
        <f>IF(XM.HN!G67="","",(AQ97*10/6.95))</f>
        <v/>
      </c>
      <c r="AS97" s="2494" t="e">
        <f>($G$97-AR97)*3360/100</f>
        <v>#VALUE!</v>
      </c>
      <c r="AT97" s="1745" t="s">
        <v>8</v>
      </c>
      <c r="AU97" s="1746" t="str">
        <f>IF(AR97="","",(IF(AS97&lt;0,0,AS97)))</f>
        <v/>
      </c>
      <c r="AV97" s="1776"/>
      <c r="AW97" s="1747" t="s">
        <v>10</v>
      </c>
      <c r="AY97" s="2174"/>
      <c r="AZ97" s="1047"/>
      <c r="BA97" s="1047"/>
      <c r="BB97" s="1047"/>
      <c r="BC97" s="1047"/>
      <c r="BD97" s="1047"/>
      <c r="BE97" s="1047"/>
      <c r="BF97" s="1047"/>
      <c r="BG97" s="1047"/>
      <c r="BH97" s="1047"/>
      <c r="BI97" s="1047"/>
      <c r="BJ97" s="1047"/>
      <c r="BK97" s="1047"/>
    </row>
    <row r="98" spans="1:63" ht="39.75" hidden="1" customHeight="1">
      <c r="A98" s="1719"/>
      <c r="B98" s="1183"/>
      <c r="C98" s="1349" t="s">
        <v>120</v>
      </c>
      <c r="D98" s="273" t="s">
        <v>5</v>
      </c>
      <c r="E98" s="46" t="s">
        <v>1315</v>
      </c>
      <c r="F98" s="1903" t="s">
        <v>1307</v>
      </c>
      <c r="G98" s="2643"/>
      <c r="H98" s="2543"/>
      <c r="I98" s="1738">
        <f>XM.HN!B68</f>
        <v>0</v>
      </c>
      <c r="J98" s="2493"/>
      <c r="K98" s="1741"/>
      <c r="L98" s="1741"/>
      <c r="M98" s="1781"/>
      <c r="N98" s="1742"/>
      <c r="O98" s="2546"/>
      <c r="P98" s="1612">
        <f>XM.HN!C68</f>
        <v>0</v>
      </c>
      <c r="Q98" s="2672"/>
      <c r="R98" s="1741"/>
      <c r="S98" s="1741"/>
      <c r="T98" s="1781"/>
      <c r="U98" s="1742"/>
      <c r="V98" s="2571"/>
      <c r="W98" s="1738">
        <f>XM.HN!D68</f>
        <v>0</v>
      </c>
      <c r="X98" s="2505"/>
      <c r="Y98" s="1748"/>
      <c r="Z98" s="1741"/>
      <c r="AA98" s="1781"/>
      <c r="AB98" s="1747"/>
      <c r="AC98" s="2539"/>
      <c r="AD98" s="1738">
        <f>XM.HN!E68</f>
        <v>0</v>
      </c>
      <c r="AE98" s="2505"/>
      <c r="AF98" s="1748"/>
      <c r="AG98" s="1741"/>
      <c r="AH98" s="1781"/>
      <c r="AI98" s="1747"/>
      <c r="AJ98" s="2539"/>
      <c r="AK98" s="1612">
        <f>XM.HN!F68</f>
        <v>0</v>
      </c>
      <c r="AL98" s="2672"/>
      <c r="AM98" s="1741"/>
      <c r="AN98" s="1741"/>
      <c r="AO98" s="1781"/>
      <c r="AP98" s="1742"/>
      <c r="AQ98" s="2539"/>
      <c r="AR98" s="1738">
        <f>XM.HN!G68</f>
        <v>0</v>
      </c>
      <c r="AS98" s="2657"/>
      <c r="AT98" s="1741"/>
      <c r="AU98" s="1741"/>
      <c r="AV98" s="1781"/>
      <c r="AW98" s="1778"/>
      <c r="AY98" s="2174"/>
      <c r="AZ98" s="1047"/>
      <c r="BA98" s="1047"/>
      <c r="BB98" s="1047"/>
      <c r="BC98" s="1047"/>
      <c r="BD98" s="1047"/>
      <c r="BE98" s="1047"/>
      <c r="BF98" s="1047"/>
      <c r="BG98" s="1047"/>
      <c r="BH98" s="1047"/>
      <c r="BI98" s="1047"/>
      <c r="BJ98" s="1047"/>
      <c r="BK98" s="1047"/>
    </row>
    <row r="99" spans="1:63" ht="39.75" hidden="1" customHeight="1">
      <c r="A99" s="1726" t="s">
        <v>308</v>
      </c>
      <c r="B99" s="1035" t="s">
        <v>127</v>
      </c>
      <c r="C99" s="211" t="s">
        <v>193</v>
      </c>
      <c r="D99" s="208" t="s">
        <v>4</v>
      </c>
      <c r="E99" s="46" t="s">
        <v>1351</v>
      </c>
      <c r="F99" s="1903" t="s">
        <v>1517</v>
      </c>
      <c r="G99" s="2646">
        <v>5.5</v>
      </c>
      <c r="H99" s="2543">
        <f>XM.HN!B71</f>
        <v>4.55</v>
      </c>
      <c r="I99" s="1733">
        <f>IF(XM.HN!B71="","",H99*1.3)</f>
        <v>5.915</v>
      </c>
      <c r="J99" s="2494">
        <f>($G$99-I99)*8000/1000</f>
        <v>-3.3200000000000003</v>
      </c>
      <c r="K99" s="1745" t="s">
        <v>8</v>
      </c>
      <c r="L99" s="1746">
        <f>IF($I$99="","",IF(J99&lt;0,0,J99))</f>
        <v>0</v>
      </c>
      <c r="M99" s="1776"/>
      <c r="N99" s="1747" t="s">
        <v>9</v>
      </c>
      <c r="O99" s="2564">
        <f>XM.HN!C71</f>
        <v>4.55</v>
      </c>
      <c r="P99" s="1733">
        <f>IF(XM.HN!C71="","",O99*1.3)</f>
        <v>5.915</v>
      </c>
      <c r="Q99" s="2494">
        <f>($G$99-P99)*8000/1000</f>
        <v>-3.3200000000000003</v>
      </c>
      <c r="R99" s="1745" t="s">
        <v>8</v>
      </c>
      <c r="S99" s="1746">
        <f>IF($P$99="","",IF(Q99&lt;0,0,Q99))</f>
        <v>0</v>
      </c>
      <c r="T99" s="1776"/>
      <c r="U99" s="1747" t="s">
        <v>9</v>
      </c>
      <c r="V99" s="2564">
        <f>XM.HN!D71</f>
        <v>4.5999999999999996</v>
      </c>
      <c r="W99" s="1733">
        <f>IF(XM.HN!D71="","",V99*1.3)</f>
        <v>5.9799999999999995</v>
      </c>
      <c r="X99" s="2494">
        <f>($G$99-W99)*8000/1000</f>
        <v>-3.8399999999999963</v>
      </c>
      <c r="Y99" s="1745" t="s">
        <v>8</v>
      </c>
      <c r="Z99" s="1746">
        <f>IF($W$99="","",IF(X99&lt;0,0,X99))</f>
        <v>0</v>
      </c>
      <c r="AA99" s="1776"/>
      <c r="AB99" s="1747" t="s">
        <v>9</v>
      </c>
      <c r="AC99" s="2591">
        <f>XM.HN!E71</f>
        <v>4.4000000000000004</v>
      </c>
      <c r="AD99" s="1733">
        <f>IF(XM.HN!E71="","",AC99*1.3)</f>
        <v>5.7200000000000006</v>
      </c>
      <c r="AE99" s="2494">
        <f>($G$99-AD99)*8000/1000</f>
        <v>-1.7600000000000049</v>
      </c>
      <c r="AF99" s="1745" t="s">
        <v>8</v>
      </c>
      <c r="AG99" s="1746">
        <f>IF($AD$99="","",IF(AE99&lt;0,0,AE99))</f>
        <v>0</v>
      </c>
      <c r="AH99" s="1776"/>
      <c r="AI99" s="1747" t="s">
        <v>9</v>
      </c>
      <c r="AJ99" s="2546">
        <f>XM.HN!F71</f>
        <v>4.4000000000000004</v>
      </c>
      <c r="AK99" s="1733">
        <f>IF(XM.HN!E71="","",AJ99*1.3)</f>
        <v>5.7200000000000006</v>
      </c>
      <c r="AL99" s="2494">
        <f>($G$99-AK99)*8000/1000</f>
        <v>-1.7600000000000049</v>
      </c>
      <c r="AM99" s="1745" t="s">
        <v>8</v>
      </c>
      <c r="AN99" s="1746">
        <f>IF($AK$99="","",IF(AL99&lt;0,0,AL99))</f>
        <v>0</v>
      </c>
      <c r="AO99" s="1776"/>
      <c r="AP99" s="1747" t="s">
        <v>9</v>
      </c>
      <c r="AQ99" s="2547">
        <f>XM.HN!G71</f>
        <v>4.3</v>
      </c>
      <c r="AR99" s="1733">
        <f>IF(XM.HN!G71="","",AQ99*1.3)</f>
        <v>5.59</v>
      </c>
      <c r="AS99" s="2494">
        <f>($G$99-AR99)*8000/1000</f>
        <v>-0.71999999999999886</v>
      </c>
      <c r="AT99" s="1745" t="s">
        <v>8</v>
      </c>
      <c r="AU99" s="1746">
        <f>IF($AR$99="","",IF(AS99&lt;0,0,AS99))</f>
        <v>0</v>
      </c>
      <c r="AV99" s="1776"/>
      <c r="AW99" s="1747" t="s">
        <v>9</v>
      </c>
      <c r="AY99" s="2174"/>
      <c r="AZ99" s="1047"/>
      <c r="BA99" s="1047"/>
      <c r="BB99" s="1047"/>
      <c r="BC99" s="1047"/>
      <c r="BD99" s="1047"/>
      <c r="BE99" s="1047"/>
      <c r="BF99" s="1047"/>
      <c r="BG99" s="1047"/>
      <c r="BH99" s="1047"/>
      <c r="BI99" s="1047"/>
      <c r="BJ99" s="1047"/>
      <c r="BK99" s="1047"/>
    </row>
    <row r="100" spans="1:63" ht="39.75" hidden="1" customHeight="1">
      <c r="A100" s="1726" t="s">
        <v>309</v>
      </c>
      <c r="B100" s="1035" t="s">
        <v>127</v>
      </c>
      <c r="C100" s="211" t="s">
        <v>192</v>
      </c>
      <c r="D100" s="208" t="s">
        <v>4</v>
      </c>
      <c r="E100" s="2159" t="s">
        <v>1523</v>
      </c>
      <c r="F100" s="2154" t="s">
        <v>1522</v>
      </c>
      <c r="G100" s="2643">
        <v>135</v>
      </c>
      <c r="H100" s="2543">
        <f>XM.HN!B72</f>
        <v>17</v>
      </c>
      <c r="I100" s="1782">
        <f>H100*8</f>
        <v>136</v>
      </c>
      <c r="J100" s="2494">
        <f>($G$100-I100)*8000/1000</f>
        <v>-8</v>
      </c>
      <c r="K100" s="1745" t="s">
        <v>8</v>
      </c>
      <c r="L100" s="1746">
        <f t="shared" ref="L100" si="30">IF($I$99="","",IF(J100&lt;0,0,J100))</f>
        <v>0</v>
      </c>
      <c r="M100" s="1776"/>
      <c r="N100" s="1747" t="s">
        <v>9</v>
      </c>
      <c r="O100" s="2564">
        <f>XM.HN!C72</f>
        <v>16.7</v>
      </c>
      <c r="P100" s="1782">
        <f>O100*8</f>
        <v>133.6</v>
      </c>
      <c r="Q100" s="2494">
        <f>($G$100-P100)*8000/1000</f>
        <v>11.200000000000045</v>
      </c>
      <c r="R100" s="1745" t="s">
        <v>8</v>
      </c>
      <c r="S100" s="1746">
        <f>IF($P$99="","",IF(Q100&lt;0,0,Q100))</f>
        <v>11.200000000000045</v>
      </c>
      <c r="T100" s="1776"/>
      <c r="U100" s="1747" t="s">
        <v>9</v>
      </c>
      <c r="V100" s="2564">
        <f>XM.HN!D72</f>
        <v>16.600000000000001</v>
      </c>
      <c r="W100" s="1782">
        <f>V100*8</f>
        <v>132.80000000000001</v>
      </c>
      <c r="X100" s="2494">
        <f>($G$100-W100)*8000/1000</f>
        <v>17.599999999999909</v>
      </c>
      <c r="Y100" s="1745" t="s">
        <v>8</v>
      </c>
      <c r="Z100" s="1746">
        <f t="shared" ref="Z100" si="31">IF($W$99="","",IF(X100&lt;0,0,X100))</f>
        <v>17.599999999999909</v>
      </c>
      <c r="AA100" s="1776"/>
      <c r="AB100" s="1747" t="s">
        <v>9</v>
      </c>
      <c r="AC100" s="2591">
        <f>XM.HN!E72</f>
        <v>16.899999999999999</v>
      </c>
      <c r="AD100" s="1782">
        <f>AC100*8</f>
        <v>135.19999999999999</v>
      </c>
      <c r="AE100" s="2494">
        <f>($G$100-AD100)*8000/1000</f>
        <v>-1.5999999999999091</v>
      </c>
      <c r="AF100" s="1745" t="s">
        <v>8</v>
      </c>
      <c r="AG100" s="1746">
        <f t="shared" ref="AG100" si="32">IF($AD$99="","",IF(AE100&lt;0,0,AE100))</f>
        <v>0</v>
      </c>
      <c r="AH100" s="1776"/>
      <c r="AI100" s="1747" t="s">
        <v>9</v>
      </c>
      <c r="AJ100" s="2546">
        <f>XM.HN!F72</f>
        <v>16.8</v>
      </c>
      <c r="AK100" s="1782">
        <f>AJ100*8</f>
        <v>134.4</v>
      </c>
      <c r="AL100" s="2494">
        <f>($G$100-AK100)*8000/1000</f>
        <v>4.7999999999999545</v>
      </c>
      <c r="AM100" s="1745" t="s">
        <v>8</v>
      </c>
      <c r="AN100" s="1746">
        <f>IF($AK$99="","",IF(AL100&lt;0,0,AL100))</f>
        <v>4.7999999999999545</v>
      </c>
      <c r="AO100" s="1776"/>
      <c r="AP100" s="1747" t="s">
        <v>9</v>
      </c>
      <c r="AQ100" s="2547">
        <f>XM.HN!G72</f>
        <v>16.600000000000001</v>
      </c>
      <c r="AR100" s="1782">
        <f>AQ100*8</f>
        <v>132.80000000000001</v>
      </c>
      <c r="AS100" s="2494">
        <f>($G$100-AR100)*8000/1000</f>
        <v>17.599999999999909</v>
      </c>
      <c r="AT100" s="1745" t="s">
        <v>8</v>
      </c>
      <c r="AU100" s="1746">
        <f t="shared" ref="AU100" si="33">IF($AR$99="","",IF(AS100&lt;0,0,AS100))</f>
        <v>17.599999999999909</v>
      </c>
      <c r="AV100" s="1776"/>
      <c r="AW100" s="1747" t="s">
        <v>9</v>
      </c>
      <c r="AY100" s="2174"/>
      <c r="AZ100" s="1047"/>
      <c r="BA100" s="1047"/>
      <c r="BB100" s="1047"/>
      <c r="BC100" s="1047"/>
      <c r="BD100" s="1047"/>
      <c r="BE100" s="1047"/>
      <c r="BF100" s="1047"/>
      <c r="BG100" s="1047"/>
      <c r="BH100" s="1047"/>
      <c r="BI100" s="1047"/>
      <c r="BJ100" s="1047"/>
      <c r="BK100" s="1047"/>
    </row>
    <row r="101" spans="1:63" ht="39.75" hidden="1" customHeight="1">
      <c r="A101" s="1726" t="s">
        <v>310</v>
      </c>
      <c r="B101" s="1035" t="s">
        <v>127</v>
      </c>
      <c r="C101" s="209" t="s">
        <v>194</v>
      </c>
      <c r="D101" s="208" t="s">
        <v>120</v>
      </c>
      <c r="E101" s="42" t="s">
        <v>1318</v>
      </c>
      <c r="F101" s="1903" t="s">
        <v>1308</v>
      </c>
      <c r="G101" s="2643"/>
      <c r="H101" s="2543"/>
      <c r="I101" s="1733">
        <f>XM.HN!B73</f>
        <v>3.64</v>
      </c>
      <c r="J101" s="2657"/>
      <c r="K101" s="1735"/>
      <c r="L101" s="1736"/>
      <c r="M101" s="1783"/>
      <c r="N101" s="1778"/>
      <c r="O101" s="2564"/>
      <c r="P101" s="1733">
        <f>XM.HN!C73</f>
        <v>3.58</v>
      </c>
      <c r="Q101" s="2657"/>
      <c r="R101" s="1735"/>
      <c r="S101" s="1736"/>
      <c r="T101" s="1783"/>
      <c r="U101" s="1778"/>
      <c r="V101" s="2564"/>
      <c r="W101" s="1733">
        <f>XM.HN!D73</f>
        <v>3.65</v>
      </c>
      <c r="X101" s="2657"/>
      <c r="Y101" s="1735"/>
      <c r="Z101" s="1736"/>
      <c r="AA101" s="1783"/>
      <c r="AB101" s="1760"/>
      <c r="AC101" s="2591"/>
      <c r="AD101" s="1733">
        <f>XM.HN!E73</f>
        <v>3.61</v>
      </c>
      <c r="AE101" s="2657"/>
      <c r="AF101" s="1735"/>
      <c r="AG101" s="1736"/>
      <c r="AH101" s="1783"/>
      <c r="AI101" s="1778"/>
      <c r="AJ101" s="2688"/>
      <c r="AK101" s="1733">
        <f>XM.HN!F73</f>
        <v>3.66</v>
      </c>
      <c r="AL101" s="2657"/>
      <c r="AM101" s="1735"/>
      <c r="AN101" s="1736"/>
      <c r="AO101" s="1783"/>
      <c r="AP101" s="1778"/>
      <c r="AQ101" s="2666"/>
      <c r="AR101" s="1733">
        <f>XM.HN!G73</f>
        <v>3.66</v>
      </c>
      <c r="AS101" s="2657"/>
      <c r="AT101" s="1769"/>
      <c r="AU101" s="1736"/>
      <c r="AV101" s="1783"/>
      <c r="AW101" s="1778"/>
      <c r="AY101" s="2174"/>
      <c r="AZ101" s="1047"/>
      <c r="BA101" s="1047"/>
      <c r="BB101" s="1047"/>
      <c r="BC101" s="1047"/>
      <c r="BD101" s="1047"/>
      <c r="BE101" s="1047"/>
      <c r="BF101" s="1047"/>
      <c r="BG101" s="1047"/>
      <c r="BH101" s="1047"/>
      <c r="BI101" s="1047"/>
      <c r="BJ101" s="1047"/>
      <c r="BK101" s="1047"/>
    </row>
    <row r="102" spans="1:63" ht="39.75" hidden="1" customHeight="1">
      <c r="A102" s="2803"/>
      <c r="B102" s="1273"/>
      <c r="C102" s="1016" t="s">
        <v>1495</v>
      </c>
      <c r="D102" s="208" t="s">
        <v>1663</v>
      </c>
      <c r="E102" s="42"/>
      <c r="F102" s="93"/>
      <c r="G102" s="2643"/>
      <c r="H102" s="2543">
        <f>XM.HN!B74</f>
        <v>5</v>
      </c>
      <c r="I102" s="1527">
        <f>H102*5*0.1*36.6-4</f>
        <v>87.5</v>
      </c>
      <c r="J102" s="2494">
        <f>($G$100-I102)*3360/1000</f>
        <v>159.6</v>
      </c>
      <c r="K102" s="1745" t="s">
        <v>8</v>
      </c>
      <c r="L102" s="1746">
        <f t="shared" ref="L102" si="34">IF(J102&lt;0,0,J102)</f>
        <v>159.6</v>
      </c>
      <c r="M102" s="2530"/>
      <c r="N102" s="1747" t="s">
        <v>9</v>
      </c>
      <c r="O102" s="2542">
        <f>XM.HN!C74</f>
        <v>0</v>
      </c>
      <c r="P102" s="1527">
        <f>O102*5*0.1*36.6-4</f>
        <v>-4</v>
      </c>
      <c r="Q102" s="2494">
        <f>($G$100-P102)*3360/1000</f>
        <v>467.04</v>
      </c>
      <c r="R102" s="1745" t="s">
        <v>8</v>
      </c>
      <c r="S102" s="1746">
        <f t="shared" ref="S102" si="35">IF(Q102&lt;0,0,Q102)</f>
        <v>467.04</v>
      </c>
      <c r="T102" s="2530"/>
      <c r="U102" s="1747" t="s">
        <v>9</v>
      </c>
      <c r="V102" s="2663">
        <f>XM.HN!D74</f>
        <v>0</v>
      </c>
      <c r="W102" s="1527">
        <f>V102*5*0.1*36.6-4</f>
        <v>-4</v>
      </c>
      <c r="X102" s="2494">
        <f>($G$100-W102)*3360/1000</f>
        <v>467.04</v>
      </c>
      <c r="Y102" s="1745" t="s">
        <v>8</v>
      </c>
      <c r="Z102" s="1746">
        <f t="shared" ref="Z102" si="36">IF(X102&lt;0,0,X102)</f>
        <v>467.04</v>
      </c>
      <c r="AA102" s="2530"/>
      <c r="AB102" s="1747" t="s">
        <v>9</v>
      </c>
      <c r="AC102" s="2663">
        <f>XM.HN!E74</f>
        <v>5</v>
      </c>
      <c r="AD102" s="1527">
        <f>AC102*5*0.1*36.6-4</f>
        <v>87.5</v>
      </c>
      <c r="AE102" s="2494">
        <f>($G$100-AD102)*3360/1000</f>
        <v>159.6</v>
      </c>
      <c r="AF102" s="1745" t="s">
        <v>8</v>
      </c>
      <c r="AG102" s="1746">
        <f t="shared" ref="AG102" si="37">IF(AE102&lt;0,0,AE102)</f>
        <v>159.6</v>
      </c>
      <c r="AH102" s="2530"/>
      <c r="AI102" s="1747" t="s">
        <v>9</v>
      </c>
      <c r="AJ102" s="2663">
        <f>XM.HN!F74</f>
        <v>0</v>
      </c>
      <c r="AK102" s="1527">
        <f>AJ102*5*0.1*36.6-4</f>
        <v>-4</v>
      </c>
      <c r="AL102" s="2494">
        <f>($G$100-AK102)*3360/1000</f>
        <v>467.04</v>
      </c>
      <c r="AM102" s="1745" t="s">
        <v>8</v>
      </c>
      <c r="AN102" s="1746">
        <f t="shared" ref="AN102" si="38">IF(AL102&lt;0,0,AL102)</f>
        <v>467.04</v>
      </c>
      <c r="AO102" s="2530"/>
      <c r="AP102" s="1747" t="s">
        <v>9</v>
      </c>
      <c r="AQ102" s="2547">
        <f>XM.HN!G74</f>
        <v>0</v>
      </c>
      <c r="AR102" s="1527">
        <f>AQ102*5*0.1*36.6-4</f>
        <v>-4</v>
      </c>
      <c r="AS102" s="2494">
        <f>($G$100-AR102)*3360/1000</f>
        <v>467.04</v>
      </c>
      <c r="AT102" s="1745" t="s">
        <v>8</v>
      </c>
      <c r="AU102" s="1746">
        <f t="shared" ref="AU102" si="39">IF(AS102&lt;0,0,AS102)</f>
        <v>467.04</v>
      </c>
      <c r="AV102" s="2530"/>
      <c r="AW102" s="1747" t="s">
        <v>9</v>
      </c>
      <c r="AY102" s="41"/>
      <c r="AZ102" s="1047"/>
      <c r="BA102" s="1047"/>
      <c r="BB102" s="1047"/>
      <c r="BC102" s="1047"/>
      <c r="BD102" s="1047"/>
      <c r="BE102" s="1047"/>
      <c r="BF102" s="1047"/>
      <c r="BG102" s="1047"/>
      <c r="BH102" s="1047"/>
      <c r="BI102" s="1047"/>
      <c r="BJ102" s="1047"/>
      <c r="BK102" s="1047"/>
    </row>
    <row r="103" spans="1:63" s="206" customFormat="1" ht="54" customHeight="1">
      <c r="A103" s="285" t="s">
        <v>73</v>
      </c>
      <c r="B103" s="286"/>
      <c r="C103" s="286"/>
      <c r="D103" s="286"/>
      <c r="E103" s="283"/>
      <c r="F103" s="283"/>
      <c r="G103" s="2626"/>
      <c r="H103" s="2499"/>
      <c r="I103" s="1405"/>
      <c r="J103" s="2497"/>
      <c r="K103" s="1405"/>
      <c r="L103" s="1405"/>
      <c r="M103" s="2207"/>
      <c r="N103" s="1405"/>
      <c r="O103" s="2499"/>
      <c r="P103" s="287"/>
      <c r="Q103" s="2497"/>
      <c r="R103" s="1405"/>
      <c r="S103" s="1405"/>
      <c r="T103" s="1628"/>
      <c r="U103" s="287"/>
      <c r="V103" s="2497"/>
      <c r="W103" s="1405"/>
      <c r="X103" s="2497"/>
      <c r="Y103" s="1405"/>
      <c r="Z103" s="1405"/>
      <c r="AA103" s="2207"/>
      <c r="AB103" s="1405"/>
      <c r="AC103" s="2497"/>
      <c r="AD103" s="1405"/>
      <c r="AE103" s="2497"/>
      <c r="AF103" s="1405"/>
      <c r="AG103" s="1405"/>
      <c r="AH103" s="2207"/>
      <c r="AI103" s="1405"/>
      <c r="AJ103" s="2598"/>
      <c r="AK103" s="287"/>
      <c r="AL103" s="2598"/>
      <c r="AM103" s="287"/>
      <c r="AN103" s="287"/>
      <c r="AO103" s="1632"/>
      <c r="AP103" s="287"/>
      <c r="AQ103" s="2598"/>
      <c r="AR103" s="287"/>
      <c r="AS103" s="2598"/>
      <c r="AT103" s="287"/>
      <c r="AU103" s="287"/>
      <c r="AV103" s="1632"/>
      <c r="AW103" s="2137"/>
    </row>
    <row r="104" spans="1:63" ht="50.25" customHeight="1">
      <c r="A104" s="1721" t="s">
        <v>238</v>
      </c>
      <c r="B104" s="1034" t="s">
        <v>317</v>
      </c>
      <c r="C104" s="1032" t="s">
        <v>61</v>
      </c>
      <c r="D104" s="278" t="s">
        <v>63</v>
      </c>
      <c r="E104" s="1388" t="s">
        <v>1303</v>
      </c>
      <c r="F104" s="1895" t="s">
        <v>1302</v>
      </c>
      <c r="G104" s="2627"/>
      <c r="H104" s="2628"/>
      <c r="I104" s="1727" t="s">
        <v>45</v>
      </c>
      <c r="J104" s="2498"/>
      <c r="K104" s="1728"/>
      <c r="L104" s="1728" t="s">
        <v>62</v>
      </c>
      <c r="M104" s="1777"/>
      <c r="N104" s="1729"/>
      <c r="O104" s="2549"/>
      <c r="P104" s="1727" t="s">
        <v>45</v>
      </c>
      <c r="Q104" s="2498"/>
      <c r="R104" s="1728"/>
      <c r="S104" s="1728" t="s">
        <v>62</v>
      </c>
      <c r="T104" s="1777"/>
      <c r="U104" s="1780"/>
      <c r="V104" s="2579"/>
      <c r="W104" s="2257" t="s">
        <v>45</v>
      </c>
      <c r="X104" s="2680"/>
      <c r="Y104" s="1784"/>
      <c r="Z104" s="1784" t="s">
        <v>62</v>
      </c>
      <c r="AA104" s="1785"/>
      <c r="AB104" s="1786"/>
      <c r="AC104" s="2593"/>
      <c r="AD104" s="1727" t="s">
        <v>45</v>
      </c>
      <c r="AE104" s="2498"/>
      <c r="AF104" s="1728"/>
      <c r="AG104" s="1728" t="s">
        <v>62</v>
      </c>
      <c r="AH104" s="1777"/>
      <c r="AI104" s="1780"/>
      <c r="AJ104" s="2579"/>
      <c r="AK104" s="1727" t="s">
        <v>45</v>
      </c>
      <c r="AL104" s="2498"/>
      <c r="AM104" s="1728"/>
      <c r="AN104" s="1728" t="s">
        <v>62</v>
      </c>
      <c r="AO104" s="1777"/>
      <c r="AP104" s="1780"/>
      <c r="AQ104" s="2579"/>
      <c r="AR104" s="1727" t="s">
        <v>45</v>
      </c>
      <c r="AS104" s="2498"/>
      <c r="AT104" s="1728"/>
      <c r="AU104" s="1728" t="s">
        <v>62</v>
      </c>
      <c r="AV104" s="1777"/>
      <c r="AW104" s="1729"/>
      <c r="AY104" s="1046" t="s">
        <v>1521</v>
      </c>
    </row>
    <row r="105" spans="1:63" ht="45" customHeight="1">
      <c r="A105" s="1718" t="s">
        <v>299</v>
      </c>
      <c r="B105" s="1035" t="s">
        <v>127</v>
      </c>
      <c r="C105" s="1019" t="s">
        <v>65</v>
      </c>
      <c r="D105" s="95" t="s">
        <v>105</v>
      </c>
      <c r="E105" s="98" t="s">
        <v>1343</v>
      </c>
      <c r="F105" s="1896" t="s">
        <v>1324</v>
      </c>
      <c r="G105" s="2647"/>
      <c r="H105" s="2636"/>
      <c r="I105" s="3033">
        <f>'XM.FILE GOC'!I105</f>
        <v>60</v>
      </c>
      <c r="J105" s="3026"/>
      <c r="K105" s="3026"/>
      <c r="L105" s="3026">
        <f>'XM.FILE GOC'!L105</f>
        <v>60</v>
      </c>
      <c r="M105" s="3026"/>
      <c r="N105" s="3034"/>
      <c r="O105" s="2550"/>
      <c r="P105" s="3033">
        <f>'XM.FILE GOC'!P105</f>
        <v>60</v>
      </c>
      <c r="Q105" s="3026"/>
      <c r="R105" s="3026"/>
      <c r="S105" s="3026">
        <f>'XM.FILE GOC'!S105</f>
        <v>60</v>
      </c>
      <c r="T105" s="3026"/>
      <c r="U105" s="3034"/>
      <c r="V105" s="2551"/>
      <c r="W105" s="3033">
        <f>'XM.FILE GOC'!W105</f>
        <v>60</v>
      </c>
      <c r="X105" s="3026"/>
      <c r="Y105" s="3026"/>
      <c r="Z105" s="3026">
        <f>'XM.FILE GOC'!Z105</f>
        <v>60</v>
      </c>
      <c r="AA105" s="3026"/>
      <c r="AB105" s="3034"/>
      <c r="AC105" s="2551"/>
      <c r="AD105" s="3033">
        <f>'XM.FILE GOC'!AD105</f>
        <v>61</v>
      </c>
      <c r="AE105" s="3026"/>
      <c r="AF105" s="3026"/>
      <c r="AG105" s="3026">
        <f>'XM.FILE GOC'!AG105</f>
        <v>60</v>
      </c>
      <c r="AH105" s="3026"/>
      <c r="AI105" s="3027"/>
      <c r="AJ105" s="2601"/>
      <c r="AK105" s="3033">
        <f>'XM.FILE GOC'!AK105</f>
        <v>61</v>
      </c>
      <c r="AL105" s="3026"/>
      <c r="AM105" s="3026"/>
      <c r="AN105" s="3026">
        <f>'XM.FILE GOC'!AN105</f>
        <v>60</v>
      </c>
      <c r="AO105" s="3026"/>
      <c r="AP105" s="3027"/>
      <c r="AQ105" s="2601"/>
      <c r="AR105" s="3033">
        <f>'XM.FILE GOC'!AR105</f>
        <v>61</v>
      </c>
      <c r="AS105" s="3026"/>
      <c r="AT105" s="3026"/>
      <c r="AU105" s="3026">
        <f>'XM.FILE GOC'!AU105</f>
        <v>60</v>
      </c>
      <c r="AV105" s="3026"/>
      <c r="AW105" s="3027"/>
      <c r="AY105" s="2174"/>
    </row>
    <row r="106" spans="1:63" ht="45" customHeight="1">
      <c r="A106" s="1718" t="s">
        <v>300</v>
      </c>
      <c r="B106" s="1035" t="s">
        <v>127</v>
      </c>
      <c r="C106" s="1019" t="s">
        <v>66</v>
      </c>
      <c r="D106" s="95" t="s">
        <v>105</v>
      </c>
      <c r="E106" s="98" t="s">
        <v>1343</v>
      </c>
      <c r="F106" s="1896" t="s">
        <v>1324</v>
      </c>
      <c r="G106" s="2647"/>
      <c r="H106" s="2636"/>
      <c r="I106" s="3033">
        <f>'XM.FILE GOC'!I106</f>
        <v>61</v>
      </c>
      <c r="J106" s="3026"/>
      <c r="K106" s="3026"/>
      <c r="L106" s="3026">
        <f>'XM.FILE GOC'!L106</f>
        <v>60</v>
      </c>
      <c r="M106" s="3026"/>
      <c r="N106" s="3034"/>
      <c r="O106" s="2550"/>
      <c r="P106" s="3033">
        <f>'XM.FILE GOC'!P106</f>
        <v>60</v>
      </c>
      <c r="Q106" s="3026"/>
      <c r="R106" s="3026"/>
      <c r="S106" s="3026">
        <f>'XM.FILE GOC'!S106</f>
        <v>60</v>
      </c>
      <c r="T106" s="3026"/>
      <c r="U106" s="3034"/>
      <c r="V106" s="2551"/>
      <c r="W106" s="3033">
        <f>'XM.FILE GOC'!W106</f>
        <v>62</v>
      </c>
      <c r="X106" s="3026"/>
      <c r="Y106" s="3026"/>
      <c r="Z106" s="3026">
        <f>'XM.FILE GOC'!Z106</f>
        <v>61</v>
      </c>
      <c r="AA106" s="3026"/>
      <c r="AB106" s="3034"/>
      <c r="AC106" s="2551"/>
      <c r="AD106" s="3033">
        <f>'XM.FILE GOC'!AD106</f>
        <v>61</v>
      </c>
      <c r="AE106" s="3026"/>
      <c r="AF106" s="3026"/>
      <c r="AG106" s="3026">
        <f>'XM.FILE GOC'!AG106</f>
        <v>60</v>
      </c>
      <c r="AH106" s="3026"/>
      <c r="AI106" s="3027"/>
      <c r="AJ106" s="2601"/>
      <c r="AK106" s="3033">
        <f>'XM.FILE GOC'!AK106</f>
        <v>61</v>
      </c>
      <c r="AL106" s="3026"/>
      <c r="AM106" s="3026"/>
      <c r="AN106" s="3026">
        <f>'XM.FILE GOC'!AN106</f>
        <v>60</v>
      </c>
      <c r="AO106" s="3026"/>
      <c r="AP106" s="3027"/>
      <c r="AQ106" s="2601"/>
      <c r="AR106" s="3033">
        <f>'XM.FILE GOC'!AR106</f>
        <v>62</v>
      </c>
      <c r="AS106" s="3026"/>
      <c r="AT106" s="3026"/>
      <c r="AU106" s="3026">
        <f>'XM.FILE GOC'!AU106</f>
        <v>61</v>
      </c>
      <c r="AV106" s="3026"/>
      <c r="AW106" s="3027"/>
      <c r="AY106" s="2174"/>
    </row>
    <row r="107" spans="1:63" ht="45" customHeight="1">
      <c r="A107" s="1718" t="s">
        <v>301</v>
      </c>
      <c r="B107" s="1035" t="s">
        <v>127</v>
      </c>
      <c r="C107" s="1019" t="s">
        <v>68</v>
      </c>
      <c r="D107" s="95" t="s">
        <v>105</v>
      </c>
      <c r="E107" s="98" t="s">
        <v>1343</v>
      </c>
      <c r="F107" s="1896" t="s">
        <v>1324</v>
      </c>
      <c r="G107" s="2647"/>
      <c r="H107" s="2636"/>
      <c r="I107" s="3033">
        <f>'XM.FILE GOC'!I107</f>
        <v>60</v>
      </c>
      <c r="J107" s="3026"/>
      <c r="K107" s="3026"/>
      <c r="L107" s="3026">
        <f>'XM.FILE GOC'!L107</f>
        <v>60</v>
      </c>
      <c r="M107" s="3026"/>
      <c r="N107" s="3034"/>
      <c r="O107" s="2550"/>
      <c r="P107" s="3033">
        <f>'XM.FILE GOC'!P107</f>
        <v>60</v>
      </c>
      <c r="Q107" s="3026"/>
      <c r="R107" s="3026"/>
      <c r="S107" s="3026">
        <f>'XM.FILE GOC'!S107</f>
        <v>61</v>
      </c>
      <c r="T107" s="3026"/>
      <c r="U107" s="3034"/>
      <c r="V107" s="2551"/>
      <c r="W107" s="3033">
        <f>'XM.FILE GOC'!W107</f>
        <v>60</v>
      </c>
      <c r="X107" s="3026"/>
      <c r="Y107" s="3026"/>
      <c r="Z107" s="3026">
        <f>'XM.FILE GOC'!Z107</f>
        <v>60</v>
      </c>
      <c r="AA107" s="3026"/>
      <c r="AB107" s="3034"/>
      <c r="AC107" s="2551"/>
      <c r="AD107" s="3033">
        <f>'XM.FILE GOC'!AD107</f>
        <v>61</v>
      </c>
      <c r="AE107" s="3026"/>
      <c r="AF107" s="3026"/>
      <c r="AG107" s="3026">
        <f>'XM.FILE GOC'!AG107</f>
        <v>60</v>
      </c>
      <c r="AH107" s="3026"/>
      <c r="AI107" s="3027"/>
      <c r="AJ107" s="2601"/>
      <c r="AK107" s="3033">
        <f>'XM.FILE GOC'!AK107</f>
        <v>61</v>
      </c>
      <c r="AL107" s="3026"/>
      <c r="AM107" s="3026"/>
      <c r="AN107" s="3026">
        <f>'XM.FILE GOC'!AN107</f>
        <v>60</v>
      </c>
      <c r="AO107" s="3026"/>
      <c r="AP107" s="3027"/>
      <c r="AQ107" s="2601"/>
      <c r="AR107" s="3033">
        <f>'XM.FILE GOC'!AR107</f>
        <v>61</v>
      </c>
      <c r="AS107" s="3026"/>
      <c r="AT107" s="3026"/>
      <c r="AU107" s="3026">
        <f>'XM.FILE GOC'!AU107</f>
        <v>60</v>
      </c>
      <c r="AV107" s="3026"/>
      <c r="AW107" s="3027"/>
      <c r="AY107" s="2174"/>
    </row>
    <row r="108" spans="1:63" ht="45" customHeight="1">
      <c r="A108" s="1718" t="s">
        <v>302</v>
      </c>
      <c r="B108" s="1035" t="s">
        <v>127</v>
      </c>
      <c r="C108" s="1365" t="s">
        <v>1281</v>
      </c>
      <c r="D108" s="95" t="s">
        <v>105</v>
      </c>
      <c r="E108" s="98" t="s">
        <v>1343</v>
      </c>
      <c r="F108" s="1896" t="s">
        <v>1324</v>
      </c>
      <c r="G108" s="2647"/>
      <c r="H108" s="2636"/>
      <c r="I108" s="3033">
        <f>'XM.FILE GOC'!I108</f>
        <v>61</v>
      </c>
      <c r="J108" s="3026"/>
      <c r="K108" s="3026"/>
      <c r="L108" s="3026">
        <f>'XM.FILE GOC'!L108</f>
        <v>60</v>
      </c>
      <c r="M108" s="3026"/>
      <c r="N108" s="3034"/>
      <c r="O108" s="2550"/>
      <c r="P108" s="3033">
        <f>'XM.FILE GOC'!P108</f>
        <v>59</v>
      </c>
      <c r="Q108" s="3026"/>
      <c r="R108" s="3026"/>
      <c r="S108" s="3026">
        <f>'XM.FILE GOC'!S108</f>
        <v>60</v>
      </c>
      <c r="T108" s="3026"/>
      <c r="U108" s="3034"/>
      <c r="V108" s="2551"/>
      <c r="W108" s="3033">
        <f>'XM.FILE GOC'!W108</f>
        <v>60</v>
      </c>
      <c r="X108" s="3026"/>
      <c r="Y108" s="3026"/>
      <c r="Z108" s="3026">
        <f>'XM.FILE GOC'!Z108</f>
        <v>60</v>
      </c>
      <c r="AA108" s="3026"/>
      <c r="AB108" s="3034"/>
      <c r="AC108" s="2551"/>
      <c r="AD108" s="3033">
        <f>'XM.FILE GOC'!AD108</f>
        <v>60</v>
      </c>
      <c r="AE108" s="3026"/>
      <c r="AF108" s="3026"/>
      <c r="AG108" s="3026">
        <f>'XM.FILE GOC'!AG108</f>
        <v>59</v>
      </c>
      <c r="AH108" s="3026"/>
      <c r="AI108" s="3027"/>
      <c r="AJ108" s="2601"/>
      <c r="AK108" s="3033">
        <f>'XM.FILE GOC'!AK108</f>
        <v>60</v>
      </c>
      <c r="AL108" s="3026"/>
      <c r="AM108" s="3026"/>
      <c r="AN108" s="3026">
        <f>'XM.FILE GOC'!AN108</f>
        <v>59</v>
      </c>
      <c r="AO108" s="3026"/>
      <c r="AP108" s="3027"/>
      <c r="AQ108" s="2601"/>
      <c r="AR108" s="3033">
        <f>'XM.FILE GOC'!AR108</f>
        <v>60</v>
      </c>
      <c r="AS108" s="3026"/>
      <c r="AT108" s="3026"/>
      <c r="AU108" s="3026">
        <f>'XM.FILE GOC'!AU108</f>
        <v>59</v>
      </c>
      <c r="AV108" s="3026"/>
      <c r="AW108" s="3027"/>
      <c r="AY108" s="2174"/>
    </row>
    <row r="109" spans="1:63" ht="45" customHeight="1">
      <c r="A109" s="1718" t="s">
        <v>313</v>
      </c>
      <c r="B109" s="1035" t="s">
        <v>127</v>
      </c>
      <c r="C109" s="1019" t="s">
        <v>69</v>
      </c>
      <c r="D109" s="95" t="s">
        <v>105</v>
      </c>
      <c r="E109" s="98" t="s">
        <v>1536</v>
      </c>
      <c r="F109" s="1904" t="s">
        <v>1537</v>
      </c>
      <c r="G109" s="2647"/>
      <c r="H109" s="2636"/>
      <c r="I109" s="3028">
        <f>'XM.FILE GOC'!I109</f>
        <v>26</v>
      </c>
      <c r="J109" s="3024"/>
      <c r="K109" s="3024"/>
      <c r="L109" s="3024">
        <f>'XM.FILE GOC'!L109</f>
        <v>26</v>
      </c>
      <c r="M109" s="3024"/>
      <c r="N109" s="3024"/>
      <c r="O109" s="3025"/>
      <c r="P109" s="3028">
        <f>'XM.FILE GOC'!P109</f>
        <v>26</v>
      </c>
      <c r="Q109" s="3024"/>
      <c r="R109" s="3024"/>
      <c r="S109" s="3024">
        <f>'XM.FILE GOC'!S109</f>
        <v>26</v>
      </c>
      <c r="T109" s="3024"/>
      <c r="U109" s="3024"/>
      <c r="V109" s="3025"/>
      <c r="W109" s="3028">
        <f>'XM.FILE GOC'!W109</f>
        <v>26</v>
      </c>
      <c r="X109" s="3024"/>
      <c r="Y109" s="3024"/>
      <c r="Z109" s="3024">
        <f>'XM.FILE GOC'!Z109</f>
        <v>26</v>
      </c>
      <c r="AA109" s="3024"/>
      <c r="AB109" s="3024"/>
      <c r="AC109" s="3025"/>
      <c r="AD109" s="3028">
        <f>'XM.FILE GOC'!AD109</f>
        <v>25</v>
      </c>
      <c r="AE109" s="3024"/>
      <c r="AF109" s="3024"/>
      <c r="AG109" s="3024">
        <f>'XM.FILE GOC'!AG109</f>
        <v>24</v>
      </c>
      <c r="AH109" s="3024"/>
      <c r="AI109" s="3024"/>
      <c r="AJ109" s="3025"/>
      <c r="AK109" s="3028">
        <f>'XM.FILE GOC'!AK109</f>
        <v>25</v>
      </c>
      <c r="AL109" s="3024"/>
      <c r="AM109" s="3024"/>
      <c r="AN109" s="3024">
        <f>'XM.FILE GOC'!AN109</f>
        <v>24</v>
      </c>
      <c r="AO109" s="3024"/>
      <c r="AP109" s="3024"/>
      <c r="AQ109" s="3025"/>
      <c r="AR109" s="3028">
        <f>'XM.FILE GOC'!AR109</f>
        <v>26</v>
      </c>
      <c r="AS109" s="3024"/>
      <c r="AT109" s="3024"/>
      <c r="AU109" s="3024">
        <f>'XM.FILE GOC'!AU109</f>
        <v>25</v>
      </c>
      <c r="AV109" s="3024"/>
      <c r="AW109" s="3025"/>
      <c r="AY109" s="2174"/>
    </row>
    <row r="110" spans="1:63" ht="45" customHeight="1">
      <c r="A110" s="1719" t="s">
        <v>303</v>
      </c>
      <c r="B110" s="1035" t="s">
        <v>127</v>
      </c>
      <c r="C110" s="1354" t="s">
        <v>1277</v>
      </c>
      <c r="D110" s="95" t="s">
        <v>105</v>
      </c>
      <c r="E110" s="98" t="s">
        <v>1530</v>
      </c>
      <c r="F110" s="1904" t="s">
        <v>1531</v>
      </c>
      <c r="G110" s="2647"/>
      <c r="H110" s="2636"/>
      <c r="I110" s="3033">
        <f>'XM.FILE GOC'!I110</f>
        <v>32</v>
      </c>
      <c r="J110" s="3026"/>
      <c r="K110" s="3034"/>
      <c r="L110" s="3026">
        <f>'XM.FILE GOC'!L110</f>
        <v>33</v>
      </c>
      <c r="M110" s="3026"/>
      <c r="N110" s="3027"/>
      <c r="O110" s="2549"/>
      <c r="P110" s="3033">
        <f>'XM.FILE GOC'!P110</f>
        <v>33</v>
      </c>
      <c r="Q110" s="3026"/>
      <c r="R110" s="3034"/>
      <c r="S110" s="3026">
        <f>'XM.FILE GOC'!S110</f>
        <v>33</v>
      </c>
      <c r="T110" s="3026"/>
      <c r="U110" s="3027"/>
      <c r="V110" s="2579"/>
      <c r="W110" s="3033">
        <f>'XM.FILE GOC'!W110</f>
        <v>33</v>
      </c>
      <c r="X110" s="3026"/>
      <c r="Y110" s="3034"/>
      <c r="Z110" s="3026">
        <f>'XM.FILE GOC'!Z110</f>
        <v>32</v>
      </c>
      <c r="AA110" s="3026"/>
      <c r="AB110" s="3027"/>
      <c r="AC110" s="2593"/>
      <c r="AD110" s="3033">
        <f>'XM.FILE GOC'!AD110</f>
        <v>34</v>
      </c>
      <c r="AE110" s="3026"/>
      <c r="AF110" s="3034"/>
      <c r="AG110" s="3026">
        <f>'XM.FILE GOC'!AG110</f>
        <v>33</v>
      </c>
      <c r="AH110" s="3026"/>
      <c r="AI110" s="3027"/>
      <c r="AJ110" s="2579"/>
      <c r="AK110" s="3033">
        <f>'XM.FILE GOC'!AK110</f>
        <v>34</v>
      </c>
      <c r="AL110" s="3026"/>
      <c r="AM110" s="3034"/>
      <c r="AN110" s="3026">
        <f>'XM.FILE GOC'!AN110</f>
        <v>33</v>
      </c>
      <c r="AO110" s="3026"/>
      <c r="AP110" s="3027"/>
      <c r="AQ110" s="2579"/>
      <c r="AR110" s="3033">
        <f>'XM.FILE GOC'!AR110</f>
        <v>34</v>
      </c>
      <c r="AS110" s="3026"/>
      <c r="AT110" s="3034"/>
      <c r="AU110" s="3026">
        <f>'XM.FILE GOC'!AU110</f>
        <v>33</v>
      </c>
      <c r="AV110" s="3026"/>
      <c r="AW110" s="3027"/>
      <c r="AY110" s="2174"/>
    </row>
    <row r="111" spans="1:63" ht="45" customHeight="1">
      <c r="A111" s="1719" t="s">
        <v>304</v>
      </c>
      <c r="B111" s="1035" t="s">
        <v>127</v>
      </c>
      <c r="C111" s="1019" t="s">
        <v>70</v>
      </c>
      <c r="D111" s="95" t="s">
        <v>105</v>
      </c>
      <c r="E111" s="98" t="s">
        <v>1342</v>
      </c>
      <c r="F111" s="1904" t="s">
        <v>1324</v>
      </c>
      <c r="G111" s="2647"/>
      <c r="H111" s="2636"/>
      <c r="I111" s="3033">
        <f>'XM.FILE GOC'!I111</f>
        <v>55</v>
      </c>
      <c r="J111" s="3026"/>
      <c r="K111" s="3026"/>
      <c r="L111" s="3032">
        <f>'XM.FILE GOC'!L111</f>
        <v>56</v>
      </c>
      <c r="M111" s="3026"/>
      <c r="N111" s="3026"/>
      <c r="O111" s="2565"/>
      <c r="P111" s="3033">
        <f>'XM.FILE GOC'!P111</f>
        <v>55</v>
      </c>
      <c r="Q111" s="3026"/>
      <c r="R111" s="3026"/>
      <c r="S111" s="3032">
        <f>'XM.FILE GOC'!S111</f>
        <v>56</v>
      </c>
      <c r="T111" s="3026"/>
      <c r="U111" s="3026"/>
      <c r="V111" s="2565"/>
      <c r="W111" s="3033">
        <f>'XM.FILE GOC'!W111</f>
        <v>56</v>
      </c>
      <c r="X111" s="3026"/>
      <c r="Y111" s="3026"/>
      <c r="Z111" s="3032">
        <f>'XM.FILE GOC'!Z111</f>
        <v>55</v>
      </c>
      <c r="AA111" s="3026"/>
      <c r="AB111" s="3026"/>
      <c r="AC111" s="2565"/>
      <c r="AD111" s="3033">
        <f>'XM.FILE GOC'!AD111</f>
        <v>57</v>
      </c>
      <c r="AE111" s="3026"/>
      <c r="AF111" s="3026"/>
      <c r="AG111" s="3032">
        <f>'XM.FILE GOC'!AG111</f>
        <v>56</v>
      </c>
      <c r="AH111" s="3026"/>
      <c r="AI111" s="3026"/>
      <c r="AJ111" s="2565"/>
      <c r="AK111" s="3033">
        <f>'XM.FILE GOC'!AK111</f>
        <v>58</v>
      </c>
      <c r="AL111" s="3026"/>
      <c r="AM111" s="3026"/>
      <c r="AN111" s="3032">
        <f>'XM.FILE GOC'!AN111</f>
        <v>57</v>
      </c>
      <c r="AO111" s="3026"/>
      <c r="AP111" s="3026"/>
      <c r="AQ111" s="2565"/>
      <c r="AR111" s="3033">
        <f>'XM.FILE GOC'!AR111</f>
        <v>59</v>
      </c>
      <c r="AS111" s="3026"/>
      <c r="AT111" s="3026"/>
      <c r="AU111" s="3026">
        <f>'XM.FILE GOC'!AU111</f>
        <v>58</v>
      </c>
      <c r="AV111" s="3026"/>
      <c r="AW111" s="3027"/>
      <c r="AY111" s="2174"/>
    </row>
    <row r="112" spans="1:63" ht="45" customHeight="1">
      <c r="A112" s="1045" t="s">
        <v>305</v>
      </c>
      <c r="B112" s="1035" t="s">
        <v>127</v>
      </c>
      <c r="C112" s="1019" t="s">
        <v>71</v>
      </c>
      <c r="D112" s="95" t="s">
        <v>105</v>
      </c>
      <c r="E112" s="98" t="s">
        <v>1532</v>
      </c>
      <c r="F112" s="1904" t="s">
        <v>1520</v>
      </c>
      <c r="G112" s="2647"/>
      <c r="H112" s="2636"/>
      <c r="I112" s="3051" t="s">
        <v>1275</v>
      </c>
      <c r="J112" s="3052"/>
      <c r="K112" s="3053"/>
      <c r="L112" s="3026">
        <f>'XM.FILE GOC'!L112</f>
        <v>90</v>
      </c>
      <c r="M112" s="3026"/>
      <c r="N112" s="3027"/>
      <c r="O112" s="2559"/>
      <c r="P112" s="3029" t="s">
        <v>1275</v>
      </c>
      <c r="Q112" s="3030"/>
      <c r="R112" s="3031"/>
      <c r="S112" s="3026">
        <f>'XM.FILE GOC'!S112</f>
        <v>91</v>
      </c>
      <c r="T112" s="3026"/>
      <c r="U112" s="3027"/>
      <c r="V112" s="2559"/>
      <c r="W112" s="3029" t="s">
        <v>1275</v>
      </c>
      <c r="X112" s="3030"/>
      <c r="Y112" s="3031"/>
      <c r="Z112" s="3026">
        <f>'XM.FILE GOC'!Z112</f>
        <v>90</v>
      </c>
      <c r="AA112" s="3026"/>
      <c r="AB112" s="3027"/>
      <c r="AC112" s="2559"/>
      <c r="AD112" s="3029" t="s">
        <v>1275</v>
      </c>
      <c r="AE112" s="3030"/>
      <c r="AF112" s="3031"/>
      <c r="AG112" s="3026">
        <f>'XM.FILE GOC'!AG112</f>
        <v>94</v>
      </c>
      <c r="AH112" s="3026"/>
      <c r="AI112" s="3027"/>
      <c r="AJ112" s="2559"/>
      <c r="AK112" s="3029" t="s">
        <v>1275</v>
      </c>
      <c r="AL112" s="3030"/>
      <c r="AM112" s="3031"/>
      <c r="AN112" s="3026">
        <f>'XM.FILE GOC'!AN112</f>
        <v>92</v>
      </c>
      <c r="AO112" s="3026"/>
      <c r="AP112" s="3027"/>
      <c r="AQ112" s="2559"/>
      <c r="AR112" s="3029" t="s">
        <v>1275</v>
      </c>
      <c r="AS112" s="3030"/>
      <c r="AT112" s="3031"/>
      <c r="AU112" s="3026">
        <f>'XM.FILE GOC'!AU112</f>
        <v>92</v>
      </c>
      <c r="AV112" s="3026"/>
      <c r="AW112" s="3027"/>
      <c r="AY112" s="2174"/>
    </row>
    <row r="113" spans="1:51" ht="45" customHeight="1">
      <c r="A113" s="1719"/>
      <c r="B113" s="1374"/>
      <c r="C113" s="1381" t="s">
        <v>1288</v>
      </c>
      <c r="D113" s="95" t="s">
        <v>105</v>
      </c>
      <c r="E113" s="98" t="s">
        <v>1347</v>
      </c>
      <c r="F113" s="1896" t="s">
        <v>1535</v>
      </c>
      <c r="G113" s="2648"/>
      <c r="H113" s="2636"/>
      <c r="I113" s="3035">
        <f>'XM.FILE GOC'!I113</f>
        <v>58</v>
      </c>
      <c r="J113" s="3022"/>
      <c r="K113" s="3036"/>
      <c r="L113" s="3022">
        <f>'XM.FILE GOC'!L113</f>
        <v>58</v>
      </c>
      <c r="M113" s="3022"/>
      <c r="N113" s="3023"/>
      <c r="O113" s="2550"/>
      <c r="P113" s="3035">
        <f>'XM.FILE GOC'!P113</f>
        <v>60</v>
      </c>
      <c r="Q113" s="3022"/>
      <c r="R113" s="3036"/>
      <c r="S113" s="3022">
        <f>'XM.FILE GOC'!S113</f>
        <v>59</v>
      </c>
      <c r="T113" s="3022"/>
      <c r="U113" s="3023"/>
      <c r="V113" s="2584"/>
      <c r="W113" s="3035">
        <f>'XM.FILE GOC'!W113</f>
        <v>59</v>
      </c>
      <c r="X113" s="3022"/>
      <c r="Y113" s="3036"/>
      <c r="Z113" s="3022">
        <f>'XM.FILE GOC'!Z113</f>
        <v>60</v>
      </c>
      <c r="AA113" s="3022"/>
      <c r="AB113" s="3023"/>
      <c r="AC113" s="2594"/>
      <c r="AD113" s="3035">
        <f>'XM.FILE GOC'!AD113</f>
        <v>60</v>
      </c>
      <c r="AE113" s="3022"/>
      <c r="AF113" s="3036"/>
      <c r="AG113" s="3022">
        <f>'XM.FILE GOC'!AG113</f>
        <v>59</v>
      </c>
      <c r="AH113" s="3022"/>
      <c r="AI113" s="3023"/>
      <c r="AJ113" s="2584"/>
      <c r="AK113" s="3035">
        <f>'XM.FILE GOC'!AK113</f>
        <v>59</v>
      </c>
      <c r="AL113" s="3022"/>
      <c r="AM113" s="3036"/>
      <c r="AN113" s="3022">
        <f>'XM.FILE GOC'!AN113</f>
        <v>58</v>
      </c>
      <c r="AO113" s="3022"/>
      <c r="AP113" s="3023"/>
      <c r="AQ113" s="2584"/>
      <c r="AR113" s="3035">
        <f>'XM.FILE GOC'!AR113</f>
        <v>59</v>
      </c>
      <c r="AS113" s="3022"/>
      <c r="AT113" s="3036"/>
      <c r="AU113" s="3022">
        <f>'XM.FILE GOC'!AU113</f>
        <v>58</v>
      </c>
      <c r="AV113" s="3022"/>
      <c r="AW113" s="3023"/>
      <c r="AY113" s="2174"/>
    </row>
    <row r="114" spans="1:51" ht="45" customHeight="1">
      <c r="A114" s="1719"/>
      <c r="B114" s="2168"/>
      <c r="C114" s="2169" t="s">
        <v>1289</v>
      </c>
      <c r="D114" s="95" t="s">
        <v>105</v>
      </c>
      <c r="E114" s="98" t="s">
        <v>1343</v>
      </c>
      <c r="F114" s="1896" t="s">
        <v>1533</v>
      </c>
      <c r="G114" s="2649"/>
      <c r="H114" s="2636"/>
      <c r="I114" s="3035">
        <f>'XM.FILE GOC'!I114</f>
        <v>57</v>
      </c>
      <c r="J114" s="3022"/>
      <c r="K114" s="3036"/>
      <c r="L114" s="3022">
        <f>'XM.FILE GOC'!L114</f>
        <v>58</v>
      </c>
      <c r="M114" s="3022"/>
      <c r="N114" s="3023"/>
      <c r="O114" s="2550"/>
      <c r="P114" s="3035">
        <f>'XM.FILE GOC'!P114</f>
        <v>58</v>
      </c>
      <c r="Q114" s="3022"/>
      <c r="R114" s="3036"/>
      <c r="S114" s="3022">
        <f>'XM.FILE GOC'!S114</f>
        <v>58</v>
      </c>
      <c r="T114" s="3022"/>
      <c r="U114" s="3023"/>
      <c r="V114" s="2584"/>
      <c r="W114" s="3035">
        <f>'XM.FILE GOC'!W114</f>
        <v>59</v>
      </c>
      <c r="X114" s="3022"/>
      <c r="Y114" s="3036"/>
      <c r="Z114" s="3022">
        <f>'XM.FILE GOC'!Z114</f>
        <v>59</v>
      </c>
      <c r="AA114" s="3022"/>
      <c r="AB114" s="3023"/>
      <c r="AC114" s="2594"/>
      <c r="AD114" s="3035">
        <f>'XM.FILE GOC'!AD114</f>
        <v>58</v>
      </c>
      <c r="AE114" s="3022"/>
      <c r="AF114" s="3036"/>
      <c r="AG114" s="3022">
        <f>'XM.FILE GOC'!AG114</f>
        <v>57</v>
      </c>
      <c r="AH114" s="3022"/>
      <c r="AI114" s="3023"/>
      <c r="AJ114" s="2584"/>
      <c r="AK114" s="3035">
        <f>'XM.FILE GOC'!AK114</f>
        <v>60</v>
      </c>
      <c r="AL114" s="3022"/>
      <c r="AM114" s="3036"/>
      <c r="AN114" s="3022">
        <f>'XM.FILE GOC'!AN114</f>
        <v>59</v>
      </c>
      <c r="AO114" s="3022"/>
      <c r="AP114" s="3023"/>
      <c r="AQ114" s="2584"/>
      <c r="AR114" s="3035">
        <f>'XM.FILE GOC'!AR114</f>
        <v>55</v>
      </c>
      <c r="AS114" s="3022"/>
      <c r="AT114" s="3036"/>
      <c r="AU114" s="3022">
        <f>'XM.FILE GOC'!AU114</f>
        <v>54</v>
      </c>
      <c r="AV114" s="3022"/>
      <c r="AW114" s="3023"/>
      <c r="AY114" s="2174"/>
    </row>
    <row r="115" spans="1:51" ht="45" hidden="1" customHeight="1">
      <c r="A115" s="1719"/>
      <c r="B115" s="1035"/>
      <c r="C115" s="1019" t="s">
        <v>991</v>
      </c>
      <c r="D115" s="21" t="s">
        <v>105</v>
      </c>
      <c r="E115" s="98" t="s">
        <v>1323</v>
      </c>
      <c r="F115" s="1896" t="s">
        <v>1323</v>
      </c>
      <c r="G115" s="2647"/>
      <c r="H115" s="2636"/>
      <c r="I115" s="3035">
        <f>'XM.FILE GOC'!I115</f>
        <v>0</v>
      </c>
      <c r="J115" s="3022"/>
      <c r="K115" s="3036"/>
      <c r="L115" s="3022">
        <f>'XM.FILE GOC'!L115</f>
        <v>0</v>
      </c>
      <c r="M115" s="3022"/>
      <c r="N115" s="3022"/>
      <c r="O115" s="2566"/>
      <c r="P115" s="3035">
        <f>'XM.FILE GOC'!P115</f>
        <v>0</v>
      </c>
      <c r="Q115" s="3022"/>
      <c r="R115" s="3036"/>
      <c r="S115" s="3022">
        <f>'XM.FILE GOC'!S115</f>
        <v>0</v>
      </c>
      <c r="T115" s="3022"/>
      <c r="U115" s="3022"/>
      <c r="W115" s="3035">
        <f>'XM.FILE GOC'!W115</f>
        <v>0</v>
      </c>
      <c r="X115" s="3022"/>
      <c r="Y115" s="3036"/>
      <c r="Z115" s="3022">
        <f>'XM.FILE GOC'!Z115</f>
        <v>0</v>
      </c>
      <c r="AA115" s="3022"/>
      <c r="AB115" s="3022"/>
      <c r="AC115" s="2595"/>
      <c r="AD115" s="3035">
        <f>'XM.FILE GOC'!AD115</f>
        <v>0</v>
      </c>
      <c r="AE115" s="3022"/>
      <c r="AF115" s="3036"/>
      <c r="AG115" s="3022">
        <f>'XM.FILE GOC'!AG115</f>
        <v>0</v>
      </c>
      <c r="AH115" s="3022"/>
      <c r="AI115" s="3022"/>
      <c r="AJ115" s="2566"/>
      <c r="AK115" s="3035">
        <f>'XM.FILE GOC'!AK115</f>
        <v>0</v>
      </c>
      <c r="AL115" s="3022"/>
      <c r="AM115" s="3036"/>
      <c r="AN115" s="3022">
        <f>'XM.FILE GOC'!AN115</f>
        <v>0</v>
      </c>
      <c r="AO115" s="3022"/>
      <c r="AP115" s="3022"/>
      <c r="AR115" s="3035">
        <f>'XM.FILE GOC'!AR115</f>
        <v>0</v>
      </c>
      <c r="AS115" s="3022"/>
      <c r="AT115" s="3036"/>
      <c r="AU115" s="3022">
        <f>'XM.FILE GOC'!AU115</f>
        <v>0</v>
      </c>
      <c r="AV115" s="3022"/>
      <c r="AW115" s="3022"/>
      <c r="AY115" s="2174"/>
    </row>
    <row r="116" spans="1:51" ht="45" hidden="1" customHeight="1">
      <c r="A116" s="1719"/>
      <c r="B116" s="1353"/>
      <c r="C116" s="1356" t="s">
        <v>1278</v>
      </c>
      <c r="D116" s="21" t="s">
        <v>105</v>
      </c>
      <c r="E116" s="98" t="s">
        <v>1352</v>
      </c>
      <c r="F116" s="1896" t="s">
        <v>1449</v>
      </c>
      <c r="G116" s="2647"/>
      <c r="H116" s="2636"/>
      <c r="I116" s="3038">
        <f>'XM.FILE GOC'!I116</f>
        <v>0</v>
      </c>
      <c r="J116" s="3039"/>
      <c r="K116" s="3039"/>
      <c r="L116" s="3039">
        <f>'XM.FILE GOC'!L116</f>
        <v>0</v>
      </c>
      <c r="M116" s="3039"/>
      <c r="N116" s="3039"/>
      <c r="O116" s="3040"/>
      <c r="P116" s="3038">
        <f>'XM.FILE GOC'!P116</f>
        <v>0</v>
      </c>
      <c r="Q116" s="3039"/>
      <c r="R116" s="3039"/>
      <c r="S116" s="3039">
        <f>'XM.FILE GOC'!S116</f>
        <v>0</v>
      </c>
      <c r="T116" s="3039"/>
      <c r="U116" s="3039"/>
      <c r="V116" s="3040"/>
      <c r="W116" s="3038">
        <f>'XM.FILE GOC'!W116</f>
        <v>0</v>
      </c>
      <c r="X116" s="3039"/>
      <c r="Y116" s="3039"/>
      <c r="Z116" s="3039">
        <f>'XM.FILE GOC'!Z116</f>
        <v>0</v>
      </c>
      <c r="AA116" s="3039"/>
      <c r="AB116" s="3039"/>
      <c r="AC116" s="3040"/>
      <c r="AD116" s="3038">
        <f>'XM.FILE GOC'!AD116</f>
        <v>0</v>
      </c>
      <c r="AE116" s="3039"/>
      <c r="AF116" s="3039"/>
      <c r="AG116" s="3039">
        <f>'XM.FILE GOC'!AG116</f>
        <v>0</v>
      </c>
      <c r="AH116" s="3039"/>
      <c r="AI116" s="3039"/>
      <c r="AJ116" s="3040"/>
      <c r="AK116" s="3038">
        <f>'XM.FILE GOC'!AK116</f>
        <v>0</v>
      </c>
      <c r="AL116" s="3039"/>
      <c r="AM116" s="3039"/>
      <c r="AN116" s="3039">
        <f>'XM.FILE GOC'!AN116</f>
        <v>0</v>
      </c>
      <c r="AO116" s="3039"/>
      <c r="AP116" s="3039"/>
      <c r="AQ116" s="3040"/>
      <c r="AR116" s="3038">
        <f>'XM.FILE GOC'!AR116</f>
        <v>0</v>
      </c>
      <c r="AS116" s="3039"/>
      <c r="AT116" s="3039"/>
      <c r="AU116" s="3039">
        <f>'XM.FILE GOC'!AU116</f>
        <v>0</v>
      </c>
      <c r="AV116" s="3039"/>
      <c r="AW116" s="3040"/>
      <c r="AY116" s="2174"/>
    </row>
    <row r="117" spans="1:51" ht="45" hidden="1" customHeight="1">
      <c r="A117" s="1726" t="s">
        <v>311</v>
      </c>
      <c r="B117" s="1317" t="s">
        <v>127</v>
      </c>
      <c r="C117" s="1016" t="s">
        <v>117</v>
      </c>
      <c r="D117" s="1017" t="s">
        <v>105</v>
      </c>
      <c r="E117" s="98" t="s">
        <v>1353</v>
      </c>
      <c r="F117" s="1896" t="s">
        <v>1450</v>
      </c>
      <c r="G117" s="2647"/>
      <c r="H117" s="2636"/>
      <c r="I117" s="3238">
        <f>'XM.FILE GOC'!I117</f>
        <v>25</v>
      </c>
      <c r="J117" s="3237"/>
      <c r="K117" s="3237"/>
      <c r="L117" s="3237">
        <f>'XM.FILE GOC'!L117</f>
        <v>24</v>
      </c>
      <c r="M117" s="3237"/>
      <c r="N117" s="3237"/>
      <c r="O117" s="2670"/>
      <c r="P117" s="3238">
        <f>'XM.FILE GOC'!P117</f>
        <v>26</v>
      </c>
      <c r="Q117" s="3237"/>
      <c r="R117" s="3237"/>
      <c r="S117" s="3237">
        <f>'XM.FILE GOC'!S117</f>
        <v>25</v>
      </c>
      <c r="T117" s="3237"/>
      <c r="U117" s="3237"/>
      <c r="V117" s="2677"/>
      <c r="W117" s="3238">
        <f>'XM.FILE GOC'!W117</f>
        <v>26</v>
      </c>
      <c r="X117" s="3237"/>
      <c r="Y117" s="3237"/>
      <c r="Z117" s="3237">
        <f>'XM.FILE GOC'!Z117</f>
        <v>26</v>
      </c>
      <c r="AA117" s="3237"/>
      <c r="AB117" s="3237"/>
      <c r="AC117" s="2684"/>
      <c r="AD117" s="3238">
        <f>'XM.FILE GOC'!AD117</f>
        <v>24</v>
      </c>
      <c r="AE117" s="3237"/>
      <c r="AF117" s="3237"/>
      <c r="AG117" s="3237">
        <f>'XM.FILE GOC'!AG117</f>
        <v>23</v>
      </c>
      <c r="AH117" s="3237"/>
      <c r="AI117" s="3237"/>
      <c r="AJ117" s="2684"/>
      <c r="AK117" s="3238">
        <f>'XM.FILE GOC'!AK117</f>
        <v>25</v>
      </c>
      <c r="AL117" s="3237"/>
      <c r="AM117" s="3237"/>
      <c r="AN117" s="3237">
        <f>'XM.FILE GOC'!AN117</f>
        <v>24</v>
      </c>
      <c r="AO117" s="3237"/>
      <c r="AP117" s="3237"/>
      <c r="AQ117" s="2677"/>
      <c r="AR117" s="3238">
        <f>'XM.FILE GOC'!AR117</f>
        <v>25</v>
      </c>
      <c r="AS117" s="3237"/>
      <c r="AT117" s="3237"/>
      <c r="AU117" s="3237">
        <f>'XM.FILE GOC'!AU117</f>
        <v>24</v>
      </c>
      <c r="AV117" s="3237"/>
      <c r="AW117" s="3247"/>
      <c r="AY117" s="2174"/>
    </row>
    <row r="118" spans="1:51" ht="45" hidden="1" customHeight="1">
      <c r="A118" s="1726" t="s">
        <v>312</v>
      </c>
      <c r="B118" s="1317" t="s">
        <v>127</v>
      </c>
      <c r="C118" s="1016" t="s">
        <v>1495</v>
      </c>
      <c r="D118" s="1017" t="s">
        <v>105</v>
      </c>
      <c r="E118" s="98" t="s">
        <v>1323</v>
      </c>
      <c r="F118" s="1904" t="s">
        <v>1451</v>
      </c>
      <c r="G118" s="2647"/>
      <c r="H118" s="2636"/>
      <c r="I118" s="3238">
        <f>'XM.FILE GOC'!I118</f>
        <v>29</v>
      </c>
      <c r="J118" s="3237"/>
      <c r="K118" s="3237"/>
      <c r="L118" s="3237">
        <f>'XM.FILE GOC'!L118</f>
        <v>29</v>
      </c>
      <c r="M118" s="3237"/>
      <c r="N118" s="3237"/>
      <c r="O118" s="2670"/>
      <c r="P118" s="3238">
        <f>'XM.FILE GOC'!P118</f>
        <v>30</v>
      </c>
      <c r="Q118" s="3237"/>
      <c r="R118" s="3237"/>
      <c r="S118" s="3237">
        <f>'XM.FILE GOC'!S118</f>
        <v>29</v>
      </c>
      <c r="T118" s="3237"/>
      <c r="U118" s="3237"/>
      <c r="V118" s="2677"/>
      <c r="W118" s="3238">
        <f>'XM.FILE GOC'!W118</f>
        <v>29</v>
      </c>
      <c r="X118" s="3237"/>
      <c r="Y118" s="3237"/>
      <c r="Z118" s="3237">
        <f>'XM.FILE GOC'!Z118</f>
        <v>30</v>
      </c>
      <c r="AA118" s="3237"/>
      <c r="AB118" s="3237"/>
      <c r="AC118" s="2684"/>
      <c r="AD118" s="3238">
        <f>'XM.FILE GOC'!AD118</f>
        <v>30</v>
      </c>
      <c r="AE118" s="3237"/>
      <c r="AF118" s="3237"/>
      <c r="AG118" s="3237">
        <f>'XM.FILE GOC'!AG118</f>
        <v>29</v>
      </c>
      <c r="AH118" s="3237"/>
      <c r="AI118" s="3237"/>
      <c r="AJ118" s="2684"/>
      <c r="AK118" s="3238">
        <f>'XM.FILE GOC'!AK118</f>
        <v>30</v>
      </c>
      <c r="AL118" s="3237"/>
      <c r="AM118" s="3237"/>
      <c r="AN118" s="3237">
        <f>'XM.FILE GOC'!AN118</f>
        <v>29</v>
      </c>
      <c r="AO118" s="3237"/>
      <c r="AP118" s="3237"/>
      <c r="AQ118" s="2677"/>
      <c r="AR118" s="3238">
        <f>'XM.FILE GOC'!AR118</f>
        <v>30</v>
      </c>
      <c r="AS118" s="3237"/>
      <c r="AT118" s="3237"/>
      <c r="AU118" s="3237">
        <f>'XM.FILE GOC'!AU118</f>
        <v>29</v>
      </c>
      <c r="AV118" s="3237"/>
      <c r="AW118" s="3247"/>
      <c r="AY118" s="2174"/>
    </row>
    <row r="119" spans="1:51" s="206" customFormat="1" ht="54" customHeight="1">
      <c r="A119" s="285" t="s">
        <v>75</v>
      </c>
      <c r="B119" s="286"/>
      <c r="C119" s="286"/>
      <c r="D119" s="286"/>
      <c r="E119" s="283"/>
      <c r="F119" s="283"/>
      <c r="G119" s="2626"/>
      <c r="H119" s="2499"/>
      <c r="I119" s="286"/>
      <c r="J119" s="2499"/>
      <c r="K119" s="286"/>
      <c r="L119" s="286"/>
      <c r="M119" s="1624"/>
      <c r="N119" s="286"/>
      <c r="O119" s="2499"/>
      <c r="P119" s="287"/>
      <c r="Q119" s="2499"/>
      <c r="R119" s="286"/>
      <c r="S119" s="286"/>
      <c r="T119" s="1628"/>
      <c r="U119" s="287"/>
      <c r="V119" s="2499"/>
      <c r="W119" s="287"/>
      <c r="X119" s="2499"/>
      <c r="Y119" s="286"/>
      <c r="Z119" s="286"/>
      <c r="AA119" s="1624"/>
      <c r="AB119" s="286"/>
      <c r="AC119" s="2499"/>
      <c r="AD119" s="286"/>
      <c r="AE119" s="2499"/>
      <c r="AF119" s="286"/>
      <c r="AG119" s="286"/>
      <c r="AH119" s="1624"/>
      <c r="AI119" s="286"/>
      <c r="AJ119" s="2598"/>
      <c r="AK119" s="287"/>
      <c r="AL119" s="2598"/>
      <c r="AM119" s="287"/>
      <c r="AN119" s="287"/>
      <c r="AO119" s="1632"/>
      <c r="AP119" s="287"/>
      <c r="AQ119" s="2598"/>
      <c r="AR119" s="287"/>
      <c r="AS119" s="2598"/>
      <c r="AT119" s="287"/>
      <c r="AU119" s="287"/>
      <c r="AV119" s="1632"/>
      <c r="AW119" s="1004"/>
    </row>
    <row r="120" spans="1:51" ht="55.5" customHeight="1">
      <c r="A120" s="1719" t="s">
        <v>306</v>
      </c>
      <c r="B120" s="1035" t="s">
        <v>127</v>
      </c>
      <c r="C120" s="102" t="s">
        <v>1110</v>
      </c>
      <c r="D120" s="1548" t="s">
        <v>48</v>
      </c>
      <c r="E120" s="46" t="s">
        <v>1297</v>
      </c>
      <c r="F120" s="1896" t="s">
        <v>1297</v>
      </c>
      <c r="G120" s="2650"/>
      <c r="H120" s="2651"/>
      <c r="I120" s="3198">
        <f>'XM.FILE GOC'!I120</f>
        <v>42</v>
      </c>
      <c r="J120" s="3230"/>
      <c r="K120" s="3230"/>
      <c r="L120" s="3230"/>
      <c r="M120" s="3230"/>
      <c r="N120" s="3199"/>
      <c r="O120" s="2668"/>
      <c r="P120" s="3198">
        <f>'XM.FILE GOC'!P120</f>
        <v>40</v>
      </c>
      <c r="Q120" s="3230"/>
      <c r="R120" s="3230"/>
      <c r="S120" s="3230"/>
      <c r="T120" s="3230"/>
      <c r="U120" s="3199"/>
      <c r="V120" s="2678"/>
      <c r="W120" s="3198">
        <f>'XM.FILE GOC'!W120</f>
        <v>42</v>
      </c>
      <c r="X120" s="3230"/>
      <c r="Y120" s="3230"/>
      <c r="Z120" s="3230"/>
      <c r="AA120" s="3230"/>
      <c r="AB120" s="3199"/>
      <c r="AC120" s="2678"/>
      <c r="AD120" s="3198">
        <f>'XM.FILE GOC'!AD120:AI120</f>
        <v>42</v>
      </c>
      <c r="AE120" s="3230"/>
      <c r="AF120" s="3230"/>
      <c r="AG120" s="3230"/>
      <c r="AH120" s="3230"/>
      <c r="AI120" s="3199"/>
      <c r="AJ120" s="2678"/>
      <c r="AK120" s="3198">
        <f>'XM.FILE GOC'!AK120:AP120</f>
        <v>43</v>
      </c>
      <c r="AL120" s="3230"/>
      <c r="AM120" s="3230"/>
      <c r="AN120" s="3230"/>
      <c r="AO120" s="3230"/>
      <c r="AP120" s="3199"/>
      <c r="AQ120" s="2678"/>
      <c r="AR120" s="3198">
        <f>'XM.FILE GOC'!AR120</f>
        <v>42</v>
      </c>
      <c r="AS120" s="3230"/>
      <c r="AT120" s="3230"/>
      <c r="AU120" s="3230"/>
      <c r="AV120" s="3230"/>
      <c r="AW120" s="3199"/>
      <c r="AY120" s="2174"/>
    </row>
    <row r="121" spans="1:51" ht="55.5" customHeight="1">
      <c r="A121" s="1045" t="s">
        <v>307</v>
      </c>
      <c r="B121" s="1035" t="s">
        <v>127</v>
      </c>
      <c r="C121" s="102" t="s">
        <v>1111</v>
      </c>
      <c r="D121" s="1040" t="s">
        <v>48</v>
      </c>
      <c r="E121" s="46" t="s">
        <v>1298</v>
      </c>
      <c r="F121" s="1904" t="s">
        <v>1298</v>
      </c>
      <c r="G121" s="2650"/>
      <c r="H121" s="2651"/>
      <c r="I121" s="3198">
        <f>'XM.FILE GOC'!I121</f>
        <v>170</v>
      </c>
      <c r="J121" s="3230"/>
      <c r="K121" s="3230"/>
      <c r="L121" s="3230"/>
      <c r="M121" s="3230"/>
      <c r="N121" s="3199"/>
      <c r="O121" s="2669"/>
      <c r="P121" s="3198">
        <f>'XM.FILE GOC'!P121</f>
        <v>172</v>
      </c>
      <c r="Q121" s="3230"/>
      <c r="R121" s="3230"/>
      <c r="S121" s="3230"/>
      <c r="T121" s="3230"/>
      <c r="U121" s="3199"/>
      <c r="V121" s="2675"/>
      <c r="W121" s="3198">
        <f>'XM.FILE GOC'!W121:AB121</f>
        <v>172</v>
      </c>
      <c r="X121" s="3230"/>
      <c r="Y121" s="3230"/>
      <c r="Z121" s="3230"/>
      <c r="AA121" s="3230"/>
      <c r="AB121" s="3199"/>
      <c r="AC121" s="2669"/>
      <c r="AD121" s="3198">
        <f>'XM.FILE GOC'!AD121</f>
        <v>170</v>
      </c>
      <c r="AE121" s="3230"/>
      <c r="AF121" s="3230"/>
      <c r="AG121" s="3230"/>
      <c r="AH121" s="3230"/>
      <c r="AI121" s="3199"/>
      <c r="AJ121" s="2686"/>
      <c r="AK121" s="3198">
        <f>'XM.FILE GOC'!AK121</f>
        <v>170</v>
      </c>
      <c r="AL121" s="3230"/>
      <c r="AM121" s="3230"/>
      <c r="AN121" s="3230"/>
      <c r="AO121" s="3230"/>
      <c r="AP121" s="3199"/>
      <c r="AQ121" s="2686"/>
      <c r="AR121" s="3198">
        <f>'XM.FILE GOC'!AR121</f>
        <v>175</v>
      </c>
      <c r="AS121" s="3230"/>
      <c r="AT121" s="3230"/>
      <c r="AU121" s="3230"/>
      <c r="AV121" s="3230"/>
      <c r="AW121" s="3199"/>
      <c r="AY121" s="2174"/>
    </row>
    <row r="122" spans="1:51" ht="19.5" customHeight="1"/>
    <row r="123" spans="1:51" ht="30.75" customHeight="1">
      <c r="C123" s="1905" t="str">
        <f>MENU!$AC$9</f>
        <v>Thứ 4,</v>
      </c>
      <c r="D123" s="1833" t="str">
        <f>MENU!$AD$9</f>
        <v>2024/05/22</v>
      </c>
      <c r="E123" s="1833"/>
      <c r="G123" s="2653"/>
      <c r="M123" s="265"/>
      <c r="T123" s="265"/>
      <c r="AA123" s="265"/>
      <c r="AH123" s="265"/>
    </row>
    <row r="124" spans="1:51" ht="39" customHeight="1">
      <c r="C124" s="3042" t="s">
        <v>316</v>
      </c>
      <c r="D124" s="3043" t="s">
        <v>124</v>
      </c>
      <c r="E124" s="3044" t="s">
        <v>1310</v>
      </c>
      <c r="F124" s="3049" t="s">
        <v>1302</v>
      </c>
      <c r="G124" s="2653"/>
      <c r="I124" s="269" t="s">
        <v>1469</v>
      </c>
      <c r="J124" s="2487"/>
      <c r="K124" s="269"/>
      <c r="L124" s="269"/>
      <c r="M124" s="269"/>
      <c r="N124" s="269"/>
      <c r="O124" s="2538"/>
      <c r="P124" s="282" t="s">
        <v>1459</v>
      </c>
      <c r="Q124" s="2487"/>
      <c r="R124" s="269"/>
      <c r="S124" s="269"/>
      <c r="T124" s="269"/>
      <c r="U124" s="270"/>
      <c r="V124" s="2487"/>
      <c r="W124" s="269" t="s">
        <v>1460</v>
      </c>
      <c r="X124" s="2487"/>
      <c r="Y124" s="269"/>
      <c r="Z124" s="269"/>
      <c r="AA124" s="269"/>
      <c r="AB124" s="269"/>
      <c r="AC124" s="2538"/>
      <c r="AD124" s="282" t="s">
        <v>1461</v>
      </c>
      <c r="AE124" s="2487"/>
      <c r="AF124" s="269"/>
      <c r="AG124" s="269"/>
      <c r="AH124" s="269"/>
      <c r="AI124" s="270"/>
      <c r="AJ124" s="2487"/>
      <c r="AK124" s="269" t="s">
        <v>1462</v>
      </c>
      <c r="AL124" s="2487"/>
      <c r="AM124" s="269"/>
      <c r="AN124" s="269"/>
      <c r="AO124" s="269"/>
      <c r="AP124" s="269"/>
      <c r="AQ124" s="2487"/>
      <c r="AR124" s="282" t="s">
        <v>1463</v>
      </c>
      <c r="AS124" s="2487"/>
      <c r="AT124" s="269"/>
      <c r="AU124" s="270"/>
      <c r="AV124" s="270"/>
      <c r="AW124" s="1003"/>
      <c r="AY124" s="3245" t="s">
        <v>1521</v>
      </c>
    </row>
    <row r="125" spans="1:51" ht="71.25" customHeight="1">
      <c r="C125" s="3042"/>
      <c r="D125" s="3043"/>
      <c r="E125" s="3045"/>
      <c r="F125" s="3050"/>
      <c r="G125" s="2653"/>
      <c r="I125" s="1761" t="s">
        <v>1446</v>
      </c>
      <c r="J125" s="2655" t="s">
        <v>1</v>
      </c>
      <c r="K125" s="3229" t="s">
        <v>1447</v>
      </c>
      <c r="L125" s="3229"/>
      <c r="M125" s="3227" t="s">
        <v>1507</v>
      </c>
      <c r="N125" s="3228"/>
      <c r="O125" s="2539"/>
      <c r="P125" s="1761" t="s">
        <v>1446</v>
      </c>
      <c r="Q125" s="2655" t="s">
        <v>1</v>
      </c>
      <c r="R125" s="3229" t="s">
        <v>1447</v>
      </c>
      <c r="S125" s="3229"/>
      <c r="T125" s="3227" t="s">
        <v>1507</v>
      </c>
      <c r="U125" s="3228"/>
      <c r="V125" s="2571"/>
      <c r="W125" s="1761" t="s">
        <v>1446</v>
      </c>
      <c r="X125" s="2655" t="s">
        <v>1</v>
      </c>
      <c r="Y125" s="3229" t="s">
        <v>1447</v>
      </c>
      <c r="Z125" s="3229"/>
      <c r="AA125" s="3227" t="s">
        <v>1507</v>
      </c>
      <c r="AB125" s="3228"/>
      <c r="AC125" s="2539"/>
      <c r="AD125" s="1761" t="s">
        <v>1446</v>
      </c>
      <c r="AE125" s="2655" t="s">
        <v>1</v>
      </c>
      <c r="AF125" s="3229" t="s">
        <v>1447</v>
      </c>
      <c r="AG125" s="3229"/>
      <c r="AH125" s="3227" t="s">
        <v>1507</v>
      </c>
      <c r="AI125" s="3228"/>
      <c r="AJ125" s="2539"/>
      <c r="AK125" s="2012" t="s">
        <v>1446</v>
      </c>
      <c r="AL125" s="2655" t="s">
        <v>1</v>
      </c>
      <c r="AM125" s="3229" t="s">
        <v>1447</v>
      </c>
      <c r="AN125" s="3229"/>
      <c r="AO125" s="3227" t="s">
        <v>1507</v>
      </c>
      <c r="AP125" s="3228"/>
      <c r="AQ125" s="2539"/>
      <c r="AR125" s="1761" t="s">
        <v>1446</v>
      </c>
      <c r="AS125" s="2655" t="s">
        <v>1</v>
      </c>
      <c r="AT125" s="3229" t="s">
        <v>1447</v>
      </c>
      <c r="AU125" s="3229"/>
      <c r="AV125" s="3227" t="s">
        <v>1507</v>
      </c>
      <c r="AW125" s="3228"/>
      <c r="AY125" s="3246"/>
    </row>
    <row r="126" spans="1:51" ht="39" customHeight="1">
      <c r="C126" s="1361" t="s">
        <v>193</v>
      </c>
      <c r="D126" s="208" t="s">
        <v>4</v>
      </c>
      <c r="E126" s="1342" t="str">
        <f>E99</f>
        <v>5~6</v>
      </c>
      <c r="F126" s="1896" t="str">
        <f>F99</f>
        <v>(5.5± 0.5)</v>
      </c>
      <c r="G126" s="2653"/>
      <c r="I126" s="1733">
        <f>I99</f>
        <v>5.915</v>
      </c>
      <c r="J126" s="2494">
        <f>($G$99-I126)*8000/1000</f>
        <v>-3.3200000000000003</v>
      </c>
      <c r="K126" s="1745" t="s">
        <v>8</v>
      </c>
      <c r="L126" s="1746">
        <f>L99</f>
        <v>0</v>
      </c>
      <c r="M126" s="1776" t="str">
        <f>IF('4.ZN-NI tt(CA1)'!I19="","",'4.ZN-NI tt(CA1)'!I19)</f>
        <v/>
      </c>
      <c r="N126" s="1747" t="s">
        <v>9</v>
      </c>
      <c r="O126" s="2564"/>
      <c r="P126" s="1733">
        <f>P99</f>
        <v>5.915</v>
      </c>
      <c r="Q126" s="2494">
        <f>($G$99-P126)*8000/1000</f>
        <v>-3.3200000000000003</v>
      </c>
      <c r="R126" s="1745" t="s">
        <v>8</v>
      </c>
      <c r="S126" s="1746">
        <f>S99</f>
        <v>0</v>
      </c>
      <c r="T126" s="1776" t="str">
        <f>IF('4.ZN-NI tt(CA1)'!M19="","",'4.ZN-NI tt(CA1)'!M19)</f>
        <v/>
      </c>
      <c r="U126" s="1747" t="s">
        <v>9</v>
      </c>
      <c r="V126" s="2564" t="e">
        <f>XM.HN!#REF!</f>
        <v>#REF!</v>
      </c>
      <c r="W126" s="1733">
        <f>W99</f>
        <v>5.9799999999999995</v>
      </c>
      <c r="X126" s="2494">
        <f>($G$99-W126)*8000/1000</f>
        <v>-3.8399999999999963</v>
      </c>
      <c r="Y126" s="1745" t="s">
        <v>8</v>
      </c>
      <c r="Z126" s="1746">
        <f>Z99</f>
        <v>0</v>
      </c>
      <c r="AA126" s="1776" t="str">
        <f>IF('4.ZN-NI tt(CA1)'!Q19="","",'4.ZN-NI tt(CA1)'!Q19)</f>
        <v/>
      </c>
      <c r="AB126" s="1747" t="s">
        <v>9</v>
      </c>
      <c r="AC126" s="2591"/>
      <c r="AD126" s="1733">
        <f>AD99</f>
        <v>5.7200000000000006</v>
      </c>
      <c r="AE126" s="2494">
        <f>($G$99-AD126)*8000/1000</f>
        <v>-1.7600000000000049</v>
      </c>
      <c r="AF126" s="1745" t="s">
        <v>8</v>
      </c>
      <c r="AG126" s="1746">
        <f>AG99</f>
        <v>0</v>
      </c>
      <c r="AH126" s="1776" t="str">
        <f>IF('4.ZN-NI tt(CA1)'!I19="","",'4.ZN-NI tt(CA1)'!I19)</f>
        <v/>
      </c>
      <c r="AI126" s="1747" t="s">
        <v>9</v>
      </c>
      <c r="AJ126" s="2546" t="e">
        <f>AP99*1.3</f>
        <v>#VALUE!</v>
      </c>
      <c r="AK126" s="1733">
        <f>AK99</f>
        <v>5.7200000000000006</v>
      </c>
      <c r="AL126" s="2494">
        <f>($G$99-AK126)*8000/1000</f>
        <v>-1.7600000000000049</v>
      </c>
      <c r="AM126" s="1745" t="s">
        <v>8</v>
      </c>
      <c r="AN126" s="1746">
        <f>AN99</f>
        <v>0</v>
      </c>
      <c r="AO126" s="1776" t="str">
        <f>IF('4.ZN-NI tt(CA2)'!M19="","",'4.ZN-NI tt(CA2)'!M19)</f>
        <v/>
      </c>
      <c r="AP126" s="1747" t="s">
        <v>9</v>
      </c>
      <c r="AQ126" s="2547"/>
      <c r="AR126" s="1733">
        <f>AR99</f>
        <v>5.59</v>
      </c>
      <c r="AS126" s="2494">
        <f>($G$99-AR126)*8000/1000</f>
        <v>-0.71999999999999886</v>
      </c>
      <c r="AT126" s="1745" t="s">
        <v>8</v>
      </c>
      <c r="AU126" s="1746">
        <f>AU99</f>
        <v>0</v>
      </c>
      <c r="AV126" s="1776" t="str">
        <f>IF('4.ZN-NI tt(CA2)'!Q19="","",'4.ZN-NI tt(CA2)'!Q19)</f>
        <v/>
      </c>
      <c r="AW126" s="1747" t="s">
        <v>9</v>
      </c>
      <c r="AY126" s="2174"/>
    </row>
    <row r="127" spans="1:51" ht="39" customHeight="1">
      <c r="C127" s="208" t="s">
        <v>192</v>
      </c>
      <c r="D127" s="208" t="s">
        <v>4</v>
      </c>
      <c r="E127" s="48" t="str">
        <f>E100</f>
        <v>130~140</v>
      </c>
      <c r="F127" s="1896" t="str">
        <f>F100</f>
        <v>(135 ± 5)</v>
      </c>
      <c r="G127" s="2653"/>
      <c r="I127" s="1782">
        <f t="shared" ref="I127:I129" si="40">I100</f>
        <v>136</v>
      </c>
      <c r="J127" s="2494" t="e">
        <f>(#REF!-I127)*8000/1000</f>
        <v>#REF!</v>
      </c>
      <c r="K127" s="1745" t="s">
        <v>8</v>
      </c>
      <c r="L127" s="1746">
        <f>L100</f>
        <v>0</v>
      </c>
      <c r="M127" s="1776" t="str">
        <f>IF('4.ZN-NI tt(CA1)'!I20="","",'4.ZN-NI tt(CA1)'!I20)</f>
        <v/>
      </c>
      <c r="N127" s="1747" t="s">
        <v>9</v>
      </c>
      <c r="O127" s="2564"/>
      <c r="P127" s="1782">
        <f t="shared" ref="P127:P128" si="41">P100</f>
        <v>133.6</v>
      </c>
      <c r="Q127" s="2494"/>
      <c r="R127" s="1745" t="s">
        <v>8</v>
      </c>
      <c r="S127" s="1746">
        <f>S100</f>
        <v>11.200000000000045</v>
      </c>
      <c r="T127" s="1776" t="str">
        <f>IF('4.ZN-NI tt(CA1)'!M20="","",'4.ZN-NI tt(CA1)'!M20)</f>
        <v/>
      </c>
      <c r="U127" s="1747" t="s">
        <v>9</v>
      </c>
      <c r="V127" s="2564"/>
      <c r="W127" s="1782">
        <f>W100</f>
        <v>132.80000000000001</v>
      </c>
      <c r="X127" s="2494"/>
      <c r="Y127" s="1745" t="s">
        <v>8</v>
      </c>
      <c r="Z127" s="1746">
        <f>Z100</f>
        <v>17.599999999999909</v>
      </c>
      <c r="AA127" s="1776">
        <f>IF('4.ZN-NI tt(CA1)'!Q20="","",'4.ZN-NI tt(CA1)'!Q20)</f>
        <v>25</v>
      </c>
      <c r="AB127" s="1747" t="s">
        <v>9</v>
      </c>
      <c r="AC127" s="2591"/>
      <c r="AD127" s="1782">
        <f t="shared" ref="AD127:AD128" si="42">AD100</f>
        <v>135.19999999999999</v>
      </c>
      <c r="AE127" s="2494" t="e">
        <f>(#REF!-AD127)*8000/1000</f>
        <v>#REF!</v>
      </c>
      <c r="AF127" s="1745" t="s">
        <v>8</v>
      </c>
      <c r="AG127" s="1746">
        <f>AG100</f>
        <v>0</v>
      </c>
      <c r="AH127" s="1776" t="str">
        <f>IF('4.ZN-NI tt(CA1)'!I20="","",'4.ZN-NI tt(CA1)'!I20)</f>
        <v/>
      </c>
      <c r="AI127" s="1747" t="s">
        <v>9</v>
      </c>
      <c r="AJ127" s="2546" t="e">
        <f>AP100*8</f>
        <v>#VALUE!</v>
      </c>
      <c r="AK127" s="1782">
        <f t="shared" ref="AK127:AK128" si="43">AK100</f>
        <v>134.4</v>
      </c>
      <c r="AL127" s="2494" t="e">
        <f>(#REF!-AK127)*8000/1000</f>
        <v>#REF!</v>
      </c>
      <c r="AM127" s="1745" t="s">
        <v>8</v>
      </c>
      <c r="AN127" s="1746">
        <f>AN100</f>
        <v>4.7999999999999545</v>
      </c>
      <c r="AO127" s="1776" t="str">
        <f>IF('4.ZN-NI tt(CA2)'!M20="","",'4.ZN-NI tt(CA2)'!M20)</f>
        <v/>
      </c>
      <c r="AP127" s="1747" t="s">
        <v>9</v>
      </c>
      <c r="AQ127" s="2547"/>
      <c r="AR127" s="1782">
        <f t="shared" ref="AR127:AR128" si="44">AR100</f>
        <v>132.80000000000001</v>
      </c>
      <c r="AS127" s="2494" t="e">
        <f>(#REF!-AR127)*8000/1000</f>
        <v>#REF!</v>
      </c>
      <c r="AT127" s="1745" t="s">
        <v>8</v>
      </c>
      <c r="AU127" s="1746">
        <f>AU100</f>
        <v>17.599999999999909</v>
      </c>
      <c r="AV127" s="1776">
        <f>IF('4.ZN-NI tt(CA2)'!Q20="","",'4.ZN-NI tt(CA2)'!Q20)</f>
        <v>25</v>
      </c>
      <c r="AW127" s="1747" t="s">
        <v>9</v>
      </c>
      <c r="AY127" s="2174"/>
    </row>
    <row r="128" spans="1:51" ht="48.75" customHeight="1">
      <c r="C128" s="2291" t="str">
        <f>MENU!AE46</f>
        <v>Cr2O3   三價鉻Ni-       PH
HALO Pha mới: 2024/03/30</v>
      </c>
      <c r="D128" s="208" t="s">
        <v>120</v>
      </c>
      <c r="E128" s="1069" t="str">
        <f>E101</f>
        <v>3.0-4.5</v>
      </c>
      <c r="F128" s="1896" t="str">
        <f t="shared" ref="F128:F129" si="45">F101</f>
        <v>(4.3±0.2)</v>
      </c>
      <c r="G128" s="2653"/>
      <c r="I128" s="1738">
        <f t="shared" si="40"/>
        <v>3.64</v>
      </c>
      <c r="J128" s="2511">
        <f>($G$100-I128)*8000/1000</f>
        <v>1050.8800000000001</v>
      </c>
      <c r="K128" s="2075"/>
      <c r="L128" s="2076"/>
      <c r="M128" s="1776" t="str">
        <f>IF('4.ZN-NI tt(CA1)'!I21="","",'4.ZN-NI tt(CA1)'!I21)</f>
        <v/>
      </c>
      <c r="N128" s="2077"/>
      <c r="O128" s="2569"/>
      <c r="P128" s="1738">
        <f t="shared" si="41"/>
        <v>3.58</v>
      </c>
      <c r="Q128" s="2511"/>
      <c r="R128" s="2075"/>
      <c r="S128" s="2076"/>
      <c r="T128" s="1776" t="str">
        <f>IF('4.ZN-NI tt(CA1)'!M21="","",'4.ZN-NI tt(CA1)'!M21)</f>
        <v/>
      </c>
      <c r="U128" s="2077"/>
      <c r="V128" s="2569"/>
      <c r="W128" s="1738">
        <f>W101</f>
        <v>3.65</v>
      </c>
      <c r="X128" s="2511"/>
      <c r="Y128" s="2075"/>
      <c r="Z128" s="2076"/>
      <c r="AA128" s="1776" t="str">
        <f>IF('4.ZN-NI tt(CA1)'!Q21="","",'4.ZN-NI tt(CA1)'!Q21)</f>
        <v/>
      </c>
      <c r="AB128" s="2078"/>
      <c r="AC128" s="2596"/>
      <c r="AD128" s="1738">
        <f t="shared" si="42"/>
        <v>3.61</v>
      </c>
      <c r="AE128" s="2511">
        <f>($G$100-AD128)*8000/1000</f>
        <v>1051.1199999999999</v>
      </c>
      <c r="AF128" s="2075"/>
      <c r="AG128" s="2076"/>
      <c r="AH128" s="1776" t="str">
        <f>IF('4.ZN-NI tt(CA1)'!I21="","",'4.ZN-NI tt(CA1)'!I21)</f>
        <v/>
      </c>
      <c r="AI128" s="2077"/>
      <c r="AJ128" s="2596">
        <f>XM.HN!R73</f>
        <v>0</v>
      </c>
      <c r="AK128" s="1738">
        <f t="shared" si="43"/>
        <v>3.66</v>
      </c>
      <c r="AL128" s="2511">
        <f>($G$100-AK128)*8000/1000</f>
        <v>1050.72</v>
      </c>
      <c r="AM128" s="2075"/>
      <c r="AN128" s="2076"/>
      <c r="AO128" s="1776" t="str">
        <f>IF('4.ZN-NI tt(CA2)'!M21="","",'4.ZN-NI tt(CA2)'!M21)</f>
        <v/>
      </c>
      <c r="AP128" s="2077"/>
      <c r="AQ128" s="2610"/>
      <c r="AR128" s="1738">
        <f t="shared" si="44"/>
        <v>3.66</v>
      </c>
      <c r="AS128" s="2657">
        <f>($G$100-AR128)*8000/1000</f>
        <v>1050.72</v>
      </c>
      <c r="AT128" s="1769"/>
      <c r="AU128" s="1736"/>
      <c r="AV128" s="1776" t="str">
        <f>IF('4.ZN-NI tt(CA2)'!Q21="","",'4.ZN-NI tt(CA2)'!Q21)</f>
        <v/>
      </c>
      <c r="AW128" s="1778"/>
      <c r="AY128" s="2174"/>
    </row>
    <row r="129" spans="1:51" ht="48.75" customHeight="1">
      <c r="C129" s="2827" t="s">
        <v>1667</v>
      </c>
      <c r="D129" s="2825" t="s">
        <v>1663</v>
      </c>
      <c r="E129" s="2828">
        <f>E102</f>
        <v>0</v>
      </c>
      <c r="F129" s="2829">
        <f t="shared" si="45"/>
        <v>0</v>
      </c>
      <c r="G129" s="2830"/>
      <c r="H129" s="2831"/>
      <c r="I129" s="2832">
        <f t="shared" si="40"/>
        <v>87.5</v>
      </c>
      <c r="J129" s="2833" t="e">
        <f>(#REF!-I129)*8000/1000</f>
        <v>#REF!</v>
      </c>
      <c r="K129" s="2834" t="s">
        <v>8</v>
      </c>
      <c r="L129" s="2835"/>
      <c r="M129" s="2836" t="str">
        <f>IF('4.ZN-NI tt(CA1)'!I22="","",'4.ZN-NI tt(CA1)'!I22)</f>
        <v/>
      </c>
      <c r="N129" s="2837" t="s">
        <v>9</v>
      </c>
      <c r="O129" s="2578"/>
      <c r="P129" s="2821"/>
      <c r="Q129" s="2822"/>
      <c r="R129" s="2823"/>
      <c r="S129" s="2826"/>
      <c r="T129" s="2824"/>
      <c r="U129" s="1867"/>
      <c r="V129" s="2578"/>
      <c r="W129" s="2821"/>
      <c r="X129" s="2822"/>
      <c r="Y129" s="2823"/>
      <c r="Z129" s="2826"/>
      <c r="AA129" s="2824"/>
      <c r="AB129" s="1867"/>
      <c r="AC129" s="2578"/>
      <c r="AD129" s="2821">
        <v>87.5</v>
      </c>
      <c r="AE129" s="2822"/>
      <c r="AF129" s="2823"/>
      <c r="AG129" s="2826"/>
      <c r="AH129" s="2824"/>
      <c r="AI129" s="1867"/>
      <c r="AJ129" s="2578" t="e">
        <f>AP102*8</f>
        <v>#VALUE!</v>
      </c>
      <c r="AK129" s="2821"/>
      <c r="AL129" s="2822"/>
      <c r="AM129" s="2823"/>
      <c r="AN129" s="2826"/>
      <c r="AO129" s="2824"/>
      <c r="AP129" s="1867"/>
      <c r="AQ129" s="2547"/>
      <c r="AR129" s="2821"/>
      <c r="AS129" s="2822"/>
      <c r="AT129" s="2823"/>
      <c r="AU129" s="2826"/>
      <c r="AV129" s="2824"/>
      <c r="AW129" s="1867"/>
      <c r="AY129" s="41"/>
    </row>
    <row r="130" spans="1:51" ht="33.75" customHeight="1">
      <c r="G130" s="2079"/>
      <c r="M130" s="265"/>
      <c r="T130" s="265"/>
      <c r="AA130" s="265"/>
      <c r="AH130" s="265"/>
      <c r="AI130" s="265"/>
    </row>
    <row r="131" spans="1:51" ht="47.25" customHeight="1">
      <c r="C131" s="1913" t="s">
        <v>61</v>
      </c>
      <c r="D131" s="1913" t="s">
        <v>63</v>
      </c>
      <c r="E131" s="1913" t="s">
        <v>1303</v>
      </c>
      <c r="F131" s="1896" t="s">
        <v>1302</v>
      </c>
      <c r="G131" s="2653"/>
      <c r="I131" s="1727" t="s">
        <v>45</v>
      </c>
      <c r="J131" s="2498"/>
      <c r="K131" s="1728"/>
      <c r="L131" s="1728" t="s">
        <v>62</v>
      </c>
      <c r="M131" s="1728"/>
      <c r="N131" s="1780"/>
      <c r="O131" s="2558"/>
      <c r="P131" s="1727" t="s">
        <v>45</v>
      </c>
      <c r="Q131" s="2498"/>
      <c r="R131" s="1728"/>
      <c r="S131" s="1728" t="s">
        <v>62</v>
      </c>
      <c r="T131" s="1728"/>
      <c r="U131" s="2059"/>
      <c r="V131" s="2583"/>
      <c r="W131" s="1728" t="s">
        <v>45</v>
      </c>
      <c r="X131" s="2498"/>
      <c r="Y131" s="1728"/>
      <c r="Z131" s="1728" t="s">
        <v>62</v>
      </c>
      <c r="AA131" s="1780"/>
      <c r="AB131" s="2061"/>
      <c r="AC131" s="2592"/>
      <c r="AD131" s="1728" t="s">
        <v>45</v>
      </c>
      <c r="AE131" s="2498"/>
      <c r="AF131" s="1728"/>
      <c r="AG131" s="1780" t="s">
        <v>62</v>
      </c>
      <c r="AH131" s="1727"/>
      <c r="AI131" s="2059"/>
      <c r="AJ131" s="2592"/>
      <c r="AK131" s="1728" t="s">
        <v>45</v>
      </c>
      <c r="AL131" s="2498"/>
      <c r="AM131" s="1780"/>
      <c r="AN131" s="2060" t="s">
        <v>62</v>
      </c>
      <c r="AO131" s="1728"/>
      <c r="AP131" s="2059"/>
      <c r="AQ131" s="2592"/>
      <c r="AR131" s="1728" t="s">
        <v>45</v>
      </c>
      <c r="AS131" s="2537"/>
      <c r="AT131" s="1727"/>
      <c r="AU131" s="1728" t="s">
        <v>62</v>
      </c>
      <c r="AV131" s="1728"/>
      <c r="AW131" s="2059"/>
      <c r="AY131" s="1046" t="s">
        <v>1521</v>
      </c>
    </row>
    <row r="132" spans="1:51" ht="39" customHeight="1">
      <c r="C132" s="1016" t="s">
        <v>117</v>
      </c>
      <c r="D132" s="1017" t="s">
        <v>105</v>
      </c>
      <c r="E132" s="98" t="str">
        <f>E117</f>
        <v>24~28</v>
      </c>
      <c r="F132" s="1896" t="str">
        <f>F117</f>
        <v>(26±2)</v>
      </c>
      <c r="G132" s="2653"/>
      <c r="I132" s="3198">
        <f>I117</f>
        <v>25</v>
      </c>
      <c r="J132" s="3230"/>
      <c r="K132" s="3164"/>
      <c r="L132" s="3165">
        <f>L117</f>
        <v>24</v>
      </c>
      <c r="M132" s="3230"/>
      <c r="N132" s="3164"/>
      <c r="O132" s="2570"/>
      <c r="P132" s="3198">
        <f>P117</f>
        <v>26</v>
      </c>
      <c r="Q132" s="3230"/>
      <c r="R132" s="3164"/>
      <c r="S132" s="3165">
        <f>S117</f>
        <v>25</v>
      </c>
      <c r="T132" s="3230"/>
      <c r="U132" s="3164"/>
      <c r="V132" s="2587"/>
      <c r="W132" s="3198">
        <f>W117</f>
        <v>26</v>
      </c>
      <c r="X132" s="3230"/>
      <c r="Y132" s="3164"/>
      <c r="Z132" s="3165">
        <f>Z117</f>
        <v>26</v>
      </c>
      <c r="AA132" s="3230"/>
      <c r="AB132" s="3164"/>
      <c r="AC132" s="2597"/>
      <c r="AD132" s="3198">
        <f>AD117</f>
        <v>24</v>
      </c>
      <c r="AE132" s="3230"/>
      <c r="AF132" s="3164"/>
      <c r="AG132" s="3165">
        <f>AG117</f>
        <v>23</v>
      </c>
      <c r="AH132" s="3230"/>
      <c r="AI132" s="3164"/>
      <c r="AJ132" s="2570"/>
      <c r="AK132" s="3198">
        <f>AK117</f>
        <v>25</v>
      </c>
      <c r="AL132" s="3230"/>
      <c r="AM132" s="3164"/>
      <c r="AN132" s="3165">
        <f>AN117</f>
        <v>24</v>
      </c>
      <c r="AO132" s="3230"/>
      <c r="AP132" s="3164"/>
      <c r="AQ132" s="2587"/>
      <c r="AR132" s="3198">
        <f>AR117</f>
        <v>25</v>
      </c>
      <c r="AS132" s="3230"/>
      <c r="AT132" s="3164"/>
      <c r="AU132" s="3165">
        <f>AU117</f>
        <v>24</v>
      </c>
      <c r="AV132" s="3230"/>
      <c r="AW132" s="3199"/>
      <c r="AY132" s="2174"/>
    </row>
    <row r="133" spans="1:51" ht="39" customHeight="1">
      <c r="C133" s="1016" t="s">
        <v>1495</v>
      </c>
      <c r="D133" s="1017" t="s">
        <v>105</v>
      </c>
      <c r="E133" s="98" t="str">
        <f>E118</f>
        <v>20~30</v>
      </c>
      <c r="F133" s="1896" t="str">
        <f>F118</f>
        <v>(25±5)</v>
      </c>
      <c r="G133" s="2653"/>
      <c r="I133" s="3198">
        <f>I118</f>
        <v>29</v>
      </c>
      <c r="J133" s="3230"/>
      <c r="K133" s="3164"/>
      <c r="L133" s="3165">
        <f>L118</f>
        <v>29</v>
      </c>
      <c r="M133" s="3230"/>
      <c r="N133" s="3164"/>
      <c r="O133" s="2570"/>
      <c r="P133" s="3198">
        <f>P118</f>
        <v>30</v>
      </c>
      <c r="Q133" s="3230"/>
      <c r="R133" s="3164"/>
      <c r="S133" s="3165">
        <f>S118</f>
        <v>29</v>
      </c>
      <c r="T133" s="3230"/>
      <c r="U133" s="3164"/>
      <c r="V133" s="2587"/>
      <c r="W133" s="3198">
        <f>W118</f>
        <v>29</v>
      </c>
      <c r="X133" s="3230"/>
      <c r="Y133" s="3164"/>
      <c r="Z133" s="3165">
        <f>Z118</f>
        <v>30</v>
      </c>
      <c r="AA133" s="3230"/>
      <c r="AB133" s="3164"/>
      <c r="AC133" s="2597"/>
      <c r="AD133" s="3198">
        <f>AD118</f>
        <v>30</v>
      </c>
      <c r="AE133" s="3230"/>
      <c r="AF133" s="3164"/>
      <c r="AG133" s="3165">
        <f>AG118</f>
        <v>29</v>
      </c>
      <c r="AH133" s="3230"/>
      <c r="AI133" s="3164"/>
      <c r="AJ133" s="2570"/>
      <c r="AK133" s="3198">
        <f>AK118</f>
        <v>30</v>
      </c>
      <c r="AL133" s="3230"/>
      <c r="AM133" s="3164"/>
      <c r="AN133" s="3165">
        <f>AN118</f>
        <v>29</v>
      </c>
      <c r="AO133" s="3230"/>
      <c r="AP133" s="3164"/>
      <c r="AQ133" s="2587"/>
      <c r="AR133" s="3198">
        <f>AR118</f>
        <v>30</v>
      </c>
      <c r="AS133" s="3230"/>
      <c r="AT133" s="3164"/>
      <c r="AU133" s="3165">
        <f>AU118</f>
        <v>29</v>
      </c>
      <c r="AV133" s="3230"/>
      <c r="AW133" s="3199"/>
      <c r="AY133" s="2174"/>
    </row>
    <row r="134" spans="1:51" ht="39" customHeight="1"/>
    <row r="135" spans="1:51" ht="33.75" customHeight="1">
      <c r="A135" s="1423" t="s">
        <v>1319</v>
      </c>
      <c r="B135" s="1572"/>
      <c r="C135" s="1914"/>
      <c r="D135" s="1914"/>
    </row>
    <row r="136" spans="1:51" ht="33.75" customHeight="1">
      <c r="A136" s="1422" t="s">
        <v>1321</v>
      </c>
      <c r="B136" s="1572"/>
      <c r="C136" s="1914"/>
      <c r="D136" s="1914"/>
    </row>
    <row r="137" spans="1:51" ht="33.75" customHeight="1">
      <c r="A137" s="1422" t="s">
        <v>1320</v>
      </c>
      <c r="B137" s="1572"/>
      <c r="C137" s="1914"/>
      <c r="D137" s="1914"/>
    </row>
    <row r="138" spans="1:51" ht="33.75" customHeight="1">
      <c r="E138" s="3236" t="s">
        <v>1420</v>
      </c>
      <c r="F138" s="3236"/>
    </row>
    <row r="139" spans="1:51" ht="33.75" customHeight="1">
      <c r="C139" s="1572"/>
      <c r="D139" s="206"/>
      <c r="E139" s="206"/>
      <c r="F139" s="3236" t="s">
        <v>1421</v>
      </c>
      <c r="G139" s="3236"/>
      <c r="H139" s="3236"/>
      <c r="I139" s="3236"/>
    </row>
    <row r="140" spans="1:51" ht="33.75" customHeight="1" thickBot="1">
      <c r="C140" s="1419"/>
      <c r="D140" s="1419"/>
      <c r="E140" s="206"/>
      <c r="F140" s="206"/>
    </row>
    <row r="141" spans="1:51" ht="33.75" customHeight="1" thickBot="1">
      <c r="C141" s="1431"/>
      <c r="D141" s="1431"/>
      <c r="E141" s="1604"/>
      <c r="F141" s="1604"/>
    </row>
    <row r="142" spans="1:51" ht="33.75" customHeight="1">
      <c r="C142" s="1416"/>
      <c r="D142" s="1416"/>
      <c r="E142" s="3231" t="s">
        <v>846</v>
      </c>
      <c r="F142" s="1604"/>
    </row>
    <row r="143" spans="1:51" ht="33.75" customHeight="1" thickBot="1">
      <c r="C143" s="1420"/>
      <c r="D143" s="1420"/>
      <c r="E143" s="3231"/>
      <c r="F143" s="1604"/>
    </row>
    <row r="144" spans="1:51" ht="33.75" customHeight="1" thickBot="1">
      <c r="C144" s="1417"/>
      <c r="D144" s="1417"/>
      <c r="E144" s="1604"/>
      <c r="F144" s="1604"/>
    </row>
    <row r="145" spans="3:9" ht="33.75" customHeight="1">
      <c r="C145" s="1418"/>
      <c r="D145" s="1418"/>
      <c r="E145" s="1604"/>
      <c r="F145" s="1604"/>
    </row>
    <row r="146" spans="3:9" ht="33.75" customHeight="1">
      <c r="C146" s="1572"/>
      <c r="D146" s="1572"/>
      <c r="E146" s="1604"/>
      <c r="F146" s="3236" t="s">
        <v>1302</v>
      </c>
      <c r="G146" s="3236"/>
      <c r="H146" s="3236"/>
      <c r="I146" s="3236"/>
    </row>
    <row r="147" spans="3:9" ht="33.75" customHeight="1">
      <c r="C147" s="1572"/>
      <c r="D147" s="1572"/>
      <c r="E147" s="1604"/>
      <c r="F147" s="1604"/>
    </row>
    <row r="148" spans="3:9" ht="33.75" customHeight="1">
      <c r="C148" s="206"/>
      <c r="D148" s="206"/>
      <c r="E148" s="3236" t="s">
        <v>1420</v>
      </c>
      <c r="F148" s="3236"/>
    </row>
    <row r="149" spans="3:9" ht="33.75" customHeight="1"/>
    <row r="150" spans="3:9" ht="33.75" customHeight="1"/>
  </sheetData>
  <sheetProtection formatCells="0" formatColumns="0" formatRows="0" insertColumns="0" insertRows="0" insertHyperlinks="0" deleteColumns="0" deleteRows="0" selectLockedCells="1" sort="0" autoFilter="0" pivotTables="0"/>
  <mergeCells count="500">
    <mergeCell ref="AK117:AM117"/>
    <mergeCell ref="AN117:AP117"/>
    <mergeCell ref="AK118:AM118"/>
    <mergeCell ref="AN118:AP118"/>
    <mergeCell ref="AY124:AY125"/>
    <mergeCell ref="AY78:AY79"/>
    <mergeCell ref="AY80:AY81"/>
    <mergeCell ref="AY82:AY83"/>
    <mergeCell ref="AY84:AY85"/>
    <mergeCell ref="AY95:AY96"/>
    <mergeCell ref="AU118:AW118"/>
    <mergeCell ref="AR117:AT117"/>
    <mergeCell ref="AU117:AW117"/>
    <mergeCell ref="AR114:AT114"/>
    <mergeCell ref="AU116:AW116"/>
    <mergeCell ref="AR115:AT115"/>
    <mergeCell ref="AU115:AW115"/>
    <mergeCell ref="AU113:AW113"/>
    <mergeCell ref="AN114:AP114"/>
    <mergeCell ref="AR113:AT113"/>
    <mergeCell ref="AY43:AY44"/>
    <mergeCell ref="AY45:AY46"/>
    <mergeCell ref="AY47:AY48"/>
    <mergeCell ref="AY49:AY50"/>
    <mergeCell ref="AK111:AM111"/>
    <mergeCell ref="AR108:AT108"/>
    <mergeCell ref="AK108:AM108"/>
    <mergeCell ref="AK112:AM112"/>
    <mergeCell ref="AK109:AM109"/>
    <mergeCell ref="AU108:AW108"/>
    <mergeCell ref="AK105:AM105"/>
    <mergeCell ref="AR72:AW72"/>
    <mergeCell ref="AT77:AU77"/>
    <mergeCell ref="AU70:AW70"/>
    <mergeCell ref="AO77:AP77"/>
    <mergeCell ref="AU66:AW66"/>
    <mergeCell ref="AV77:AW77"/>
    <mergeCell ref="AU111:AW111"/>
    <mergeCell ref="AR110:AT110"/>
    <mergeCell ref="AR107:AT107"/>
    <mergeCell ref="AU109:AW109"/>
    <mergeCell ref="AU112:AW112"/>
    <mergeCell ref="AU107:AW107"/>
    <mergeCell ref="AK65:AM65"/>
    <mergeCell ref="Z115:AB115"/>
    <mergeCell ref="AG115:AI115"/>
    <mergeCell ref="AN115:AP115"/>
    <mergeCell ref="AY3:AY5"/>
    <mergeCell ref="AY40:AY42"/>
    <mergeCell ref="AY75:AY77"/>
    <mergeCell ref="AY6:AY8"/>
    <mergeCell ref="AY9:AY11"/>
    <mergeCell ref="AY12:AY13"/>
    <mergeCell ref="AY14:AY15"/>
    <mergeCell ref="AN110:AP110"/>
    <mergeCell ref="AN111:AP111"/>
    <mergeCell ref="AR112:AT112"/>
    <mergeCell ref="AU65:AW65"/>
    <mergeCell ref="AN113:AP113"/>
    <mergeCell ref="AN63:AP63"/>
    <mergeCell ref="AR109:AT109"/>
    <mergeCell ref="AU110:AW110"/>
    <mergeCell ref="AR111:AT111"/>
    <mergeCell ref="AR28:AT28"/>
    <mergeCell ref="AU28:AW28"/>
    <mergeCell ref="AU32:AW32"/>
    <mergeCell ref="AR33:AT33"/>
    <mergeCell ref="AU33:AW33"/>
    <mergeCell ref="AR132:AT132"/>
    <mergeCell ref="AU132:AW132"/>
    <mergeCell ref="AR118:AT118"/>
    <mergeCell ref="AU114:AW114"/>
    <mergeCell ref="AM125:AN125"/>
    <mergeCell ref="AO125:AP125"/>
    <mergeCell ref="AD121:AI121"/>
    <mergeCell ref="AK133:AM133"/>
    <mergeCell ref="AN133:AP133"/>
    <mergeCell ref="AR121:AW121"/>
    <mergeCell ref="AK120:AP120"/>
    <mergeCell ref="AR120:AW120"/>
    <mergeCell ref="AD133:AF133"/>
    <mergeCell ref="AG133:AI133"/>
    <mergeCell ref="AD132:AF132"/>
    <mergeCell ref="AG132:AI132"/>
    <mergeCell ref="AK121:AP121"/>
    <mergeCell ref="AF125:AG125"/>
    <mergeCell ref="AR133:AT133"/>
    <mergeCell ref="AU133:AW133"/>
    <mergeCell ref="AK132:AM132"/>
    <mergeCell ref="AN132:AP132"/>
    <mergeCell ref="AT125:AU125"/>
    <mergeCell ref="AV125:AW125"/>
    <mergeCell ref="W117:Y117"/>
    <mergeCell ref="Z117:AB117"/>
    <mergeCell ref="P116:R116"/>
    <mergeCell ref="L116:O116"/>
    <mergeCell ref="S116:V116"/>
    <mergeCell ref="P117:R117"/>
    <mergeCell ref="AD117:AF117"/>
    <mergeCell ref="AG117:AI117"/>
    <mergeCell ref="W118:Y118"/>
    <mergeCell ref="P118:R118"/>
    <mergeCell ref="AG118:AI118"/>
    <mergeCell ref="L117:N117"/>
    <mergeCell ref="C124:C125"/>
    <mergeCell ref="D124:D125"/>
    <mergeCell ref="E124:E125"/>
    <mergeCell ref="F124:F125"/>
    <mergeCell ref="K125:L125"/>
    <mergeCell ref="M125:N125"/>
    <mergeCell ref="R125:S125"/>
    <mergeCell ref="T125:U125"/>
    <mergeCell ref="Y125:Z125"/>
    <mergeCell ref="AA125:AB125"/>
    <mergeCell ref="AD118:AF118"/>
    <mergeCell ref="AH125:AI125"/>
    <mergeCell ref="E138:F138"/>
    <mergeCell ref="E142:E143"/>
    <mergeCell ref="E148:F148"/>
    <mergeCell ref="F139:I139"/>
    <mergeCell ref="F146:I146"/>
    <mergeCell ref="I120:N120"/>
    <mergeCell ref="I118:K118"/>
    <mergeCell ref="L118:N118"/>
    <mergeCell ref="I133:K133"/>
    <mergeCell ref="L133:N133"/>
    <mergeCell ref="I121:N121"/>
    <mergeCell ref="AD120:AI120"/>
    <mergeCell ref="AD115:AF115"/>
    <mergeCell ref="S118:U118"/>
    <mergeCell ref="Z118:AB118"/>
    <mergeCell ref="Z133:AB133"/>
    <mergeCell ref="W120:AB120"/>
    <mergeCell ref="I132:K132"/>
    <mergeCell ref="L132:N132"/>
    <mergeCell ref="P132:R132"/>
    <mergeCell ref="S132:U132"/>
    <mergeCell ref="W132:Y132"/>
    <mergeCell ref="Z132:AB132"/>
    <mergeCell ref="I117:K117"/>
    <mergeCell ref="I116:K116"/>
    <mergeCell ref="S117:U117"/>
    <mergeCell ref="L115:N115"/>
    <mergeCell ref="S115:U115"/>
    <mergeCell ref="P133:R133"/>
    <mergeCell ref="S133:U133"/>
    <mergeCell ref="W133:Y133"/>
    <mergeCell ref="P121:U121"/>
    <mergeCell ref="W121:AB121"/>
    <mergeCell ref="P120:U120"/>
    <mergeCell ref="Z116:AC116"/>
    <mergeCell ref="W116:Y116"/>
    <mergeCell ref="I105:K105"/>
    <mergeCell ref="L105:N105"/>
    <mergeCell ref="L106:N106"/>
    <mergeCell ref="I106:K106"/>
    <mergeCell ref="L108:N108"/>
    <mergeCell ref="I108:K108"/>
    <mergeCell ref="I109:K109"/>
    <mergeCell ref="I110:K110"/>
    <mergeCell ref="P109:R109"/>
    <mergeCell ref="P110:R110"/>
    <mergeCell ref="L109:O109"/>
    <mergeCell ref="P105:R105"/>
    <mergeCell ref="P106:R106"/>
    <mergeCell ref="I114:K114"/>
    <mergeCell ref="L114:N114"/>
    <mergeCell ref="I115:K115"/>
    <mergeCell ref="P115:R115"/>
    <mergeCell ref="W115:Y115"/>
    <mergeCell ref="I113:K113"/>
    <mergeCell ref="S113:U113"/>
    <mergeCell ref="W113:Y113"/>
    <mergeCell ref="I107:K107"/>
    <mergeCell ref="P107:R107"/>
    <mergeCell ref="I111:K111"/>
    <mergeCell ref="L112:N112"/>
    <mergeCell ref="I112:K112"/>
    <mergeCell ref="L110:N110"/>
    <mergeCell ref="L111:N111"/>
    <mergeCell ref="S109:V109"/>
    <mergeCell ref="L107:N107"/>
    <mergeCell ref="P108:R108"/>
    <mergeCell ref="AD73:AI73"/>
    <mergeCell ref="AD106:AF106"/>
    <mergeCell ref="AD105:AF105"/>
    <mergeCell ref="AK69:AM69"/>
    <mergeCell ref="AU105:AW105"/>
    <mergeCell ref="AN105:AP105"/>
    <mergeCell ref="AN106:AP106"/>
    <mergeCell ref="AD67:AF67"/>
    <mergeCell ref="AG105:AI105"/>
    <mergeCell ref="AG106:AI106"/>
    <mergeCell ref="AK67:AM67"/>
    <mergeCell ref="AN69:AP69"/>
    <mergeCell ref="AG70:AI70"/>
    <mergeCell ref="AG66:AI66"/>
    <mergeCell ref="AZ26:BA26"/>
    <mergeCell ref="AZ36:BA36"/>
    <mergeCell ref="AD70:AF70"/>
    <mergeCell ref="AK70:AM70"/>
    <mergeCell ref="AR70:AT70"/>
    <mergeCell ref="AR38:AW38"/>
    <mergeCell ref="AN67:AQ67"/>
    <mergeCell ref="AR63:AT63"/>
    <mergeCell ref="AU63:AW63"/>
    <mergeCell ref="AR64:AT64"/>
    <mergeCell ref="AR37:AW37"/>
    <mergeCell ref="AK38:AP38"/>
    <mergeCell ref="AR35:AT35"/>
    <mergeCell ref="AU35:AW35"/>
    <mergeCell ref="AD34:AF34"/>
    <mergeCell ref="AG34:AI34"/>
    <mergeCell ref="AK34:AM34"/>
    <mergeCell ref="AR65:AT65"/>
    <mergeCell ref="AK63:AM63"/>
    <mergeCell ref="AU64:AW64"/>
    <mergeCell ref="AG35:AI35"/>
    <mergeCell ref="AD38:AI38"/>
    <mergeCell ref="AD64:AF64"/>
    <mergeCell ref="W38:AB38"/>
    <mergeCell ref="S66:U66"/>
    <mergeCell ref="Z66:AB66"/>
    <mergeCell ref="AN35:AP35"/>
    <mergeCell ref="AR116:AT116"/>
    <mergeCell ref="AD111:AF111"/>
    <mergeCell ref="AD110:AF110"/>
    <mergeCell ref="AK110:AM110"/>
    <mergeCell ref="AF77:AG77"/>
    <mergeCell ref="Z106:AB106"/>
    <mergeCell ref="Z113:AB113"/>
    <mergeCell ref="AD114:AF114"/>
    <mergeCell ref="AG114:AI114"/>
    <mergeCell ref="AK114:AM114"/>
    <mergeCell ref="Z110:AB110"/>
    <mergeCell ref="AA77:AB77"/>
    <mergeCell ref="W105:Y105"/>
    <mergeCell ref="R77:S77"/>
    <mergeCell ref="T77:U77"/>
    <mergeCell ref="AN70:AP70"/>
    <mergeCell ref="AG67:AJ67"/>
    <mergeCell ref="AD69:AF69"/>
    <mergeCell ref="AR105:AT105"/>
    <mergeCell ref="AD65:AF65"/>
    <mergeCell ref="P38:U38"/>
    <mergeCell ref="S67:V67"/>
    <mergeCell ref="S68:V68"/>
    <mergeCell ref="P68:R68"/>
    <mergeCell ref="I65:K65"/>
    <mergeCell ref="I66:K66"/>
    <mergeCell ref="P63:R63"/>
    <mergeCell ref="P65:R65"/>
    <mergeCell ref="P64:R64"/>
    <mergeCell ref="P66:R66"/>
    <mergeCell ref="AD35:AF35"/>
    <mergeCell ref="AK35:AM35"/>
    <mergeCell ref="L70:N70"/>
    <mergeCell ref="K77:L77"/>
    <mergeCell ref="S105:U105"/>
    <mergeCell ref="Z63:AB63"/>
    <mergeCell ref="P69:R69"/>
    <mergeCell ref="L67:O67"/>
    <mergeCell ref="L68:O68"/>
    <mergeCell ref="I69:K69"/>
    <mergeCell ref="I72:N72"/>
    <mergeCell ref="P72:U72"/>
    <mergeCell ref="L63:N63"/>
    <mergeCell ref="S63:U63"/>
    <mergeCell ref="Z67:AC67"/>
    <mergeCell ref="Z68:AC68"/>
    <mergeCell ref="P70:R70"/>
    <mergeCell ref="W70:Y70"/>
    <mergeCell ref="I64:K64"/>
    <mergeCell ref="Z105:AB105"/>
    <mergeCell ref="W73:AB73"/>
    <mergeCell ref="I67:K67"/>
    <mergeCell ref="I68:K68"/>
    <mergeCell ref="I38:N38"/>
    <mergeCell ref="M77:N77"/>
    <mergeCell ref="Y77:Z77"/>
    <mergeCell ref="L28:N28"/>
    <mergeCell ref="P28:R28"/>
    <mergeCell ref="S28:U28"/>
    <mergeCell ref="AD30:AF30"/>
    <mergeCell ref="AD32:AF32"/>
    <mergeCell ref="AG32:AI32"/>
    <mergeCell ref="AK32:AM32"/>
    <mergeCell ref="AG30:AI30"/>
    <mergeCell ref="AK30:AM30"/>
    <mergeCell ref="L30:N30"/>
    <mergeCell ref="P30:R30"/>
    <mergeCell ref="S30:U30"/>
    <mergeCell ref="W30:Y30"/>
    <mergeCell ref="P31:R31"/>
    <mergeCell ref="AD31:AF31"/>
    <mergeCell ref="AG31:AI31"/>
    <mergeCell ref="AK31:AM31"/>
    <mergeCell ref="L32:N32"/>
    <mergeCell ref="AD72:AI72"/>
    <mergeCell ref="Z64:AB64"/>
    <mergeCell ref="AG64:AI64"/>
    <mergeCell ref="L66:N66"/>
    <mergeCell ref="I29:K29"/>
    <mergeCell ref="L29:N29"/>
    <mergeCell ref="P29:R29"/>
    <mergeCell ref="S29:U29"/>
    <mergeCell ref="W29:Y29"/>
    <mergeCell ref="I28:K28"/>
    <mergeCell ref="AN109:AQ109"/>
    <mergeCell ref="AN116:AQ116"/>
    <mergeCell ref="AN112:AP112"/>
    <mergeCell ref="AD113:AF113"/>
    <mergeCell ref="AG113:AI113"/>
    <mergeCell ref="AK113:AM113"/>
    <mergeCell ref="AK115:AM115"/>
    <mergeCell ref="AG116:AJ116"/>
    <mergeCell ref="AD116:AF116"/>
    <mergeCell ref="AK116:AM116"/>
    <mergeCell ref="AG112:AI112"/>
    <mergeCell ref="W72:AB72"/>
    <mergeCell ref="I70:K70"/>
    <mergeCell ref="AD33:AF33"/>
    <mergeCell ref="AG33:AI33"/>
    <mergeCell ref="AK33:AM33"/>
    <mergeCell ref="AH77:AI77"/>
    <mergeCell ref="AM77:AN77"/>
    <mergeCell ref="G4:G5"/>
    <mergeCell ref="G41:G42"/>
    <mergeCell ref="G76:G77"/>
    <mergeCell ref="AD37:AI37"/>
    <mergeCell ref="AK37:AP37"/>
    <mergeCell ref="I37:N37"/>
    <mergeCell ref="P37:U37"/>
    <mergeCell ref="AK73:AP73"/>
    <mergeCell ref="P67:R67"/>
    <mergeCell ref="I73:N73"/>
    <mergeCell ref="P73:U73"/>
    <mergeCell ref="W63:Y63"/>
    <mergeCell ref="W64:Y64"/>
    <mergeCell ref="W65:Y65"/>
    <mergeCell ref="W66:Y66"/>
    <mergeCell ref="W28:Y28"/>
    <mergeCell ref="I34:K34"/>
    <mergeCell ref="L34:N34"/>
    <mergeCell ref="P34:R34"/>
    <mergeCell ref="AN33:AP33"/>
    <mergeCell ref="I32:K32"/>
    <mergeCell ref="AK72:AP72"/>
    <mergeCell ref="AK66:AM66"/>
    <mergeCell ref="AK68:AM68"/>
    <mergeCell ref="AR34:AT34"/>
    <mergeCell ref="AU34:AW34"/>
    <mergeCell ref="AN34:AP34"/>
    <mergeCell ref="AN65:AP65"/>
    <mergeCell ref="AR106:AT106"/>
    <mergeCell ref="AU106:AW106"/>
    <mergeCell ref="AR73:AW73"/>
    <mergeCell ref="AR66:AT66"/>
    <mergeCell ref="AU67:AW67"/>
    <mergeCell ref="AR68:AT68"/>
    <mergeCell ref="AU68:AW68"/>
    <mergeCell ref="AR69:AT69"/>
    <mergeCell ref="AU69:AW69"/>
    <mergeCell ref="AR67:AT67"/>
    <mergeCell ref="AN64:AP64"/>
    <mergeCell ref="AN68:AQ68"/>
    <mergeCell ref="AN66:AP66"/>
    <mergeCell ref="AZ30:AZ31"/>
    <mergeCell ref="AU31:AW31"/>
    <mergeCell ref="AR31:AT31"/>
    <mergeCell ref="AR30:AT30"/>
    <mergeCell ref="AU30:AW30"/>
    <mergeCell ref="AR32:AT32"/>
    <mergeCell ref="AN31:AP31"/>
    <mergeCell ref="AN32:AP32"/>
    <mergeCell ref="AN30:AP30"/>
    <mergeCell ref="I30:K30"/>
    <mergeCell ref="W31:Y31"/>
    <mergeCell ref="Z30:AB30"/>
    <mergeCell ref="S32:U32"/>
    <mergeCell ref="W32:Y32"/>
    <mergeCell ref="Z32:AB32"/>
    <mergeCell ref="S31:U31"/>
    <mergeCell ref="Z31:AB31"/>
    <mergeCell ref="I33:K33"/>
    <mergeCell ref="W33:Y33"/>
    <mergeCell ref="L33:N33"/>
    <mergeCell ref="P33:R33"/>
    <mergeCell ref="S33:U33"/>
    <mergeCell ref="Z33:AB33"/>
    <mergeCell ref="I31:K31"/>
    <mergeCell ref="L31:N31"/>
    <mergeCell ref="I35:K35"/>
    <mergeCell ref="P35:R35"/>
    <mergeCell ref="L35:N35"/>
    <mergeCell ref="I63:K63"/>
    <mergeCell ref="S34:U34"/>
    <mergeCell ref="W34:Y34"/>
    <mergeCell ref="S35:U35"/>
    <mergeCell ref="Z35:AB35"/>
    <mergeCell ref="S70:U70"/>
    <mergeCell ref="Z70:AB70"/>
    <mergeCell ref="W67:Y67"/>
    <mergeCell ref="W37:AB37"/>
    <mergeCell ref="Z34:AB34"/>
    <mergeCell ref="Z65:AB65"/>
    <mergeCell ref="W35:Y35"/>
    <mergeCell ref="W68:Y68"/>
    <mergeCell ref="W69:Y69"/>
    <mergeCell ref="L65:N65"/>
    <mergeCell ref="S65:U65"/>
    <mergeCell ref="L69:N69"/>
    <mergeCell ref="S69:U69"/>
    <mergeCell ref="Z69:AB69"/>
    <mergeCell ref="L64:N64"/>
    <mergeCell ref="S64:U64"/>
    <mergeCell ref="AT5:AU5"/>
    <mergeCell ref="AV5:AW5"/>
    <mergeCell ref="K42:L42"/>
    <mergeCell ref="M42:N42"/>
    <mergeCell ref="R42:S42"/>
    <mergeCell ref="T42:U42"/>
    <mergeCell ref="Y42:Z42"/>
    <mergeCell ref="AA42:AB42"/>
    <mergeCell ref="AF42:AG42"/>
    <mergeCell ref="AH42:AI42"/>
    <mergeCell ref="AM42:AN42"/>
    <mergeCell ref="AO42:AP42"/>
    <mergeCell ref="AT42:AU42"/>
    <mergeCell ref="AV42:AW42"/>
    <mergeCell ref="M5:N5"/>
    <mergeCell ref="K5:L5"/>
    <mergeCell ref="R5:S5"/>
    <mergeCell ref="AR29:AT29"/>
    <mergeCell ref="AU29:AW29"/>
    <mergeCell ref="P32:R32"/>
    <mergeCell ref="AA5:AB5"/>
    <mergeCell ref="AF5:AG5"/>
    <mergeCell ref="AH5:AI5"/>
    <mergeCell ref="AM5:AN5"/>
    <mergeCell ref="Z109:AC109"/>
    <mergeCell ref="AG109:AJ109"/>
    <mergeCell ref="P111:R111"/>
    <mergeCell ref="W111:Y111"/>
    <mergeCell ref="L113:N113"/>
    <mergeCell ref="P112:R112"/>
    <mergeCell ref="Z112:AB112"/>
    <mergeCell ref="Z114:AB114"/>
    <mergeCell ref="W109:Y109"/>
    <mergeCell ref="W110:Y110"/>
    <mergeCell ref="AD112:AF112"/>
    <mergeCell ref="P114:R114"/>
    <mergeCell ref="S114:U114"/>
    <mergeCell ref="W114:Y114"/>
    <mergeCell ref="AD109:AF109"/>
    <mergeCell ref="AG110:AI110"/>
    <mergeCell ref="Z111:AB111"/>
    <mergeCell ref="AG111:AI111"/>
    <mergeCell ref="S112:U112"/>
    <mergeCell ref="S110:U110"/>
    <mergeCell ref="S111:U111"/>
    <mergeCell ref="W112:Y112"/>
    <mergeCell ref="P113:R113"/>
    <mergeCell ref="T5:U5"/>
    <mergeCell ref="Z28:AB28"/>
    <mergeCell ref="AD28:AF28"/>
    <mergeCell ref="AG28:AI28"/>
    <mergeCell ref="AK28:AM28"/>
    <mergeCell ref="AN28:AP28"/>
    <mergeCell ref="AK29:AM29"/>
    <mergeCell ref="Z29:AB29"/>
    <mergeCell ref="AD29:AF29"/>
    <mergeCell ref="AG29:AI29"/>
    <mergeCell ref="AN29:AP29"/>
    <mergeCell ref="AO5:AP5"/>
    <mergeCell ref="Y5:Z5"/>
    <mergeCell ref="AG63:AI63"/>
    <mergeCell ref="AG65:AI65"/>
    <mergeCell ref="AD63:AF63"/>
    <mergeCell ref="S106:U106"/>
    <mergeCell ref="Z108:AB108"/>
    <mergeCell ref="AG108:AI108"/>
    <mergeCell ref="AN108:AP108"/>
    <mergeCell ref="S107:U107"/>
    <mergeCell ref="Z107:AB107"/>
    <mergeCell ref="AG107:AI107"/>
    <mergeCell ref="AN107:AP107"/>
    <mergeCell ref="W107:Y107"/>
    <mergeCell ref="AD107:AF107"/>
    <mergeCell ref="AD108:AF108"/>
    <mergeCell ref="W108:Y108"/>
    <mergeCell ref="S108:U108"/>
    <mergeCell ref="W106:Y106"/>
    <mergeCell ref="AK107:AM107"/>
    <mergeCell ref="AK106:AM106"/>
    <mergeCell ref="AG68:AJ68"/>
    <mergeCell ref="AG69:AI69"/>
    <mergeCell ref="AD68:AF68"/>
    <mergeCell ref="AD66:AF66"/>
    <mergeCell ref="AK64:AM64"/>
  </mergeCells>
  <phoneticPr fontId="7" type="noConversion"/>
  <conditionalFormatting sqref="AS57">
    <cfRule type="expression" dxfId="3107" priority="8339">
      <formula>AS57&lt;8%</formula>
    </cfRule>
    <cfRule type="expression" dxfId="3106" priority="8340">
      <formula>AS57&gt;15%</formula>
    </cfRule>
  </conditionalFormatting>
  <conditionalFormatting sqref="I37 AR37 AK37 AD37 W37 P37">
    <cfRule type="expression" dxfId="3105" priority="7969">
      <formula>I37&lt;300</formula>
    </cfRule>
    <cfRule type="expression" dxfId="3104" priority="7970">
      <formula>I37&gt;360</formula>
    </cfRule>
  </conditionalFormatting>
  <conditionalFormatting sqref="I120 AD120 W120 P120 AK120 AR120 I38 AR38 AK38 AD38 W38 P38">
    <cfRule type="expression" dxfId="3103" priority="7967">
      <formula>I38&lt;30</formula>
    </cfRule>
    <cfRule type="expression" dxfId="3102" priority="7968">
      <formula>I38&gt;50</formula>
    </cfRule>
  </conditionalFormatting>
  <conditionalFormatting sqref="I72 P72 V72:W72 AD72 AK72 AR72">
    <cfRule type="expression" dxfId="3101" priority="6989">
      <formula>I72&lt;100</formula>
    </cfRule>
    <cfRule type="expression" dxfId="3100" priority="6990">
      <formula>I72&gt;200</formula>
    </cfRule>
  </conditionalFormatting>
  <conditionalFormatting sqref="I73 P73 AD73 AK73 AR73 V73:W73">
    <cfRule type="expression" dxfId="3099" priority="6987">
      <formula>I73&lt;20</formula>
    </cfRule>
    <cfRule type="expression" dxfId="3098" priority="6988">
      <formula>I73&gt;50</formula>
    </cfRule>
  </conditionalFormatting>
  <conditionalFormatting sqref="I121 AD121 W121 P121 AK121 AR121">
    <cfRule type="expression" dxfId="3097" priority="6147">
      <formula>I121&lt;160</formula>
    </cfRule>
    <cfRule type="expression" dxfId="3096" priority="6148">
      <formula>I121&gt;220</formula>
    </cfRule>
  </conditionalFormatting>
  <conditionalFormatting sqref="I116 L116:M116 W116 Z116:AA116 AD116 AG116:AH116 P116 S116:T116 AR116 AU116:AV116 AK116 AN116:AO116">
    <cfRule type="expression" dxfId="3095" priority="5991">
      <formula>I116&lt;35</formula>
    </cfRule>
    <cfRule type="expression" dxfId="3094" priority="5992">
      <formula>I116&gt;45</formula>
    </cfRule>
  </conditionalFormatting>
  <conditionalFormatting sqref="I16 P16 W16 AD16 AK16 AR16 I51 P51 W51 AD51 AK51 AR51">
    <cfRule type="cellIs" dxfId="3093" priority="5961" operator="between">
      <formula>130</formula>
      <formula>132.99</formula>
    </cfRule>
    <cfRule type="cellIs" dxfId="3092" priority="5962" operator="between">
      <formula>147.1</formula>
      <formula>150</formula>
    </cfRule>
    <cfRule type="expression" dxfId="3091" priority="5963">
      <formula>I16&lt;130</formula>
    </cfRule>
    <cfRule type="expression" dxfId="3090" priority="5964">
      <formula>I16&gt;150</formula>
    </cfRule>
  </conditionalFormatting>
  <conditionalFormatting sqref="I17 P17 W17 AD17 AK17 AR17 I52 P52 W52 AD52 AK52 AR52">
    <cfRule type="expression" dxfId="3089" priority="5947">
      <formula>I17&lt;8</formula>
    </cfRule>
    <cfRule type="expression" dxfId="3088" priority="5948">
      <formula>I17&gt;12</formula>
    </cfRule>
  </conditionalFormatting>
  <conditionalFormatting sqref="I19 P19 W19 AD19 AK19 AR19">
    <cfRule type="cellIs" dxfId="3087" priority="5937" operator="between">
      <formula>1.6</formula>
      <formula>1.799</formula>
    </cfRule>
    <cfRule type="expression" dxfId="3086" priority="5939">
      <formula>I19&lt;1.6</formula>
    </cfRule>
    <cfRule type="expression" dxfId="3085" priority="5940">
      <formula>I19&gt;2.2</formula>
    </cfRule>
  </conditionalFormatting>
  <conditionalFormatting sqref="I21 I56 P21 W21 AD21 AK21 AR21 P56 W56 AD56 AK56 AR56">
    <cfRule type="expression" dxfId="3084" priority="5927">
      <formula>I21&lt;17%</formula>
    </cfRule>
    <cfRule type="expression" dxfId="3083" priority="5928">
      <formula>I21&gt;27%</formula>
    </cfRule>
  </conditionalFormatting>
  <conditionalFormatting sqref="I22 P22 W22 AD22 AK22 AR22">
    <cfRule type="cellIs" dxfId="3082" priority="5921" operator="between">
      <formula>5%</formula>
      <formula>6.99%</formula>
    </cfRule>
    <cfRule type="cellIs" dxfId="3081" priority="5922" operator="between">
      <formula>12.99%</formula>
      <formula>15%</formula>
    </cfRule>
    <cfRule type="expression" dxfId="3080" priority="5923">
      <formula>I22&lt;5%</formula>
    </cfRule>
    <cfRule type="expression" dxfId="3079" priority="5924">
      <formula>I22&gt;15%</formula>
    </cfRule>
  </conditionalFormatting>
  <conditionalFormatting sqref="I32 L32:M32 P32 S32:T32 W32 Z32:AA32 AD32 AG32:AH32 AK32 AN32:AO32 AR32 AU32:AV32">
    <cfRule type="cellIs" dxfId="3078" priority="5467" operator="between">
      <formula>20</formula>
      <formula>25.9</formula>
    </cfRule>
    <cfRule type="cellIs" dxfId="3077" priority="5468" operator="between">
      <formula>34.1</formula>
      <formula>35</formula>
    </cfRule>
    <cfRule type="expression" dxfId="3076" priority="5469">
      <formula>I32&lt;20</formula>
    </cfRule>
    <cfRule type="expression" dxfId="3075" priority="5470">
      <formula>I32&gt;35</formula>
    </cfRule>
  </conditionalFormatting>
  <conditionalFormatting sqref="I54 P54 W54 AD54 AK54 AR54">
    <cfRule type="cellIs" dxfId="3074" priority="5089" operator="between">
      <formula>2</formula>
      <formula>2.199</formula>
    </cfRule>
    <cfRule type="cellIs" dxfId="3073" priority="5090" operator="between">
      <formula>2.41</formula>
      <formula>2.5</formula>
    </cfRule>
    <cfRule type="expression" dxfId="3072" priority="5091">
      <formula>I54&lt;2</formula>
    </cfRule>
    <cfRule type="expression" dxfId="3071" priority="5092">
      <formula>I54&gt;2.5</formula>
    </cfRule>
  </conditionalFormatting>
  <conditionalFormatting sqref="I67 L67:M67 P67 S67:T67 W67 Z67:AA67 AD67 AG67:AH67 AK67 AN67:AO67 AR67 AU67:AV67">
    <cfRule type="cellIs" dxfId="3070" priority="4803" operator="between">
      <formula>22</formula>
      <formula>25.99</formula>
    </cfRule>
    <cfRule type="cellIs" dxfId="3069" priority="4804" operator="between">
      <formula>34.1</formula>
      <formula>35</formula>
    </cfRule>
    <cfRule type="expression" dxfId="3068" priority="4805">
      <formula>I67&lt;22</formula>
    </cfRule>
    <cfRule type="expression" dxfId="3067" priority="4806">
      <formula>I67&gt;35</formula>
    </cfRule>
  </conditionalFormatting>
  <conditionalFormatting sqref="I68 L68:M68 P68 S68:T68 W68 Z68:AA68 AD68 AG68:AH68 AK68 AN68:AO68 AR68 AU68:AV68">
    <cfRule type="cellIs" dxfId="3066" priority="4799" operator="between">
      <formula>30</formula>
      <formula>31.99</formula>
    </cfRule>
    <cfRule type="cellIs" dxfId="3065" priority="4800" operator="between">
      <formula>36.1</formula>
      <formula>38</formula>
    </cfRule>
    <cfRule type="expression" dxfId="3064" priority="4801">
      <formula>I68&lt;30</formula>
    </cfRule>
    <cfRule type="expression" dxfId="3063" priority="4802">
      <formula>I68&gt;38</formula>
    </cfRule>
  </conditionalFormatting>
  <conditionalFormatting sqref="I86 P86 W86 AD86 AK86 AR86">
    <cfRule type="expression" dxfId="3062" priority="4522" stopIfTrue="1">
      <formula>I86&lt;135</formula>
    </cfRule>
  </conditionalFormatting>
  <conditionalFormatting sqref="I86 P86 W86 AD86 AK86 AR86">
    <cfRule type="expression" dxfId="3061" priority="4521" stopIfTrue="1">
      <formula>I86&gt;145</formula>
    </cfRule>
  </conditionalFormatting>
  <conditionalFormatting sqref="I88 P88 W88 AD88 AK88 AR88">
    <cfRule type="cellIs" dxfId="3060" priority="4514" operator="between">
      <formula>7.01</formula>
      <formula>8</formula>
    </cfRule>
    <cfRule type="expression" dxfId="3059" priority="4515">
      <formula>I88&lt;5</formula>
    </cfRule>
    <cfRule type="expression" dxfId="3058" priority="4516">
      <formula>I88&gt;8</formula>
    </cfRule>
  </conditionalFormatting>
  <conditionalFormatting sqref="I98 P98 W98 AD98 AK98 AR98">
    <cfRule type="cellIs" dxfId="3057" priority="4278" operator="between">
      <formula>2.21</formula>
      <formula>2.4</formula>
    </cfRule>
    <cfRule type="expression" dxfId="3056" priority="4279">
      <formula>I98&lt;1.8</formula>
    </cfRule>
    <cfRule type="expression" dxfId="3055" priority="4280">
      <formula>I98&gt;2.4</formula>
    </cfRule>
  </conditionalFormatting>
  <conditionalFormatting sqref="I127 W127 AR127 AD127 AK127 P127 I100 W100 AR100 AD100 AK100 P100">
    <cfRule type="expression" dxfId="3054" priority="4232" stopIfTrue="1">
      <formula>I100&gt;140</formula>
    </cfRule>
    <cfRule type="expression" dxfId="3053" priority="4233" stopIfTrue="1">
      <formula>I100&lt;130</formula>
    </cfRule>
  </conditionalFormatting>
  <conditionalFormatting sqref="W128 AR128 AD128 AK128 P128 AR101 W101 AD101 I101 AK101 P101 I128">
    <cfRule type="cellIs" dxfId="3052" priority="4226" operator="between">
      <formula>3</formula>
      <formula>4.099</formula>
    </cfRule>
    <cfRule type="expression" dxfId="3051" priority="4228">
      <formula>I101&lt;3</formula>
    </cfRule>
    <cfRule type="expression" dxfId="3050" priority="4229">
      <formula>I101&gt;4.5</formula>
    </cfRule>
  </conditionalFormatting>
  <conditionalFormatting sqref="I109 L109:M109 P109 S109:T109 W109 Z109:AA109 AD109 AG109:AH109 AK109 AN109:AO109 AR109 AU109:AV109">
    <cfRule type="expression" dxfId="3049" priority="4020">
      <formula>I109&lt;22</formula>
    </cfRule>
    <cfRule type="expression" dxfId="3048" priority="4021">
      <formula>I109&gt;28</formula>
    </cfRule>
  </conditionalFormatting>
  <conditionalFormatting sqref="I116:AW116">
    <cfRule type="cellIs" dxfId="3047" priority="3920" operator="between">
      <formula>43.1</formula>
      <formula>45</formula>
    </cfRule>
    <cfRule type="cellIs" dxfId="3046" priority="3921" operator="between">
      <formula>35</formula>
      <formula>36.9</formula>
    </cfRule>
  </conditionalFormatting>
  <conditionalFormatting sqref="I133 AR133 Z133:AB133 W133 AG133:AI133 AD133 L133:N133 AU133 AN133:AP133 AK133 S133:U133 P133 Z118:AB118 W118 AG118:AI118 AD118 L118:N118 I118 AU118:AW118 AR118 AN118:AP118 AK118 S118:U118 P118 I115 L115 P115 S115 W115 Z115 AD115 AG115 AK115 AN115 AR115 AU115">
    <cfRule type="expression" dxfId="3045" priority="3910">
      <formula>I115&lt;20</formula>
    </cfRule>
    <cfRule type="expression" dxfId="3044" priority="3911">
      <formula>I115&gt;30</formula>
    </cfRule>
  </conditionalFormatting>
  <conditionalFormatting sqref="AR132 AG132:AH132 I132 L132:M132 W132 Z132:AA132 AD132 AU132 AK132 AN132:AO132 P132 S132:T132 I117 L117:M117 W117 Z117:AA117 AD117 AG117:AH117 AR117 AU117:AV117 AK117 AN117:AO117 P117 S117:T117">
    <cfRule type="expression" dxfId="3043" priority="3908">
      <formula>I117&lt;24</formula>
    </cfRule>
    <cfRule type="expression" dxfId="3042" priority="3909">
      <formula>I117&gt;28</formula>
    </cfRule>
  </conditionalFormatting>
  <conditionalFormatting sqref="I126 W126 AD126 AR126 AK126 P126 I99 W99 AD99 AR99 AK99 P99">
    <cfRule type="expression" dxfId="3041" priority="3876">
      <formula>I99&lt;5</formula>
    </cfRule>
    <cfRule type="expression" dxfId="3040" priority="3877">
      <formula>I99&gt;6</formula>
    </cfRule>
  </conditionalFormatting>
  <conditionalFormatting sqref="I97 P97 W97 AD97 AK97 AR97">
    <cfRule type="cellIs" dxfId="3039" priority="3842" operator="between">
      <formula>8</formula>
      <formula>9.99</formula>
    </cfRule>
    <cfRule type="cellIs" dxfId="3038" priority="3843" operator="between">
      <formula>14.1</formula>
      <formula>16</formula>
    </cfRule>
    <cfRule type="expression" dxfId="3037" priority="3844">
      <formula>I97&lt;8</formula>
    </cfRule>
    <cfRule type="expression" dxfId="3036" priority="3845">
      <formula>I97&gt;16</formula>
    </cfRule>
  </conditionalFormatting>
  <conditionalFormatting sqref="I57 P57 AR57 AK57 AD57 W57">
    <cfRule type="expression" dxfId="3035" priority="2464">
      <formula>I57&lt;5%</formula>
    </cfRule>
    <cfRule type="expression" dxfId="3034" priority="2465">
      <formula>I57&gt;15%</formula>
    </cfRule>
  </conditionalFormatting>
  <conditionalFormatting sqref="I57 P57 AR57 AK57 AD57 W57">
    <cfRule type="cellIs" dxfId="3033" priority="2462" operator="between">
      <formula>5%</formula>
      <formula>6.99%</formula>
    </cfRule>
    <cfRule type="cellIs" dxfId="3032" priority="2463" operator="between">
      <formula>13.1%</formula>
      <formula>15%</formula>
    </cfRule>
  </conditionalFormatting>
  <conditionalFormatting sqref="I6 I9 P6 P9 W6 W9 AD6 AD9 AK6 AK9 AR6 AR9">
    <cfRule type="cellIs" dxfId="3031" priority="2386" operator="between">
      <formula>20</formula>
      <formula>24.99</formula>
    </cfRule>
    <cfRule type="cellIs" dxfId="3030" priority="2387" operator="between">
      <formula>35.1</formula>
      <formula>40</formula>
    </cfRule>
    <cfRule type="expression" dxfId="3029" priority="2388">
      <formula>I6&lt;20</formula>
    </cfRule>
    <cfRule type="expression" dxfId="3028" priority="2389">
      <formula>I6&gt;40</formula>
    </cfRule>
  </conditionalFormatting>
  <conditionalFormatting sqref="I12 I14 P12 P14 W12 W14 AD12 AD14 AK12 AK14 AR12 AR14">
    <cfRule type="expression" dxfId="3027" priority="2384" stopIfTrue="1">
      <formula>I12&gt;80</formula>
    </cfRule>
    <cfRule type="expression" dxfId="3026" priority="2385" stopIfTrue="1">
      <formula>I12&lt;60</formula>
    </cfRule>
  </conditionalFormatting>
  <conditionalFormatting sqref="I43 I45 P43 P45 W43 W45 AD43 AD45 AK43 AK45 AR43 AR45">
    <cfRule type="cellIs" dxfId="3025" priority="2350" operator="between">
      <formula>60</formula>
      <formula>64.99</formula>
    </cfRule>
    <cfRule type="cellIs" dxfId="3024" priority="2351" operator="between">
      <formula>75.1</formula>
      <formula>80</formula>
    </cfRule>
    <cfRule type="expression" dxfId="3023" priority="2352">
      <formula>I43&lt;60</formula>
    </cfRule>
    <cfRule type="expression" dxfId="3022" priority="2353">
      <formula>I43&gt;80</formula>
    </cfRule>
  </conditionalFormatting>
  <conditionalFormatting sqref="I82 AD82 AR84 W84 AR82 W82 AK84 P84 AK82 P82 AD84 I84">
    <cfRule type="cellIs" dxfId="3021" priority="2346" operator="between">
      <formula>50</formula>
      <formula>54.99</formula>
    </cfRule>
    <cfRule type="cellIs" dxfId="3020" priority="2347" operator="between">
      <formula>65.01</formula>
      <formula>70</formula>
    </cfRule>
    <cfRule type="expression" dxfId="3019" priority="2348">
      <formula>I82&lt;50</formula>
    </cfRule>
    <cfRule type="expression" dxfId="3018" priority="2349">
      <formula>I82&gt;70</formula>
    </cfRule>
  </conditionalFormatting>
  <conditionalFormatting sqref="I78 I80 P78 P80 W78 W80 AD78 AD80 AK78 AK80 AR78 AR80 I30:I31 L30:L31 P30:P31 S30:S31 W30:W31 Z30:Z31 AD30:AD31 AG30:AG31 AK30:AK31 AN30:AN31 AR30:AR31 AU30:AU31 I65:I66 L65:L66 P65:P66 S65:S66 W65:W66 Z65:Z66 AD65:AD66 AG65:AG66 AK65:AK66 AN65:AN66 AR65:AR66 AU65:AU66">
    <cfRule type="cellIs" dxfId="3017" priority="2302" operator="between">
      <formula>40</formula>
      <formula>44.99</formula>
    </cfRule>
    <cfRule type="cellIs" dxfId="3016" priority="2303" operator="between">
      <formula>55.1</formula>
      <formula>60</formula>
    </cfRule>
    <cfRule type="expression" dxfId="3015" priority="2304">
      <formula>I30&lt;40</formula>
    </cfRule>
    <cfRule type="expression" dxfId="3014" priority="2305">
      <formula>I30&gt;60</formula>
    </cfRule>
  </conditionalFormatting>
  <conditionalFormatting sqref="I53 P53 W53 AD53 AK53 AR53">
    <cfRule type="cellIs" dxfId="3013" priority="2141" operator="between">
      <formula>8.01</formula>
      <formula>10</formula>
    </cfRule>
    <cfRule type="expression" dxfId="3012" priority="2142">
      <formula>I53&lt;6</formula>
    </cfRule>
    <cfRule type="expression" dxfId="3011" priority="2143">
      <formula>I53&gt;10</formula>
    </cfRule>
  </conditionalFormatting>
  <conditionalFormatting sqref="I18 P18 W18 AR18 AK18 AD18">
    <cfRule type="cellIs" dxfId="3010" priority="1587" operator="between">
      <formula>16.1</formula>
      <formula>18</formula>
    </cfRule>
    <cfRule type="expression" dxfId="3009" priority="1588">
      <formula>I18&lt;12</formula>
    </cfRule>
    <cfRule type="expression" dxfId="3008" priority="1589">
      <formula>I18&gt;18</formula>
    </cfRule>
  </conditionalFormatting>
  <conditionalFormatting sqref="I105:I108 L105:M108 P105:P108 S105:T108 W105:W108 Z105:AA108 AD105:AD108 AG105:AH108 AK105:AK108 AN105:AO108 AR105:AR108 AU105:AV108 I28:I29 L28:M29 P28:P29 S28:T29 W28:W29 Z28:AA29 AD28:AD29 AG28:AH29 AK28:AK29 AN28:AO29 AR28:AR29 AU28:AV29 I63:I64 L63:M64 P63:P64 S63:T64 W63:W64 Z63:AA64 AD63:AD64 AG63:AH64 AK63:AK64 AN63:AO64 AR63:AR64 AU63:AV64">
    <cfRule type="cellIs" dxfId="3007" priority="1452" operator="between">
      <formula>50</formula>
      <formula>54.9</formula>
    </cfRule>
    <cfRule type="cellIs" dxfId="3006" priority="1453" operator="between">
      <formula>65.1</formula>
      <formula>70</formula>
    </cfRule>
    <cfRule type="expression" dxfId="3005" priority="1454">
      <formula>I28&lt;50</formula>
    </cfRule>
    <cfRule type="expression" dxfId="3004" priority="1455">
      <formula>I28&gt;70</formula>
    </cfRule>
  </conditionalFormatting>
  <conditionalFormatting sqref="I23 P23 W23 AD23 AK23 AR23 I58 P58 W58 AD58 AK58 AR58">
    <cfRule type="cellIs" dxfId="3003" priority="1434" operator="between">
      <formula>0.5%</formula>
      <formula>0.599%</formula>
    </cfRule>
    <cfRule type="cellIs" dxfId="3002" priority="1435" operator="between">
      <formula>1.41%</formula>
      <formula>1.5%</formula>
    </cfRule>
    <cfRule type="expression" dxfId="3001" priority="1436">
      <formula>I23&lt;0.5%</formula>
    </cfRule>
    <cfRule type="expression" dxfId="3000" priority="1437">
      <formula>I23&gt;1.5%</formula>
    </cfRule>
  </conditionalFormatting>
  <conditionalFormatting sqref="I110 L110 P110 S110 W110 Z110 AD110 AG110 AK110 AN110 AR110 AU110 I33 L33 P33 S33 W33 Z33 AD33 AG33 AK33 AN33 AR33 AU33">
    <cfRule type="cellIs" dxfId="2999" priority="1347" operator="between">
      <formula>30</formula>
      <formula>30.9</formula>
    </cfRule>
    <cfRule type="cellIs" dxfId="2998" priority="1348" operator="between">
      <formula>37.1</formula>
      <formula>40</formula>
    </cfRule>
    <cfRule type="expression" dxfId="2997" priority="1349">
      <formula>I33&lt;30</formula>
    </cfRule>
    <cfRule type="expression" dxfId="2996" priority="1350">
      <formula>I33&gt;40</formula>
    </cfRule>
  </conditionalFormatting>
  <conditionalFormatting sqref="L112 S112 Z112 AG112 AN112 AU112 L35 S35 Z35 AG35 AN35 AU35 L70 S70 Z70 AG70 AN70 AU70">
    <cfRule type="cellIs" dxfId="2995" priority="1299" operator="between">
      <formula>80</formula>
      <formula>84.9</formula>
    </cfRule>
    <cfRule type="cellIs" dxfId="2994" priority="1300" operator="between">
      <formula>95.1</formula>
      <formula>100</formula>
    </cfRule>
    <cfRule type="expression" dxfId="2993" priority="1301">
      <formula>L35&lt;80</formula>
    </cfRule>
    <cfRule type="expression" dxfId="2992" priority="1302">
      <formula>L35&gt;100</formula>
    </cfRule>
  </conditionalFormatting>
  <conditionalFormatting sqref="I114 L114 P114 S114 W114 Z114 AD114 AG114 AK114 AN114 AR114 AU114 I47 P47 W47 AD47 AK47 AR47 I49 P49 W49 AD49 AK49 AR49 I34 L34 P34 S34 W34 Z34 AD34 AG34 AK34 AN34 AR34 AU34 I69 L69 P69 S69 W69 Z69 AD69 AG69 AK69 AN69 AR69 AU69">
    <cfRule type="expression" dxfId="2991" priority="1253">
      <formula>I34&lt;50</formula>
    </cfRule>
    <cfRule type="expression" dxfId="2990" priority="1254">
      <formula>I34&gt;70</formula>
    </cfRule>
  </conditionalFormatting>
  <conditionalFormatting sqref="I94 P94 W94 AD94 AK94 AR94">
    <cfRule type="expression" dxfId="2989" priority="1158">
      <formula>I94&lt;0.6%</formula>
    </cfRule>
    <cfRule type="expression" dxfId="2988" priority="1159">
      <formula>I94&gt;1.4%</formula>
    </cfRule>
  </conditionalFormatting>
  <conditionalFormatting sqref="I111 L111 O111:P111 S111 V111:W111 Z111 AC111:AD111 AG111 AJ111:AK111 AN111 AQ111:AR111 AU111">
    <cfRule type="expression" dxfId="2987" priority="5461">
      <formula>I111&lt;55</formula>
    </cfRule>
    <cfRule type="expression" dxfId="2986" priority="5462">
      <formula>I111&gt;65</formula>
    </cfRule>
  </conditionalFormatting>
  <conditionalFormatting sqref="I113 L113 P113 S113 W113 Z113 AD113 AG113 AK113 AN113 AR113 AU113">
    <cfRule type="expression" dxfId="2985" priority="2114">
      <formula>I113&lt;40</formula>
    </cfRule>
    <cfRule type="expression" dxfId="2984" priority="2115">
      <formula>I113&gt;60</formula>
    </cfRule>
  </conditionalFormatting>
  <conditionalFormatting sqref="I24 P24 W24 AD24 AK24 AR24">
    <cfRule type="cellIs" dxfId="2983" priority="944" operator="between">
      <formula>5</formula>
      <formula>6.49</formula>
    </cfRule>
    <cfRule type="cellIs" dxfId="2982" priority="945" operator="between">
      <formula>8.51</formula>
      <formula>10</formula>
    </cfRule>
    <cfRule type="expression" dxfId="2981" priority="946">
      <formula>I24&lt;5</formula>
    </cfRule>
    <cfRule type="expression" dxfId="2980" priority="947">
      <formula>I24&gt;10</formula>
    </cfRule>
  </conditionalFormatting>
  <conditionalFormatting sqref="I87 P87 W87 AD87 AK87 AR87">
    <cfRule type="cellIs" dxfId="2979" priority="699" operator="between">
      <formula>7</formula>
      <formula>7.499</formula>
    </cfRule>
    <cfRule type="cellIs" dxfId="2978" priority="700" operator="between">
      <formula>9.51</formula>
      <formula>10</formula>
    </cfRule>
    <cfRule type="expression" dxfId="2977" priority="701">
      <formula>I87&lt;7</formula>
    </cfRule>
    <cfRule type="expression" dxfId="2976" priority="702">
      <formula>I87&gt;10</formula>
    </cfRule>
  </conditionalFormatting>
  <conditionalFormatting sqref="P95 W95 AD95 AK95 AR95 I59 P59 I95 W59 AD59 AK59 AR59">
    <cfRule type="cellIs" dxfId="2975" priority="651" operator="between">
      <formula>5</formula>
      <formula>5.499</formula>
    </cfRule>
    <cfRule type="cellIs" dxfId="2974" priority="652" operator="between">
      <formula>6.51</formula>
      <formula>8</formula>
    </cfRule>
    <cfRule type="expression" dxfId="2973" priority="653">
      <formula>I59&lt;5</formula>
    </cfRule>
    <cfRule type="expression" dxfId="2972" priority="654">
      <formula>I59&gt;8</formula>
    </cfRule>
  </conditionalFormatting>
  <conditionalFormatting sqref="I25 P25 W25 AD25 AK25 AR25">
    <cfRule type="cellIs" dxfId="2971" priority="417" operator="between">
      <formula>1.8</formula>
      <formula>1.899</formula>
    </cfRule>
    <cfRule type="cellIs" dxfId="2970" priority="418" operator="between">
      <formula>2.11</formula>
      <formula>2.2</formula>
    </cfRule>
    <cfRule type="expression" dxfId="2969" priority="419">
      <formula>I25&lt;1.8</formula>
    </cfRule>
    <cfRule type="expression" dxfId="2968" priority="420">
      <formula>I25&gt;2.2</formula>
    </cfRule>
  </conditionalFormatting>
  <conditionalFormatting sqref="I96 P96 W96 AD96 AK96:AL96 AR96 I60 P60 W60 AD60 AK60 AR60">
    <cfRule type="cellIs" dxfId="2967" priority="389" operator="between">
      <formula>1.8</formula>
      <formula>1.999</formula>
    </cfRule>
    <cfRule type="cellIs" dxfId="2966" priority="390" operator="between">
      <formula>2.21</formula>
      <formula>2.4</formula>
    </cfRule>
    <cfRule type="expression" dxfId="2965" priority="391">
      <formula>I60&lt;1.8</formula>
    </cfRule>
    <cfRule type="expression" dxfId="2964" priority="392">
      <formula>I60&gt;2.4</formula>
    </cfRule>
  </conditionalFormatting>
  <conditionalFormatting sqref="P89 W89 AD89 AK89 AR89 I89">
    <cfRule type="cellIs" dxfId="2963" priority="339" operator="between">
      <formula>2</formula>
      <formula>2.099</formula>
    </cfRule>
    <cfRule type="cellIs" dxfId="2962" priority="340" operator="between">
      <formula>2.31</formula>
      <formula>2.4</formula>
    </cfRule>
    <cfRule type="expression" dxfId="2961" priority="341">
      <formula>I89&lt;2</formula>
    </cfRule>
    <cfRule type="expression" dxfId="2960" priority="342">
      <formula>I89&gt;2.4</formula>
    </cfRule>
  </conditionalFormatting>
  <conditionalFormatting sqref="I90 AR90 AK90 AD90 W90 P90 I92:I93 AR92:AR93 AK92:AK93 AD92:AD93 W92:W93 P92:P93 I55 P55 W55 AD55 AK55 AR55 I20 P20 W20 AD20 AK20 AR20">
    <cfRule type="expression" dxfId="2959" priority="125">
      <formula>I20&lt;40%</formula>
    </cfRule>
    <cfRule type="expression" dxfId="2958" priority="126">
      <formula>I20&gt;50%</formula>
    </cfRule>
  </conditionalFormatting>
  <conditionalFormatting sqref="I91 P91 W91 AD91 AK91 AR91">
    <cfRule type="cellIs" dxfId="2957" priority="93" operator="between">
      <formula>15%</formula>
      <formula>15.99%</formula>
    </cfRule>
    <cfRule type="cellIs" dxfId="2956" priority="94" operator="between">
      <formula>20.01%</formula>
      <formula>25%</formula>
    </cfRule>
    <cfRule type="expression" dxfId="2955" priority="95">
      <formula>I91&lt;15%</formula>
    </cfRule>
    <cfRule type="expression" dxfId="2954" priority="96">
      <formula>I91&gt;25%</formula>
    </cfRule>
  </conditionalFormatting>
  <conditionalFormatting sqref="P59:P60">
    <cfRule type="cellIs" dxfId="2953" priority="41" operator="between">
      <formula>5</formula>
      <formula>5.499</formula>
    </cfRule>
    <cfRule type="cellIs" dxfId="2952" priority="42" operator="between">
      <formula>6.51</formula>
      <formula>8</formula>
    </cfRule>
    <cfRule type="expression" dxfId="2951" priority="43">
      <formula>P59&lt;5</formula>
    </cfRule>
    <cfRule type="expression" dxfId="2950" priority="44">
      <formula>P59&gt;8</formula>
    </cfRule>
  </conditionalFormatting>
  <conditionalFormatting sqref="P60">
    <cfRule type="cellIs" dxfId="2949" priority="37" operator="between">
      <formula>1.8</formula>
      <formula>1.999</formula>
    </cfRule>
    <cfRule type="cellIs" dxfId="2948" priority="38" operator="between">
      <formula>2.21</formula>
      <formula>2.4</formula>
    </cfRule>
    <cfRule type="expression" dxfId="2947" priority="39">
      <formula>P60&lt;1.8</formula>
    </cfRule>
    <cfRule type="expression" dxfId="2946" priority="40">
      <formula>P60&gt;2.4</formula>
    </cfRule>
  </conditionalFormatting>
  <conditionalFormatting sqref="W59:W60">
    <cfRule type="cellIs" dxfId="2945" priority="33" operator="between">
      <formula>5</formula>
      <formula>5.499</formula>
    </cfRule>
    <cfRule type="cellIs" dxfId="2944" priority="34" operator="between">
      <formula>6.51</formula>
      <formula>8</formula>
    </cfRule>
    <cfRule type="expression" dxfId="2943" priority="35">
      <formula>W59&lt;5</formula>
    </cfRule>
    <cfRule type="expression" dxfId="2942" priority="36">
      <formula>W59&gt;8</formula>
    </cfRule>
  </conditionalFormatting>
  <conditionalFormatting sqref="W60">
    <cfRule type="cellIs" dxfId="2941" priority="29" operator="between">
      <formula>1.8</formula>
      <formula>1.999</formula>
    </cfRule>
    <cfRule type="cellIs" dxfId="2940" priority="30" operator="between">
      <formula>2.21</formula>
      <formula>2.4</formula>
    </cfRule>
    <cfRule type="expression" dxfId="2939" priority="31">
      <formula>W60&lt;1.8</formula>
    </cfRule>
    <cfRule type="expression" dxfId="2938" priority="32">
      <formula>W60&gt;2.4</formula>
    </cfRule>
  </conditionalFormatting>
  <conditionalFormatting sqref="AD59:AD60">
    <cfRule type="cellIs" dxfId="2937" priority="25" operator="between">
      <formula>5</formula>
      <formula>5.499</formula>
    </cfRule>
    <cfRule type="cellIs" dxfId="2936" priority="26" operator="between">
      <formula>6.51</formula>
      <formula>8</formula>
    </cfRule>
    <cfRule type="expression" dxfId="2935" priority="27">
      <formula>AD59&lt;5</formula>
    </cfRule>
    <cfRule type="expression" dxfId="2934" priority="28">
      <formula>AD59&gt;8</formula>
    </cfRule>
  </conditionalFormatting>
  <conditionalFormatting sqref="AD60">
    <cfRule type="cellIs" dxfId="2933" priority="21" operator="between">
      <formula>1.8</formula>
      <formula>1.999</formula>
    </cfRule>
    <cfRule type="cellIs" dxfId="2932" priority="22" operator="between">
      <formula>2.21</formula>
      <formula>2.4</formula>
    </cfRule>
    <cfRule type="expression" dxfId="2931" priority="23">
      <formula>AD60&lt;1.8</formula>
    </cfRule>
    <cfRule type="expression" dxfId="2930" priority="24">
      <formula>AD60&gt;2.4</formula>
    </cfRule>
  </conditionalFormatting>
  <conditionalFormatting sqref="AK59:AK60">
    <cfRule type="cellIs" dxfId="2929" priority="17" operator="between">
      <formula>5</formula>
      <formula>5.499</formula>
    </cfRule>
    <cfRule type="cellIs" dxfId="2928" priority="18" operator="between">
      <formula>6.51</formula>
      <formula>8</formula>
    </cfRule>
    <cfRule type="expression" dxfId="2927" priority="19">
      <formula>AK59&lt;5</formula>
    </cfRule>
    <cfRule type="expression" dxfId="2926" priority="20">
      <formula>AK59&gt;8</formula>
    </cfRule>
  </conditionalFormatting>
  <conditionalFormatting sqref="AK60">
    <cfRule type="cellIs" dxfId="2925" priority="13" operator="between">
      <formula>1.8</formula>
      <formula>1.999</formula>
    </cfRule>
    <cfRule type="cellIs" dxfId="2924" priority="14" operator="between">
      <formula>2.21</formula>
      <formula>2.4</formula>
    </cfRule>
    <cfRule type="expression" dxfId="2923" priority="15">
      <formula>AK60&lt;1.8</formula>
    </cfRule>
    <cfRule type="expression" dxfId="2922" priority="16">
      <formula>AK60&gt;2.4</formula>
    </cfRule>
  </conditionalFormatting>
  <conditionalFormatting sqref="AR59:AR60">
    <cfRule type="cellIs" dxfId="2921" priority="9" operator="between">
      <formula>5</formula>
      <formula>5.499</formula>
    </cfRule>
    <cfRule type="cellIs" dxfId="2920" priority="10" operator="between">
      <formula>6.51</formula>
      <formula>8</formula>
    </cfRule>
    <cfRule type="expression" dxfId="2919" priority="11">
      <formula>AR59&lt;5</formula>
    </cfRule>
    <cfRule type="expression" dxfId="2918" priority="12">
      <formula>AR59&gt;8</formula>
    </cfRule>
  </conditionalFormatting>
  <conditionalFormatting sqref="AR60">
    <cfRule type="cellIs" dxfId="2917" priority="5" operator="between">
      <formula>1.8</formula>
      <formula>1.999</formula>
    </cfRule>
    <cfRule type="cellIs" dxfId="2916" priority="6" operator="between">
      <formula>2.21</formula>
      <formula>2.4</formula>
    </cfRule>
    <cfRule type="expression" dxfId="2915" priority="7">
      <formula>AR60&lt;1.8</formula>
    </cfRule>
    <cfRule type="expression" dxfId="2914" priority="8">
      <formula>AR60&gt;2.4</formula>
    </cfRule>
  </conditionalFormatting>
  <conditionalFormatting sqref="AR25">
    <cfRule type="cellIs" dxfId="7" priority="1" operator="between">
      <formula>5</formula>
      <formula>6.49</formula>
    </cfRule>
    <cfRule type="cellIs" dxfId="6" priority="2" operator="between">
      <formula>8.51</formula>
      <formula>10</formula>
    </cfRule>
    <cfRule type="expression" dxfId="5" priority="3">
      <formula>AR25&lt;5</formula>
    </cfRule>
    <cfRule type="expression" dxfId="4" priority="4">
      <formula>AR25&gt;10</formula>
    </cfRule>
  </conditionalFormatting>
  <printOptions horizontalCentered="1"/>
  <pageMargins left="0.26" right="0.16" top="0.3" bottom="0.45" header="0.17" footer="0.27559055118110237"/>
  <pageSetup paperSize="9" scale="42" orientation="portrait" verticalDpi="300" r:id="rId1"/>
  <headerFooter alignWithMargins="0"/>
  <drawing r:id="rId2"/>
  <legacyDrawing r:id="rId3"/>
</worksheet>
</file>

<file path=xl/worksheets/sheet17.xml><?xml version="1.0" encoding="utf-8"?>
<worksheet xmlns="http://schemas.openxmlformats.org/spreadsheetml/2006/main" xmlns:r="http://schemas.openxmlformats.org/officeDocument/2006/relationships">
  <sheetPr codeName="Sheet8">
    <tabColor rgb="FFFF0000"/>
  </sheetPr>
  <dimension ref="A1:AM40"/>
  <sheetViews>
    <sheetView zoomScale="55" zoomScaleNormal="55" zoomScaleSheetLayoutView="70" workbookViewId="0">
      <selection activeCell="D3" sqref="D3"/>
    </sheetView>
  </sheetViews>
  <sheetFormatPr defaultRowHeight="15"/>
  <cols>
    <col min="1" max="1" width="3.75" style="15" customWidth="1"/>
    <col min="2" max="2" width="9.125" style="15" customWidth="1"/>
    <col min="3" max="3" width="4.625" style="15" customWidth="1"/>
    <col min="4" max="4" width="12.125" style="15" customWidth="1"/>
    <col min="5" max="5" width="3" style="15" customWidth="1"/>
    <col min="6" max="6" width="8.5" style="15" customWidth="1"/>
    <col min="7" max="7" width="12.25" style="15" customWidth="1"/>
    <col min="8" max="8" width="11.375" style="15" customWidth="1"/>
    <col min="9" max="9" width="8" style="15" customWidth="1"/>
    <col min="10" max="10" width="3.62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7.25" style="15" customWidth="1"/>
    <col min="18" max="18" width="4" style="15" customWidth="1"/>
    <col min="19" max="19" width="8" style="15" customWidth="1"/>
    <col min="20" max="20" width="5.25" style="15" customWidth="1"/>
    <col min="21" max="21" width="14.125" style="15" customWidth="1"/>
    <col min="22" max="22" width="2.625" style="15" customWidth="1"/>
    <col min="23" max="23" width="4.875" style="15" customWidth="1"/>
    <col min="24" max="24" width="7.875" style="15" customWidth="1"/>
    <col min="25" max="25" width="3.75" style="15" customWidth="1"/>
    <col min="26" max="26" width="9" style="15"/>
    <col min="27" max="27" width="9.875" style="15" customWidth="1"/>
    <col min="28" max="28" width="12.875" style="15" customWidth="1"/>
    <col min="29" max="29" width="6" style="15" customWidth="1"/>
    <col min="30" max="30" width="12.125" style="15" customWidth="1"/>
    <col min="31" max="31" width="5.5" style="15" customWidth="1"/>
    <col min="32" max="32" width="11.5" style="15" customWidth="1"/>
    <col min="33" max="33" width="6.75" style="15" customWidth="1"/>
    <col min="34" max="34" width="11.625" style="15" customWidth="1"/>
    <col min="35" max="35" width="5.625" style="15" customWidth="1"/>
    <col min="36" max="36" width="13.75" style="15" customWidth="1"/>
    <col min="37" max="37" width="5" style="15" customWidth="1"/>
    <col min="38" max="38" width="12.125" style="15" customWidth="1"/>
    <col min="39" max="39" width="7.375" style="15" customWidth="1"/>
    <col min="40" max="16384" width="9" style="15"/>
  </cols>
  <sheetData>
    <row r="1" spans="1:39" ht="28.5" customHeight="1">
      <c r="A1" s="3271" t="s">
        <v>567</v>
      </c>
      <c r="B1" s="3271"/>
      <c r="C1" s="3271"/>
      <c r="D1" s="3271"/>
      <c r="E1" s="3271"/>
      <c r="F1" s="3271"/>
      <c r="G1" s="3271"/>
      <c r="H1" s="3271"/>
      <c r="I1" s="3271"/>
      <c r="J1" s="3271"/>
      <c r="K1" s="3271"/>
      <c r="L1" s="3271"/>
      <c r="M1" s="3271"/>
      <c r="N1" s="3271"/>
      <c r="O1" s="3271"/>
      <c r="P1" s="3271"/>
      <c r="Q1" s="3271"/>
      <c r="R1" s="3271"/>
      <c r="S1" s="1015"/>
      <c r="T1" s="1015"/>
      <c r="U1" s="1456" t="s">
        <v>1361</v>
      </c>
      <c r="W1" s="1452"/>
      <c r="X1" s="1452"/>
      <c r="Y1" s="1611"/>
      <c r="Z1" s="1804"/>
      <c r="AA1" s="1611"/>
      <c r="AB1" s="1611"/>
      <c r="AC1" s="1611"/>
      <c r="AD1" s="1611"/>
      <c r="AE1" s="1452"/>
      <c r="AF1" s="1452"/>
      <c r="AG1" s="1452"/>
      <c r="AH1" s="1452"/>
      <c r="AI1" s="1452"/>
      <c r="AJ1" s="1452"/>
      <c r="AK1" s="1452"/>
      <c r="AL1" s="1452"/>
      <c r="AM1" s="1457" t="s">
        <v>1362</v>
      </c>
    </row>
    <row r="2" spans="1:39" ht="47.25" customHeight="1">
      <c r="A2" s="3272" t="s">
        <v>219</v>
      </c>
      <c r="B2" s="3272"/>
      <c r="C2" s="3272"/>
      <c r="D2" s="3272"/>
      <c r="E2" s="3272"/>
      <c r="F2" s="3272"/>
      <c r="G2" s="3272"/>
      <c r="H2" s="3272"/>
      <c r="I2" s="3272"/>
      <c r="J2" s="3272"/>
      <c r="K2" s="3272"/>
      <c r="L2" s="3272"/>
      <c r="M2" s="3272"/>
      <c r="N2" s="3272"/>
      <c r="O2" s="3272"/>
      <c r="P2" s="3272"/>
      <c r="Q2" s="3272"/>
      <c r="R2" s="3273"/>
      <c r="S2" s="3122" t="s">
        <v>88</v>
      </c>
      <c r="T2" s="3123"/>
      <c r="U2" s="1449" t="s">
        <v>1356</v>
      </c>
      <c r="W2" s="1451"/>
      <c r="X2" s="1451"/>
      <c r="Y2" s="1451"/>
      <c r="Z2" s="1451"/>
      <c r="AA2" s="1451"/>
      <c r="AB2" s="1510"/>
      <c r="AC2" s="1510"/>
      <c r="AD2" s="1510"/>
      <c r="AE2" s="1510"/>
      <c r="AF2" s="1451"/>
      <c r="AG2" s="1451"/>
      <c r="AH2" s="1451"/>
      <c r="AI2" s="1451"/>
      <c r="AJ2" s="1451"/>
      <c r="AK2" s="1451"/>
      <c r="AL2" s="1451"/>
      <c r="AM2" s="1451"/>
    </row>
    <row r="3" spans="1:39" ht="32.25" customHeight="1">
      <c r="B3" s="1426" t="s">
        <v>215</v>
      </c>
      <c r="C3" s="1427"/>
      <c r="D3" s="2714" t="s">
        <v>1623</v>
      </c>
      <c r="E3" s="3249" t="str">
        <f>MENU!$AC$9</f>
        <v>Thứ 4,</v>
      </c>
      <c r="F3" s="3249"/>
      <c r="G3" s="3248" t="str">
        <f>MENU!$AD$9</f>
        <v>2024/05/22</v>
      </c>
      <c r="H3" s="3248"/>
      <c r="I3" s="3274"/>
      <c r="J3" s="3275"/>
      <c r="K3" s="3275"/>
      <c r="L3" s="3275"/>
      <c r="M3" s="1021"/>
      <c r="N3" s="1021"/>
      <c r="O3" s="1021"/>
      <c r="P3" s="1021"/>
      <c r="Q3" s="1021"/>
      <c r="R3" s="1021"/>
      <c r="S3" s="3276" t="str">
        <f>'1. XL-1E kh'!AD3:AD3</f>
        <v>Mi</v>
      </c>
      <c r="T3" s="3277"/>
      <c r="U3" s="1023"/>
      <c r="X3" s="1426" t="s">
        <v>215</v>
      </c>
      <c r="Y3" s="1427"/>
      <c r="AA3" s="1819" t="str">
        <f>MENU!$AC$9</f>
        <v>Thứ 4,</v>
      </c>
      <c r="AB3" s="3248" t="str">
        <f>MENU!$AD$9</f>
        <v>2024/05/22</v>
      </c>
      <c r="AC3" s="3248"/>
      <c r="AD3" s="1454"/>
      <c r="AE3" s="1454"/>
      <c r="AF3" s="1454"/>
      <c r="AG3" s="1454"/>
      <c r="AH3" s="1454"/>
      <c r="AI3" s="1454"/>
      <c r="AJ3" s="1454"/>
      <c r="AK3" s="1454"/>
      <c r="AL3" s="1454"/>
      <c r="AM3" s="1399"/>
    </row>
    <row r="4" spans="1:39" s="16" customFormat="1" ht="35.25" customHeight="1">
      <c r="A4" s="3258" t="s">
        <v>7</v>
      </c>
      <c r="B4" s="3083" t="s">
        <v>76</v>
      </c>
      <c r="C4" s="3084"/>
      <c r="D4" s="3084"/>
      <c r="E4" s="3085"/>
      <c r="F4" s="3278" t="s">
        <v>124</v>
      </c>
      <c r="G4" s="3059" t="s">
        <v>1310</v>
      </c>
      <c r="H4" s="3109" t="s">
        <v>1302</v>
      </c>
      <c r="I4" s="3061">
        <v>0.30208333333333331</v>
      </c>
      <c r="J4" s="3062"/>
      <c r="K4" s="3062"/>
      <c r="L4" s="3063"/>
      <c r="M4" s="3117">
        <v>0.46875</v>
      </c>
      <c r="N4" s="3062"/>
      <c r="O4" s="3062"/>
      <c r="P4" s="3063"/>
      <c r="Q4" s="3117">
        <v>0.63541666666666663</v>
      </c>
      <c r="R4" s="3062"/>
      <c r="S4" s="3062"/>
      <c r="T4" s="3063"/>
      <c r="U4" s="1024" t="s">
        <v>90</v>
      </c>
      <c r="W4" s="3258" t="s">
        <v>7</v>
      </c>
      <c r="X4" s="3083" t="s">
        <v>76</v>
      </c>
      <c r="Y4" s="3084"/>
      <c r="Z4" s="3084"/>
      <c r="AA4" s="3085"/>
      <c r="AB4" s="3117">
        <v>0.30208333333333331</v>
      </c>
      <c r="AC4" s="3061"/>
      <c r="AD4" s="3061"/>
      <c r="AE4" s="3284"/>
      <c r="AF4" s="3117">
        <v>0.46875</v>
      </c>
      <c r="AG4" s="3061"/>
      <c r="AH4" s="3061"/>
      <c r="AI4" s="3284"/>
      <c r="AJ4" s="3117">
        <v>0.63541666666666663</v>
      </c>
      <c r="AK4" s="3061"/>
      <c r="AL4" s="3061"/>
      <c r="AM4" s="3284"/>
    </row>
    <row r="5" spans="1:39" s="16" customFormat="1" ht="34.5" customHeight="1">
      <c r="A5" s="3259"/>
      <c r="B5" s="3086"/>
      <c r="C5" s="3087"/>
      <c r="D5" s="3087"/>
      <c r="E5" s="3088"/>
      <c r="F5" s="3279"/>
      <c r="G5" s="3060"/>
      <c r="H5" s="3110"/>
      <c r="I5" s="2240" t="s">
        <v>129</v>
      </c>
      <c r="J5" s="3280" t="s">
        <v>1</v>
      </c>
      <c r="K5" s="3281"/>
      <c r="L5" s="3282"/>
      <c r="M5" s="53" t="s">
        <v>129</v>
      </c>
      <c r="N5" s="3280" t="s">
        <v>1</v>
      </c>
      <c r="O5" s="3281"/>
      <c r="P5" s="3282"/>
      <c r="Q5" s="53" t="s">
        <v>129</v>
      </c>
      <c r="R5" s="3067" t="s">
        <v>1</v>
      </c>
      <c r="S5" s="3068"/>
      <c r="T5" s="3069"/>
      <c r="U5" s="4" t="s">
        <v>91</v>
      </c>
      <c r="W5" s="3259"/>
      <c r="X5" s="3086"/>
      <c r="Y5" s="3087"/>
      <c r="Z5" s="3087"/>
      <c r="AA5" s="3088"/>
      <c r="AB5" s="3251" t="s">
        <v>1448</v>
      </c>
      <c r="AC5" s="3287"/>
      <c r="AD5" s="3286" t="s">
        <v>1481</v>
      </c>
      <c r="AE5" s="3063"/>
      <c r="AF5" s="3251" t="s">
        <v>1448</v>
      </c>
      <c r="AG5" s="3287"/>
      <c r="AH5" s="3286" t="s">
        <v>1481</v>
      </c>
      <c r="AI5" s="3063"/>
      <c r="AJ5" s="3251" t="s">
        <v>1448</v>
      </c>
      <c r="AK5" s="3287"/>
      <c r="AL5" s="3286" t="s">
        <v>1481</v>
      </c>
      <c r="AM5" s="3063"/>
    </row>
    <row r="6" spans="1:39" ht="33.75" customHeight="1">
      <c r="A6" s="3258">
        <v>1</v>
      </c>
      <c r="B6" s="3083" t="s">
        <v>131</v>
      </c>
      <c r="C6" s="3266"/>
      <c r="D6" s="3263" t="s">
        <v>100</v>
      </c>
      <c r="E6" s="3264"/>
      <c r="F6" s="1039" t="s">
        <v>4</v>
      </c>
      <c r="G6" s="898" t="str">
        <f>'XM.GUI MAIL'!$E$6</f>
        <v>20~40</v>
      </c>
      <c r="H6" s="2241" t="str">
        <f>'XM.GUI MAIL'!$F$6</f>
        <v>(30±5)</v>
      </c>
      <c r="I6" s="2210">
        <f>'XM.GUI MAIL'!I6</f>
        <v>0</v>
      </c>
      <c r="J6" s="1410" t="s">
        <v>8</v>
      </c>
      <c r="K6" s="1411">
        <f>'XM.GUI MAIL'!L6</f>
        <v>0</v>
      </c>
      <c r="L6" s="1412" t="s">
        <v>9</v>
      </c>
      <c r="M6" s="1429">
        <f>'XM.GUI MAIL'!P6</f>
        <v>0</v>
      </c>
      <c r="N6" s="1410" t="s">
        <v>8</v>
      </c>
      <c r="O6" s="1411">
        <f>'XM.GUI MAIL'!S6</f>
        <v>0</v>
      </c>
      <c r="P6" s="1412" t="s">
        <v>9</v>
      </c>
      <c r="Q6" s="1429">
        <f>'XM.GUI MAIL'!W6</f>
        <v>0</v>
      </c>
      <c r="R6" s="1410" t="s">
        <v>8</v>
      </c>
      <c r="S6" s="1411">
        <f>'XM.GUI MAIL'!Z6</f>
        <v>0</v>
      </c>
      <c r="T6" s="18" t="s">
        <v>9</v>
      </c>
      <c r="U6" s="103" t="s">
        <v>39</v>
      </c>
      <c r="W6" s="3258">
        <v>1</v>
      </c>
      <c r="X6" s="3083" t="s">
        <v>131</v>
      </c>
      <c r="Y6" s="3266"/>
      <c r="Z6" s="3263" t="s">
        <v>100</v>
      </c>
      <c r="AA6" s="3264"/>
      <c r="AB6" s="2030"/>
      <c r="AC6" s="1748" t="s">
        <v>9</v>
      </c>
      <c r="AD6" s="1798"/>
      <c r="AE6" s="1799" t="s">
        <v>4</v>
      </c>
      <c r="AF6" s="2030"/>
      <c r="AG6" s="1748" t="s">
        <v>9</v>
      </c>
      <c r="AH6" s="1798"/>
      <c r="AI6" s="1799" t="s">
        <v>4</v>
      </c>
      <c r="AJ6" s="2030"/>
      <c r="AK6" s="1748" t="s">
        <v>9</v>
      </c>
      <c r="AL6" s="1798"/>
      <c r="AM6" s="1799" t="s">
        <v>4</v>
      </c>
    </row>
    <row r="7" spans="1:39" ht="33.75" customHeight="1">
      <c r="A7" s="3265"/>
      <c r="B7" s="3267"/>
      <c r="C7" s="3268"/>
      <c r="D7" s="3251" t="s">
        <v>101</v>
      </c>
      <c r="E7" s="3253"/>
      <c r="F7" s="1039" t="s">
        <v>55</v>
      </c>
      <c r="G7" s="898" t="s">
        <v>102</v>
      </c>
      <c r="H7" s="2241"/>
      <c r="I7" s="2211"/>
      <c r="J7" s="1059" t="s">
        <v>8</v>
      </c>
      <c r="K7" s="58">
        <f>K6/25*840/1000</f>
        <v>0</v>
      </c>
      <c r="L7" s="57" t="s">
        <v>10</v>
      </c>
      <c r="M7" s="1683"/>
      <c r="N7" s="1059" t="s">
        <v>8</v>
      </c>
      <c r="O7" s="58">
        <f>O6/25*840/1000</f>
        <v>0</v>
      </c>
      <c r="P7" s="57" t="s">
        <v>10</v>
      </c>
      <c r="Q7" s="1683"/>
      <c r="R7" s="1059" t="s">
        <v>8</v>
      </c>
      <c r="S7" s="58">
        <f>S6/25*840/1000</f>
        <v>0</v>
      </c>
      <c r="T7" s="57" t="s">
        <v>10</v>
      </c>
      <c r="U7" s="103"/>
      <c r="W7" s="3265"/>
      <c r="X7" s="3267"/>
      <c r="Y7" s="3268"/>
      <c r="Z7" s="3251" t="s">
        <v>101</v>
      </c>
      <c r="AA7" s="3253"/>
      <c r="AB7" s="2030"/>
      <c r="AC7" s="1748" t="s">
        <v>10</v>
      </c>
      <c r="AD7" s="1798"/>
      <c r="AE7" s="1766"/>
      <c r="AF7" s="2030"/>
      <c r="AG7" s="1748" t="s">
        <v>10</v>
      </c>
      <c r="AH7" s="1798"/>
      <c r="AI7" s="1766"/>
      <c r="AJ7" s="2030"/>
      <c r="AK7" s="1748" t="s">
        <v>10</v>
      </c>
      <c r="AL7" s="1798"/>
      <c r="AM7" s="1766"/>
    </row>
    <row r="8" spans="1:39" ht="33.75" customHeight="1">
      <c r="A8" s="3259"/>
      <c r="B8" s="3269"/>
      <c r="C8" s="3270"/>
      <c r="D8" s="3251" t="s">
        <v>103</v>
      </c>
      <c r="E8" s="3253"/>
      <c r="F8" s="1039" t="s">
        <v>55</v>
      </c>
      <c r="G8" s="898" t="s">
        <v>102</v>
      </c>
      <c r="H8" s="2241"/>
      <c r="I8" s="2211"/>
      <c r="J8" s="1059" t="s">
        <v>8</v>
      </c>
      <c r="K8" s="58">
        <f>K7*10</f>
        <v>0</v>
      </c>
      <c r="L8" s="57" t="s">
        <v>10</v>
      </c>
      <c r="M8" s="1683"/>
      <c r="N8" s="1059" t="s">
        <v>8</v>
      </c>
      <c r="O8" s="58">
        <f>O7*10</f>
        <v>0</v>
      </c>
      <c r="P8" s="57" t="s">
        <v>10</v>
      </c>
      <c r="Q8" s="1683"/>
      <c r="R8" s="1059" t="s">
        <v>8</v>
      </c>
      <c r="S8" s="58">
        <f>S7*10</f>
        <v>0</v>
      </c>
      <c r="T8" s="57" t="s">
        <v>10</v>
      </c>
      <c r="U8" s="103"/>
      <c r="W8" s="3259"/>
      <c r="X8" s="3269"/>
      <c r="Y8" s="3270"/>
      <c r="Z8" s="3251" t="s">
        <v>103</v>
      </c>
      <c r="AA8" s="3253"/>
      <c r="AB8" s="2030"/>
      <c r="AC8" s="1748" t="s">
        <v>10</v>
      </c>
      <c r="AD8" s="1798"/>
      <c r="AE8" s="1766"/>
      <c r="AF8" s="2030"/>
      <c r="AG8" s="1748" t="s">
        <v>10</v>
      </c>
      <c r="AH8" s="1798"/>
      <c r="AI8" s="1766"/>
      <c r="AJ8" s="2030"/>
      <c r="AK8" s="1748" t="s">
        <v>10</v>
      </c>
      <c r="AL8" s="1798"/>
      <c r="AM8" s="1766"/>
    </row>
    <row r="9" spans="1:39" ht="33.75" customHeight="1">
      <c r="A9" s="3258">
        <v>2</v>
      </c>
      <c r="B9" s="3083" t="s">
        <v>132</v>
      </c>
      <c r="C9" s="3266"/>
      <c r="D9" s="3263" t="s">
        <v>100</v>
      </c>
      <c r="E9" s="3264"/>
      <c r="F9" s="1039" t="s">
        <v>4</v>
      </c>
      <c r="G9" s="898" t="str">
        <f>'XM.GUI MAIL'!$E$9</f>
        <v>20~40</v>
      </c>
      <c r="H9" s="2241" t="str">
        <f>'XM.GUI MAIL'!$F$9</f>
        <v>(30±5)</v>
      </c>
      <c r="I9" s="2210">
        <f>'XM.GUI MAIL'!I9</f>
        <v>0</v>
      </c>
      <c r="J9" s="1410" t="s">
        <v>8</v>
      </c>
      <c r="K9" s="1411">
        <f>'XM.GUI MAIL'!L9</f>
        <v>0</v>
      </c>
      <c r="L9" s="1412" t="s">
        <v>9</v>
      </c>
      <c r="M9" s="1429">
        <f>'XM.GUI MAIL'!P9</f>
        <v>0</v>
      </c>
      <c r="N9" s="1410" t="s">
        <v>8</v>
      </c>
      <c r="O9" s="1411">
        <f>'XM.GUI MAIL'!S9</f>
        <v>0</v>
      </c>
      <c r="P9" s="1412" t="s">
        <v>9</v>
      </c>
      <c r="Q9" s="1429">
        <f>'XM.GUI MAIL'!W9</f>
        <v>0</v>
      </c>
      <c r="R9" s="1410" t="s">
        <v>8</v>
      </c>
      <c r="S9" s="1411">
        <f>'XM.GUI MAIL'!Z9</f>
        <v>0</v>
      </c>
      <c r="T9" s="18" t="s">
        <v>9</v>
      </c>
      <c r="U9" s="103" t="s">
        <v>39</v>
      </c>
      <c r="W9" s="3258">
        <v>2</v>
      </c>
      <c r="X9" s="3083" t="s">
        <v>132</v>
      </c>
      <c r="Y9" s="3266"/>
      <c r="Z9" s="3263" t="s">
        <v>100</v>
      </c>
      <c r="AA9" s="3264"/>
      <c r="AB9" s="2030"/>
      <c r="AC9" s="1748" t="s">
        <v>9</v>
      </c>
      <c r="AD9" s="1798"/>
      <c r="AE9" s="1799" t="s">
        <v>4</v>
      </c>
      <c r="AF9" s="2030"/>
      <c r="AG9" s="1748" t="s">
        <v>9</v>
      </c>
      <c r="AH9" s="1798"/>
      <c r="AI9" s="1799" t="s">
        <v>4</v>
      </c>
      <c r="AJ9" s="2030"/>
      <c r="AK9" s="1748" t="s">
        <v>9</v>
      </c>
      <c r="AL9" s="1798"/>
      <c r="AM9" s="1799" t="s">
        <v>4</v>
      </c>
    </row>
    <row r="10" spans="1:39" ht="33.75" customHeight="1">
      <c r="A10" s="3265"/>
      <c r="B10" s="3267"/>
      <c r="C10" s="3268"/>
      <c r="D10" s="3251" t="s">
        <v>101</v>
      </c>
      <c r="E10" s="3253"/>
      <c r="F10" s="1039" t="s">
        <v>55</v>
      </c>
      <c r="G10" s="898" t="s">
        <v>102</v>
      </c>
      <c r="H10" s="2241"/>
      <c r="I10" s="2211"/>
      <c r="J10" s="1059" t="s">
        <v>8</v>
      </c>
      <c r="K10" s="58">
        <f>K9/25*840/1000</f>
        <v>0</v>
      </c>
      <c r="L10" s="57" t="s">
        <v>10</v>
      </c>
      <c r="M10" s="1683"/>
      <c r="N10" s="1059" t="s">
        <v>8</v>
      </c>
      <c r="O10" s="58">
        <f>O9/25*840/1000</f>
        <v>0</v>
      </c>
      <c r="P10" s="57" t="s">
        <v>10</v>
      </c>
      <c r="Q10" s="1683"/>
      <c r="R10" s="1059" t="s">
        <v>8</v>
      </c>
      <c r="S10" s="58">
        <f>S9/25*840/1000</f>
        <v>0</v>
      </c>
      <c r="T10" s="57" t="s">
        <v>10</v>
      </c>
      <c r="U10" s="103"/>
      <c r="W10" s="3265"/>
      <c r="X10" s="3267"/>
      <c r="Y10" s="3268"/>
      <c r="Z10" s="3251" t="s">
        <v>101</v>
      </c>
      <c r="AA10" s="3253"/>
      <c r="AB10" s="2030"/>
      <c r="AC10" s="1748" t="s">
        <v>10</v>
      </c>
      <c r="AD10" s="1798"/>
      <c r="AE10" s="1766"/>
      <c r="AF10" s="2030"/>
      <c r="AG10" s="1748" t="s">
        <v>10</v>
      </c>
      <c r="AH10" s="1798"/>
      <c r="AI10" s="1766"/>
      <c r="AJ10" s="2030"/>
      <c r="AK10" s="1748" t="s">
        <v>10</v>
      </c>
      <c r="AL10" s="1798"/>
      <c r="AM10" s="1766"/>
    </row>
    <row r="11" spans="1:39" ht="33.75" customHeight="1">
      <c r="A11" s="3259"/>
      <c r="B11" s="3269"/>
      <c r="C11" s="3270"/>
      <c r="D11" s="3251" t="s">
        <v>103</v>
      </c>
      <c r="E11" s="3253"/>
      <c r="F11" s="1039" t="s">
        <v>55</v>
      </c>
      <c r="G11" s="898" t="s">
        <v>102</v>
      </c>
      <c r="H11" s="2241"/>
      <c r="I11" s="2211"/>
      <c r="J11" s="1059" t="s">
        <v>8</v>
      </c>
      <c r="K11" s="58">
        <f>K10*10</f>
        <v>0</v>
      </c>
      <c r="L11" s="57" t="s">
        <v>10</v>
      </c>
      <c r="M11" s="1683"/>
      <c r="N11" s="1059" t="s">
        <v>8</v>
      </c>
      <c r="O11" s="58">
        <f>O10*10</f>
        <v>0</v>
      </c>
      <c r="P11" s="57" t="s">
        <v>10</v>
      </c>
      <c r="Q11" s="1683"/>
      <c r="R11" s="1059" t="s">
        <v>8</v>
      </c>
      <c r="S11" s="58">
        <f>S10*10</f>
        <v>0</v>
      </c>
      <c r="T11" s="57" t="s">
        <v>10</v>
      </c>
      <c r="U11" s="103"/>
      <c r="W11" s="3259"/>
      <c r="X11" s="3269"/>
      <c r="Y11" s="3270"/>
      <c r="Z11" s="3251" t="s">
        <v>103</v>
      </c>
      <c r="AA11" s="3253"/>
      <c r="AB11" s="2030"/>
      <c r="AC11" s="1748" t="s">
        <v>10</v>
      </c>
      <c r="AD11" s="1798"/>
      <c r="AE11" s="1766"/>
      <c r="AF11" s="2030"/>
      <c r="AG11" s="1748" t="s">
        <v>10</v>
      </c>
      <c r="AH11" s="1798"/>
      <c r="AI11" s="1766"/>
      <c r="AJ11" s="2030"/>
      <c r="AK11" s="1748" t="s">
        <v>10</v>
      </c>
      <c r="AL11" s="1798"/>
      <c r="AM11" s="1766"/>
    </row>
    <row r="12" spans="1:39" ht="33.75" customHeight="1">
      <c r="A12" s="3258">
        <v>3</v>
      </c>
      <c r="B12" s="3250" t="s">
        <v>133</v>
      </c>
      <c r="C12" s="3262"/>
      <c r="D12" s="3263" t="s">
        <v>100</v>
      </c>
      <c r="E12" s="3264"/>
      <c r="F12" s="1039" t="s">
        <v>4</v>
      </c>
      <c r="G12" s="898" t="str">
        <f>'XM.GUI MAIL'!$E$12</f>
        <v>60~80</v>
      </c>
      <c r="H12" s="2241" t="str">
        <f>'XM.GUI MAIL'!$F$12</f>
        <v>(70±10)</v>
      </c>
      <c r="I12" s="2212">
        <f>'XM.GUI MAIL'!I12</f>
        <v>0</v>
      </c>
      <c r="J12" s="1410" t="s">
        <v>8</v>
      </c>
      <c r="K12" s="1411">
        <f>'XM.GUI MAIL'!L12</f>
        <v>0</v>
      </c>
      <c r="L12" s="1412" t="s">
        <v>9</v>
      </c>
      <c r="M12" s="1407">
        <f>'XM.GUI MAIL'!P12</f>
        <v>0</v>
      </c>
      <c r="N12" s="1410" t="s">
        <v>8</v>
      </c>
      <c r="O12" s="1411">
        <f>'XM.GUI MAIL'!S12</f>
        <v>0</v>
      </c>
      <c r="P12" s="1412" t="s">
        <v>9</v>
      </c>
      <c r="Q12" s="1407">
        <f>'XM.GUI MAIL'!W12</f>
        <v>0</v>
      </c>
      <c r="R12" s="1410" t="s">
        <v>8</v>
      </c>
      <c r="S12" s="1411">
        <f>'XM.GUI MAIL'!Z12</f>
        <v>0</v>
      </c>
      <c r="T12" s="18" t="s">
        <v>9</v>
      </c>
      <c r="U12" s="103" t="s">
        <v>39</v>
      </c>
      <c r="W12" s="3258">
        <v>3</v>
      </c>
      <c r="X12" s="3250" t="s">
        <v>133</v>
      </c>
      <c r="Y12" s="3262"/>
      <c r="Z12" s="3263" t="s">
        <v>100</v>
      </c>
      <c r="AA12" s="3264"/>
      <c r="AB12" s="2030"/>
      <c r="AC12" s="1748" t="s">
        <v>9</v>
      </c>
      <c r="AD12" s="1798"/>
      <c r="AE12" s="1799" t="s">
        <v>4</v>
      </c>
      <c r="AF12" s="2030"/>
      <c r="AG12" s="1748" t="s">
        <v>9</v>
      </c>
      <c r="AH12" s="1798"/>
      <c r="AI12" s="1799" t="s">
        <v>4</v>
      </c>
      <c r="AJ12" s="2030"/>
      <c r="AK12" s="1748" t="s">
        <v>9</v>
      </c>
      <c r="AL12" s="1798"/>
      <c r="AM12" s="1799" t="s">
        <v>4</v>
      </c>
    </row>
    <row r="13" spans="1:39" ht="33.75" customHeight="1">
      <c r="A13" s="3259"/>
      <c r="B13" s="3262"/>
      <c r="C13" s="3262"/>
      <c r="D13" s="3251" t="s">
        <v>104</v>
      </c>
      <c r="E13" s="3253"/>
      <c r="F13" s="1039" t="s">
        <v>55</v>
      </c>
      <c r="G13" s="898" t="s">
        <v>102</v>
      </c>
      <c r="H13" s="2241"/>
      <c r="I13" s="2213"/>
      <c r="J13" s="1059" t="s">
        <v>8</v>
      </c>
      <c r="K13" s="58">
        <f>K12/25*7.5</f>
        <v>0</v>
      </c>
      <c r="L13" s="57" t="s">
        <v>10</v>
      </c>
      <c r="M13" s="1680"/>
      <c r="N13" s="1059" t="s">
        <v>8</v>
      </c>
      <c r="O13" s="58">
        <f>O12/25*7.5</f>
        <v>0</v>
      </c>
      <c r="P13" s="57" t="s">
        <v>10</v>
      </c>
      <c r="Q13" s="1680"/>
      <c r="R13" s="1059" t="s">
        <v>8</v>
      </c>
      <c r="S13" s="58">
        <f>S12/25*7.5</f>
        <v>0</v>
      </c>
      <c r="T13" s="57" t="s">
        <v>10</v>
      </c>
      <c r="U13" s="103"/>
      <c r="W13" s="3259"/>
      <c r="X13" s="3262"/>
      <c r="Y13" s="3262"/>
      <c r="Z13" s="3251" t="s">
        <v>104</v>
      </c>
      <c r="AA13" s="3253"/>
      <c r="AB13" s="2030"/>
      <c r="AC13" s="1748" t="s">
        <v>10</v>
      </c>
      <c r="AD13" s="1798"/>
      <c r="AE13" s="1766"/>
      <c r="AF13" s="2030"/>
      <c r="AG13" s="1748" t="s">
        <v>10</v>
      </c>
      <c r="AH13" s="1798"/>
      <c r="AI13" s="1766"/>
      <c r="AJ13" s="2030"/>
      <c r="AK13" s="1748" t="s">
        <v>10</v>
      </c>
      <c r="AL13" s="1798"/>
      <c r="AM13" s="1766"/>
    </row>
    <row r="14" spans="1:39" ht="33.75" customHeight="1">
      <c r="A14" s="3258">
        <v>4</v>
      </c>
      <c r="B14" s="3250" t="s">
        <v>134</v>
      </c>
      <c r="C14" s="3262"/>
      <c r="D14" s="3263" t="s">
        <v>100</v>
      </c>
      <c r="E14" s="3264"/>
      <c r="F14" s="1039" t="s">
        <v>4</v>
      </c>
      <c r="G14" s="898" t="str">
        <f>'XM.GUI MAIL'!$E$14</f>
        <v>60~80</v>
      </c>
      <c r="H14" s="2241" t="str">
        <f>'XM.GUI MAIL'!$F$14</f>
        <v>(70±10)</v>
      </c>
      <c r="I14" s="2212">
        <f>'XM.GUI MAIL'!I14</f>
        <v>0</v>
      </c>
      <c r="J14" s="1410" t="s">
        <v>8</v>
      </c>
      <c r="K14" s="1411">
        <f>'XM.GUI MAIL'!L14</f>
        <v>0</v>
      </c>
      <c r="L14" s="1412" t="s">
        <v>9</v>
      </c>
      <c r="M14" s="1407">
        <f>'XM.GUI MAIL'!P14</f>
        <v>0</v>
      </c>
      <c r="N14" s="1410" t="s">
        <v>8</v>
      </c>
      <c r="O14" s="1411">
        <f>'XM.GUI MAIL'!S14</f>
        <v>0</v>
      </c>
      <c r="P14" s="1412" t="s">
        <v>9</v>
      </c>
      <c r="Q14" s="1407">
        <f>'XM.GUI MAIL'!W14</f>
        <v>0</v>
      </c>
      <c r="R14" s="1410" t="s">
        <v>8</v>
      </c>
      <c r="S14" s="1411">
        <f>'XM.GUI MAIL'!Z14</f>
        <v>0</v>
      </c>
      <c r="T14" s="18" t="s">
        <v>9</v>
      </c>
      <c r="U14" s="103" t="s">
        <v>39</v>
      </c>
      <c r="W14" s="3258">
        <v>4</v>
      </c>
      <c r="X14" s="3250" t="s">
        <v>134</v>
      </c>
      <c r="Y14" s="3262"/>
      <c r="Z14" s="3263" t="s">
        <v>100</v>
      </c>
      <c r="AA14" s="3264"/>
      <c r="AB14" s="2030"/>
      <c r="AC14" s="1748" t="s">
        <v>9</v>
      </c>
      <c r="AD14" s="1798"/>
      <c r="AE14" s="1799" t="s">
        <v>4</v>
      </c>
      <c r="AF14" s="2030"/>
      <c r="AG14" s="1748" t="s">
        <v>9</v>
      </c>
      <c r="AH14" s="1798"/>
      <c r="AI14" s="1799" t="s">
        <v>4</v>
      </c>
      <c r="AJ14" s="2030"/>
      <c r="AK14" s="1748" t="s">
        <v>9</v>
      </c>
      <c r="AL14" s="1798"/>
      <c r="AM14" s="1799" t="s">
        <v>4</v>
      </c>
    </row>
    <row r="15" spans="1:39" ht="33.75" customHeight="1">
      <c r="A15" s="3259"/>
      <c r="B15" s="3262"/>
      <c r="C15" s="3262"/>
      <c r="D15" s="3251" t="s">
        <v>104</v>
      </c>
      <c r="E15" s="3253"/>
      <c r="F15" s="1039" t="s">
        <v>55</v>
      </c>
      <c r="G15" s="898" t="s">
        <v>102</v>
      </c>
      <c r="H15" s="2241"/>
      <c r="I15" s="2211"/>
      <c r="J15" s="1059" t="s">
        <v>8</v>
      </c>
      <c r="K15" s="58">
        <f>K14/25*7.5</f>
        <v>0</v>
      </c>
      <c r="L15" s="57" t="s">
        <v>10</v>
      </c>
      <c r="M15" s="1683"/>
      <c r="N15" s="1059" t="s">
        <v>8</v>
      </c>
      <c r="O15" s="58">
        <f>O14/25*7.5</f>
        <v>0</v>
      </c>
      <c r="P15" s="57" t="s">
        <v>10</v>
      </c>
      <c r="Q15" s="1683"/>
      <c r="R15" s="1059" t="s">
        <v>8</v>
      </c>
      <c r="S15" s="58">
        <f>S14/25*7.5</f>
        <v>0</v>
      </c>
      <c r="T15" s="57" t="s">
        <v>10</v>
      </c>
      <c r="U15" s="103"/>
      <c r="W15" s="3259"/>
      <c r="X15" s="3262"/>
      <c r="Y15" s="3262"/>
      <c r="Z15" s="3251" t="s">
        <v>104</v>
      </c>
      <c r="AA15" s="3253"/>
      <c r="AB15" s="2030"/>
      <c r="AC15" s="1748" t="s">
        <v>10</v>
      </c>
      <c r="AD15" s="1798"/>
      <c r="AE15" s="1766"/>
      <c r="AF15" s="2030"/>
      <c r="AG15" s="1748" t="s">
        <v>10</v>
      </c>
      <c r="AH15" s="1798"/>
      <c r="AI15" s="1766"/>
      <c r="AJ15" s="2030"/>
      <c r="AK15" s="1748" t="s">
        <v>10</v>
      </c>
      <c r="AL15" s="1798"/>
      <c r="AM15" s="1766"/>
    </row>
    <row r="16" spans="1:39" ht="33.75" customHeight="1">
      <c r="A16" s="3258">
        <v>5</v>
      </c>
      <c r="B16" s="3251" t="s">
        <v>79</v>
      </c>
      <c r="C16" s="3252"/>
      <c r="D16" s="3252"/>
      <c r="E16" s="3253"/>
      <c r="F16" s="1039" t="s">
        <v>4</v>
      </c>
      <c r="G16" s="1009" t="str">
        <f>'XM.GUI MAIL'!$E$16</f>
        <v>130 - 150</v>
      </c>
      <c r="H16" s="2223" t="str">
        <f>'XM.GUI MAIL'!$F$16</f>
        <v>(140±7)</v>
      </c>
      <c r="I16" s="2214">
        <f>'XM.GUI MAIL'!I16</f>
        <v>0</v>
      </c>
      <c r="J16" s="1410" t="s">
        <v>8</v>
      </c>
      <c r="K16" s="1506">
        <f>'XM.GUI MAIL'!L16</f>
        <v>0</v>
      </c>
      <c r="L16" s="1061" t="s">
        <v>9</v>
      </c>
      <c r="M16" s="1762">
        <f>'XM.GUI MAIL'!P16</f>
        <v>0</v>
      </c>
      <c r="N16" s="1410" t="s">
        <v>8</v>
      </c>
      <c r="O16" s="1506">
        <f>'XM.GUI MAIL'!S16</f>
        <v>0</v>
      </c>
      <c r="P16" s="1061" t="s">
        <v>9</v>
      </c>
      <c r="Q16" s="1762">
        <f>'XM.GUI MAIL'!W16</f>
        <v>0</v>
      </c>
      <c r="R16" s="1410" t="s">
        <v>8</v>
      </c>
      <c r="S16" s="1506">
        <f>'XM.GUI MAIL'!Z16</f>
        <v>0</v>
      </c>
      <c r="T16" s="104" t="s">
        <v>9</v>
      </c>
      <c r="U16" s="103" t="s">
        <v>40</v>
      </c>
      <c r="W16" s="3258">
        <v>5</v>
      </c>
      <c r="X16" s="3251" t="s">
        <v>79</v>
      </c>
      <c r="Y16" s="3252"/>
      <c r="Z16" s="3252"/>
      <c r="AA16" s="3253"/>
      <c r="AB16" s="2030"/>
      <c r="AC16" s="1748" t="s">
        <v>9</v>
      </c>
      <c r="AD16" s="1798"/>
      <c r="AE16" s="1800" t="s">
        <v>4</v>
      </c>
      <c r="AF16" s="2030"/>
      <c r="AG16" s="1748" t="s">
        <v>9</v>
      </c>
      <c r="AH16" s="1798"/>
      <c r="AI16" s="1800" t="s">
        <v>4</v>
      </c>
      <c r="AJ16" s="2030"/>
      <c r="AK16" s="1748" t="s">
        <v>9</v>
      </c>
      <c r="AL16" s="1798"/>
      <c r="AM16" s="1800" t="s">
        <v>4</v>
      </c>
    </row>
    <row r="17" spans="1:39" ht="33.75" customHeight="1">
      <c r="A17" s="3259"/>
      <c r="B17" s="3251" t="s">
        <v>57</v>
      </c>
      <c r="C17" s="3252"/>
      <c r="D17" s="3252"/>
      <c r="E17" s="3253"/>
      <c r="F17" s="1039" t="s">
        <v>4</v>
      </c>
      <c r="G17" s="1009" t="str">
        <f>'XM.GUI MAIL'!$E$17</f>
        <v>8~12</v>
      </c>
      <c r="H17" s="2223" t="str">
        <f>'XM.GUI MAIL'!$F$17</f>
        <v>(10±2)</v>
      </c>
      <c r="I17" s="2215">
        <f>'XM.GUI MAIL'!I17</f>
        <v>0</v>
      </c>
      <c r="J17" s="1410" t="s">
        <v>8</v>
      </c>
      <c r="K17" s="1411">
        <f>'XM.GUI MAIL'!L17</f>
        <v>0</v>
      </c>
      <c r="L17" s="1061" t="s">
        <v>9</v>
      </c>
      <c r="M17" s="1768">
        <f>'XM.GUI MAIL'!P17</f>
        <v>0</v>
      </c>
      <c r="N17" s="1410" t="s">
        <v>8</v>
      </c>
      <c r="O17" s="1411">
        <f>'XM.GUI MAIL'!S17</f>
        <v>0</v>
      </c>
      <c r="P17" s="1061" t="s">
        <v>9</v>
      </c>
      <c r="Q17" s="1768">
        <f>'XM.GUI MAIL'!W17</f>
        <v>0</v>
      </c>
      <c r="R17" s="1410" t="s">
        <v>8</v>
      </c>
      <c r="S17" s="1411">
        <f>'XM.GUI MAIL'!Z17</f>
        <v>0</v>
      </c>
      <c r="T17" s="104" t="s">
        <v>9</v>
      </c>
      <c r="U17" s="103" t="s">
        <v>41</v>
      </c>
      <c r="W17" s="3259"/>
      <c r="X17" s="3251" t="s">
        <v>57</v>
      </c>
      <c r="Y17" s="3252"/>
      <c r="Z17" s="3252"/>
      <c r="AA17" s="3253"/>
      <c r="AB17" s="2030"/>
      <c r="AC17" s="1748" t="s">
        <v>9</v>
      </c>
      <c r="AD17" s="1798"/>
      <c r="AE17" s="1800" t="s">
        <v>4</v>
      </c>
      <c r="AF17" s="2030"/>
      <c r="AG17" s="1748" t="s">
        <v>9</v>
      </c>
      <c r="AH17" s="1798"/>
      <c r="AI17" s="1800" t="s">
        <v>4</v>
      </c>
      <c r="AJ17" s="2030"/>
      <c r="AK17" s="1748" t="s">
        <v>9</v>
      </c>
      <c r="AL17" s="1798"/>
      <c r="AM17" s="1800" t="s">
        <v>4</v>
      </c>
    </row>
    <row r="18" spans="1:39" ht="33.75" customHeight="1">
      <c r="A18" s="3258">
        <v>6</v>
      </c>
      <c r="B18" s="3083" t="s">
        <v>983</v>
      </c>
      <c r="C18" s="3084"/>
      <c r="D18" s="3084"/>
      <c r="E18" s="3085"/>
      <c r="F18" s="1039" t="s">
        <v>3</v>
      </c>
      <c r="G18" s="1009" t="str">
        <f>'XM.GUI MAIL'!$E$18</f>
        <v xml:space="preserve">12~18 </v>
      </c>
      <c r="H18" s="2223" t="str">
        <f>'XM.GUI MAIL'!$F$18</f>
        <v>(14±2)</v>
      </c>
      <c r="I18" s="2216">
        <f>'XM.GUI MAIL'!I18</f>
        <v>0</v>
      </c>
      <c r="J18" s="1059" t="s">
        <v>8</v>
      </c>
      <c r="K18" s="56">
        <f>'XM.GUI MAIL'!L18</f>
        <v>0</v>
      </c>
      <c r="L18" s="57" t="s">
        <v>10</v>
      </c>
      <c r="M18" s="1738">
        <f>'XM.GUI MAIL'!P18</f>
        <v>0</v>
      </c>
      <c r="N18" s="1059" t="s">
        <v>8</v>
      </c>
      <c r="O18" s="56">
        <f>'XM.GUI MAIL'!S18</f>
        <v>0</v>
      </c>
      <c r="P18" s="57" t="s">
        <v>10</v>
      </c>
      <c r="Q18" s="1738">
        <f>'XM.GUI MAIL'!W18</f>
        <v>0</v>
      </c>
      <c r="R18" s="1059" t="s">
        <v>8</v>
      </c>
      <c r="S18" s="56">
        <f>'XM.GUI MAIL'!Z18</f>
        <v>0</v>
      </c>
      <c r="T18" s="57" t="s">
        <v>10</v>
      </c>
      <c r="U18" s="103" t="s">
        <v>42</v>
      </c>
      <c r="W18" s="3258">
        <v>6</v>
      </c>
      <c r="X18" s="3083" t="s">
        <v>983</v>
      </c>
      <c r="Y18" s="3084"/>
      <c r="Z18" s="3084"/>
      <c r="AA18" s="3085"/>
      <c r="AB18" s="2030"/>
      <c r="AC18" s="1748" t="s">
        <v>10</v>
      </c>
      <c r="AD18" s="1798"/>
      <c r="AE18" s="1766" t="s">
        <v>3</v>
      </c>
      <c r="AF18" s="2030"/>
      <c r="AG18" s="1748" t="s">
        <v>10</v>
      </c>
      <c r="AH18" s="1798"/>
      <c r="AI18" s="1766" t="s">
        <v>3</v>
      </c>
      <c r="AJ18" s="2030"/>
      <c r="AK18" s="1748" t="s">
        <v>10</v>
      </c>
      <c r="AL18" s="1798"/>
      <c r="AM18" s="1766" t="s">
        <v>3</v>
      </c>
    </row>
    <row r="19" spans="1:39" ht="33.75" customHeight="1">
      <c r="A19" s="3259"/>
      <c r="B19" s="3086"/>
      <c r="C19" s="3087"/>
      <c r="D19" s="3087"/>
      <c r="E19" s="3088"/>
      <c r="F19" s="1039" t="s">
        <v>5</v>
      </c>
      <c r="G19" s="1009" t="str">
        <f>'XM.GUI MAIL'!$E$19</f>
        <v>1.6~2.2</v>
      </c>
      <c r="H19" s="2223" t="str">
        <f>'XM.GUI MAIL'!$F$19</f>
        <v>(2±0.2 )</v>
      </c>
      <c r="I19" s="2215">
        <f>'XM.GUI MAIL'!I19</f>
        <v>0</v>
      </c>
      <c r="J19" s="1413"/>
      <c r="K19" s="1411">
        <f>'XM.GUI MAIL'!L19</f>
        <v>0</v>
      </c>
      <c r="L19" s="1414"/>
      <c r="M19" s="1768">
        <f>'XM.GUI MAIL'!P19</f>
        <v>0</v>
      </c>
      <c r="N19" s="1413"/>
      <c r="O19" s="1411">
        <f>'XM.GUI MAIL'!S19</f>
        <v>0</v>
      </c>
      <c r="P19" s="1414"/>
      <c r="Q19" s="1768">
        <f>'XM.GUI MAIL'!W19</f>
        <v>0</v>
      </c>
      <c r="R19" s="1413"/>
      <c r="S19" s="1411">
        <f>'XM.GUI MAIL'!Z19</f>
        <v>0</v>
      </c>
      <c r="T19" s="6"/>
      <c r="U19" s="103"/>
      <c r="W19" s="3259"/>
      <c r="X19" s="3086"/>
      <c r="Y19" s="3087"/>
      <c r="Z19" s="3087"/>
      <c r="AA19" s="3088"/>
      <c r="AB19" s="2030"/>
      <c r="AC19" s="1748"/>
      <c r="AD19" s="1798"/>
      <c r="AE19" s="1801" t="s">
        <v>5</v>
      </c>
      <c r="AF19" s="2030"/>
      <c r="AG19" s="1748"/>
      <c r="AH19" s="1798"/>
      <c r="AI19" s="1801" t="s">
        <v>5</v>
      </c>
      <c r="AJ19" s="2030"/>
      <c r="AK19" s="1748"/>
      <c r="AL19" s="1798"/>
      <c r="AM19" s="1801" t="s">
        <v>5</v>
      </c>
    </row>
    <row r="20" spans="1:39" ht="33.75" customHeight="1">
      <c r="A20" s="103">
        <v>7</v>
      </c>
      <c r="B20" s="3251" t="s">
        <v>58</v>
      </c>
      <c r="C20" s="3252"/>
      <c r="D20" s="3252"/>
      <c r="E20" s="3253"/>
      <c r="F20" s="1029" t="s">
        <v>6</v>
      </c>
      <c r="G20" s="1009" t="str">
        <f>'XM.GUI MAIL'!$E$20</f>
        <v xml:space="preserve">40~50 </v>
      </c>
      <c r="H20" s="2223" t="str">
        <f>'XM.GUI MAIL'!$F$20</f>
        <v>(45±5)</v>
      </c>
      <c r="I20" s="2217">
        <f>'XM.GUI MAIL'!I20</f>
        <v>0</v>
      </c>
      <c r="J20" s="1410" t="s">
        <v>8</v>
      </c>
      <c r="K20" s="1411">
        <f>'XM.GUI MAIL'!L20</f>
        <v>0</v>
      </c>
      <c r="L20" s="1412" t="s">
        <v>10</v>
      </c>
      <c r="M20" s="1743">
        <f>'XM.GUI MAIL'!P20</f>
        <v>0</v>
      </c>
      <c r="N20" s="1410" t="s">
        <v>8</v>
      </c>
      <c r="O20" s="1411">
        <f>'XM.GUI MAIL'!S20</f>
        <v>0</v>
      </c>
      <c r="P20" s="1412" t="s">
        <v>10</v>
      </c>
      <c r="Q20" s="1743">
        <f>'XM.GUI MAIL'!W20</f>
        <v>0</v>
      </c>
      <c r="R20" s="1410" t="s">
        <v>8</v>
      </c>
      <c r="S20" s="1411">
        <f>'XM.GUI MAIL'!Z20</f>
        <v>0</v>
      </c>
      <c r="T20" s="18" t="s">
        <v>10</v>
      </c>
      <c r="U20" s="103" t="s">
        <v>43</v>
      </c>
      <c r="W20" s="103">
        <v>7</v>
      </c>
      <c r="X20" s="3251" t="s">
        <v>58</v>
      </c>
      <c r="Y20" s="3252"/>
      <c r="Z20" s="3252"/>
      <c r="AA20" s="3253"/>
      <c r="AB20" s="2030"/>
      <c r="AC20" s="1803" t="s">
        <v>10</v>
      </c>
      <c r="AD20" s="1798"/>
      <c r="AE20" s="1799" t="s">
        <v>6</v>
      </c>
      <c r="AF20" s="2030"/>
      <c r="AG20" s="1803" t="s">
        <v>10</v>
      </c>
      <c r="AH20" s="1798"/>
      <c r="AI20" s="1799" t="s">
        <v>6</v>
      </c>
      <c r="AJ20" s="2030"/>
      <c r="AK20" s="1803" t="s">
        <v>10</v>
      </c>
      <c r="AL20" s="1798"/>
      <c r="AM20" s="1799" t="s">
        <v>6</v>
      </c>
    </row>
    <row r="21" spans="1:39" ht="33.75" hidden="1" customHeight="1">
      <c r="A21" s="103">
        <v>8</v>
      </c>
      <c r="B21" s="3251" t="s">
        <v>59</v>
      </c>
      <c r="C21" s="3252"/>
      <c r="D21" s="3252"/>
      <c r="E21" s="3253"/>
      <c r="F21" s="1029" t="s">
        <v>6</v>
      </c>
      <c r="G21" s="1009" t="str">
        <f>'XM.GUI MAIL'!$E$21</f>
        <v>(22±5) =17~27</v>
      </c>
      <c r="H21" s="2223" t="str">
        <f>'XM.GUI MAIL'!$F$21</f>
        <v>(22±5)</v>
      </c>
      <c r="I21" s="2218">
        <f>'XM.GUI MAIL'!I21</f>
        <v>0</v>
      </c>
      <c r="J21" s="1059" t="s">
        <v>8</v>
      </c>
      <c r="K21" s="56">
        <f>'XM.GUI MAIL'!L21</f>
        <v>0</v>
      </c>
      <c r="L21" s="57" t="s">
        <v>10</v>
      </c>
      <c r="M21" s="1772">
        <f>'XM.GUI MAIL'!P21</f>
        <v>0</v>
      </c>
      <c r="N21" s="1059" t="s">
        <v>8</v>
      </c>
      <c r="O21" s="56">
        <f>'XM.GUI MAIL'!S21</f>
        <v>0</v>
      </c>
      <c r="P21" s="57" t="s">
        <v>10</v>
      </c>
      <c r="Q21" s="1772">
        <f>'XM.GUI MAIL'!W21</f>
        <v>0</v>
      </c>
      <c r="R21" s="1059" t="s">
        <v>8</v>
      </c>
      <c r="S21" s="56">
        <f>'XM.GUI MAIL'!Z21</f>
        <v>0</v>
      </c>
      <c r="T21" s="18" t="s">
        <v>10</v>
      </c>
      <c r="U21" s="103" t="s">
        <v>43</v>
      </c>
      <c r="W21" s="103">
        <v>8</v>
      </c>
      <c r="X21" s="3251" t="s">
        <v>59</v>
      </c>
      <c r="Y21" s="3252"/>
      <c r="Z21" s="3252"/>
      <c r="AA21" s="3253"/>
      <c r="AB21" s="2030"/>
      <c r="AC21" s="1803" t="s">
        <v>10</v>
      </c>
      <c r="AD21" s="1798"/>
      <c r="AE21" s="1799" t="s">
        <v>6</v>
      </c>
      <c r="AF21" s="2030"/>
      <c r="AG21" s="1803" t="s">
        <v>10</v>
      </c>
      <c r="AH21" s="1798"/>
      <c r="AI21" s="1799" t="s">
        <v>6</v>
      </c>
      <c r="AJ21" s="2030"/>
      <c r="AK21" s="1803" t="s">
        <v>10</v>
      </c>
      <c r="AL21" s="1798"/>
      <c r="AM21" s="1799" t="s">
        <v>6</v>
      </c>
    </row>
    <row r="22" spans="1:39" ht="33.75" hidden="1" customHeight="1">
      <c r="A22" s="103">
        <v>9</v>
      </c>
      <c r="B22" s="3251" t="s">
        <v>108</v>
      </c>
      <c r="C22" s="3252"/>
      <c r="D22" s="3252"/>
      <c r="E22" s="3253"/>
      <c r="F22" s="1029" t="s">
        <v>6</v>
      </c>
      <c r="G22" s="1009" t="str">
        <f>'XM.GUI MAIL'!$E$22</f>
        <v>5~15</v>
      </c>
      <c r="H22" s="2223" t="str">
        <f>'XM.GUI MAIL'!$F$22</f>
        <v>(30±4)</v>
      </c>
      <c r="I22" s="2218">
        <f>'XM.GUI MAIL'!I22</f>
        <v>0</v>
      </c>
      <c r="J22" s="1410" t="s">
        <v>8</v>
      </c>
      <c r="K22" s="1411">
        <f>'XM.GUI MAIL'!L22</f>
        <v>0</v>
      </c>
      <c r="L22" s="1412" t="s">
        <v>10</v>
      </c>
      <c r="M22" s="1772">
        <f>'XM.GUI MAIL'!P22</f>
        <v>0</v>
      </c>
      <c r="N22" s="1410" t="s">
        <v>8</v>
      </c>
      <c r="O22" s="1411">
        <f>'XM.GUI MAIL'!S22</f>
        <v>0</v>
      </c>
      <c r="P22" s="1412" t="s">
        <v>10</v>
      </c>
      <c r="Q22" s="1772">
        <f>'XM.GUI MAIL'!W22</f>
        <v>0</v>
      </c>
      <c r="R22" s="1410" t="s">
        <v>8</v>
      </c>
      <c r="S22" s="1411">
        <f>'XM.GUI MAIL'!Z22</f>
        <v>0</v>
      </c>
      <c r="T22" s="18" t="s">
        <v>10</v>
      </c>
      <c r="U22" s="103" t="s">
        <v>44</v>
      </c>
      <c r="W22" s="103">
        <v>9</v>
      </c>
      <c r="X22" s="3251" t="s">
        <v>108</v>
      </c>
      <c r="Y22" s="3252"/>
      <c r="Z22" s="3252"/>
      <c r="AA22" s="3253"/>
      <c r="AB22" s="2030"/>
      <c r="AC22" s="1803" t="s">
        <v>10</v>
      </c>
      <c r="AD22" s="1798"/>
      <c r="AE22" s="1799" t="s">
        <v>6</v>
      </c>
      <c r="AF22" s="2030"/>
      <c r="AG22" s="1803" t="s">
        <v>10</v>
      </c>
      <c r="AH22" s="1798"/>
      <c r="AI22" s="1799" t="s">
        <v>6</v>
      </c>
      <c r="AJ22" s="2030"/>
      <c r="AK22" s="1803" t="s">
        <v>10</v>
      </c>
      <c r="AL22" s="1798"/>
      <c r="AM22" s="1799" t="s">
        <v>6</v>
      </c>
    </row>
    <row r="23" spans="1:39" ht="33.75" customHeight="1">
      <c r="A23" s="103">
        <v>10</v>
      </c>
      <c r="B23" s="3251" t="s">
        <v>107</v>
      </c>
      <c r="C23" s="3252"/>
      <c r="D23" s="3252"/>
      <c r="E23" s="3253"/>
      <c r="F23" s="1029" t="s">
        <v>3</v>
      </c>
      <c r="G23" s="1009" t="str">
        <f>'XM.GUI MAIL'!$E$23</f>
        <v>0.5~1.5</v>
      </c>
      <c r="H23" s="2223" t="str">
        <f>'XM.GUI MAIL'!$F$23</f>
        <v>(1±0.4)</v>
      </c>
      <c r="I23" s="2219">
        <f>'XM.GUI MAIL'!I23</f>
        <v>0</v>
      </c>
      <c r="J23" s="1410" t="s">
        <v>8</v>
      </c>
      <c r="K23" s="1415">
        <f>'XM.GUI MAIL'!L23</f>
        <v>0</v>
      </c>
      <c r="L23" s="1412" t="s">
        <v>10</v>
      </c>
      <c r="M23" s="1774">
        <f>'XM.GUI MAIL'!P23</f>
        <v>0</v>
      </c>
      <c r="N23" s="1410" t="s">
        <v>8</v>
      </c>
      <c r="O23" s="1415">
        <f>'XM.GUI MAIL'!S23</f>
        <v>0</v>
      </c>
      <c r="P23" s="1412" t="s">
        <v>10</v>
      </c>
      <c r="Q23" s="1774">
        <f>'XM.GUI MAIL'!W23</f>
        <v>0</v>
      </c>
      <c r="R23" s="1410" t="s">
        <v>8</v>
      </c>
      <c r="S23" s="1415">
        <f>'XM.GUI MAIL'!Z23</f>
        <v>0</v>
      </c>
      <c r="T23" s="18" t="s">
        <v>10</v>
      </c>
      <c r="U23" s="103" t="s">
        <v>44</v>
      </c>
      <c r="W23" s="103">
        <v>10</v>
      </c>
      <c r="X23" s="3251" t="s">
        <v>107</v>
      </c>
      <c r="Y23" s="3252"/>
      <c r="Z23" s="3252"/>
      <c r="AA23" s="3253"/>
      <c r="AB23" s="2030"/>
      <c r="AC23" s="1803" t="s">
        <v>10</v>
      </c>
      <c r="AD23" s="1798"/>
      <c r="AE23" s="1799" t="s">
        <v>3</v>
      </c>
      <c r="AF23" s="2030"/>
      <c r="AG23" s="1803" t="s">
        <v>10</v>
      </c>
      <c r="AH23" s="1798"/>
      <c r="AI23" s="1799" t="s">
        <v>3</v>
      </c>
      <c r="AJ23" s="2030"/>
      <c r="AK23" s="1803" t="s">
        <v>10</v>
      </c>
      <c r="AL23" s="1798"/>
      <c r="AM23" s="1799" t="s">
        <v>3</v>
      </c>
    </row>
    <row r="24" spans="1:39" ht="30.75" customHeight="1">
      <c r="A24" s="3260">
        <v>13</v>
      </c>
      <c r="B24" s="3083" t="s">
        <v>74</v>
      </c>
      <c r="C24" s="3084"/>
      <c r="D24" s="3084"/>
      <c r="E24" s="3085"/>
      <c r="F24" s="1039" t="s">
        <v>3</v>
      </c>
      <c r="G24" s="1009" t="str">
        <f>'XM.GUI MAIL'!$E$24</f>
        <v>5~10</v>
      </c>
      <c r="H24" s="2223" t="str">
        <f>'XM.GUI MAIL'!$F$24</f>
        <v>(7.5±1)</v>
      </c>
      <c r="I24" s="2220" t="str">
        <f>'XM.GUI MAIL'!I24</f>
        <v/>
      </c>
      <c r="J24" s="1059" t="s">
        <v>8</v>
      </c>
      <c r="K24" s="58" t="str">
        <f>'XM.GUI MAIL'!L24</f>
        <v/>
      </c>
      <c r="L24" s="57" t="s">
        <v>10</v>
      </c>
      <c r="M24" s="1840" t="str">
        <f>'XM.GUI MAIL'!P24</f>
        <v/>
      </c>
      <c r="N24" s="1059" t="s">
        <v>8</v>
      </c>
      <c r="O24" s="58" t="str">
        <f>'XM.GUI MAIL'!S24</f>
        <v/>
      </c>
      <c r="P24" s="57" t="s">
        <v>10</v>
      </c>
      <c r="Q24" s="1840" t="str">
        <f>'XM.GUI MAIL'!W24</f>
        <v/>
      </c>
      <c r="R24" s="1059" t="s">
        <v>8</v>
      </c>
      <c r="S24" s="58" t="str">
        <f>'XM.GUI MAIL'!Z24</f>
        <v/>
      </c>
      <c r="T24" s="57" t="s">
        <v>10</v>
      </c>
      <c r="U24" s="103"/>
      <c r="W24" s="3260">
        <v>13</v>
      </c>
      <c r="X24" s="3083" t="s">
        <v>74</v>
      </c>
      <c r="Y24" s="3084"/>
      <c r="Z24" s="3084"/>
      <c r="AA24" s="3085"/>
      <c r="AB24" s="2030"/>
      <c r="AC24" s="1748" t="s">
        <v>10</v>
      </c>
      <c r="AD24" s="1798"/>
      <c r="AE24" s="1766" t="s">
        <v>3</v>
      </c>
      <c r="AF24" s="2030"/>
      <c r="AG24" s="1748" t="s">
        <v>10</v>
      </c>
      <c r="AH24" s="1798"/>
      <c r="AI24" s="1766" t="s">
        <v>3</v>
      </c>
      <c r="AJ24" s="2030"/>
      <c r="AK24" s="1748" t="s">
        <v>10</v>
      </c>
      <c r="AL24" s="1798"/>
      <c r="AM24" s="1766" t="s">
        <v>3</v>
      </c>
    </row>
    <row r="25" spans="1:39" ht="30.75" customHeight="1">
      <c r="A25" s="3261"/>
      <c r="B25" s="3086"/>
      <c r="C25" s="3087"/>
      <c r="D25" s="3087"/>
      <c r="E25" s="3088"/>
      <c r="F25" s="1039" t="s">
        <v>5</v>
      </c>
      <c r="G25" s="1009" t="str">
        <f>'XM.GUI MAIL'!$E$25</f>
        <v>1.8~2.2</v>
      </c>
      <c r="H25" s="2223" t="str">
        <f>'XM.GUI MAIL'!$F$25</f>
        <v>(2±0.1)</v>
      </c>
      <c r="I25" s="2251">
        <f>'XM.GUI MAIL'!I25</f>
        <v>0</v>
      </c>
      <c r="J25" s="1059"/>
      <c r="K25" s="56">
        <f>'XM.GUI MAIL'!L25</f>
        <v>0</v>
      </c>
      <c r="L25" s="2253"/>
      <c r="M25" s="2252">
        <f>'XM.GUI MAIL'!P25</f>
        <v>0</v>
      </c>
      <c r="N25" s="1059"/>
      <c r="O25" s="56">
        <f>'XM.GUI MAIL'!S25</f>
        <v>0</v>
      </c>
      <c r="P25" s="57"/>
      <c r="Q25" s="2252">
        <f>'XM.GUI MAIL'!W25</f>
        <v>0</v>
      </c>
      <c r="R25" s="1059"/>
      <c r="S25" s="56">
        <f>'XM.GUI MAIL'!Z25</f>
        <v>0</v>
      </c>
      <c r="T25" s="57"/>
      <c r="U25" s="103"/>
      <c r="W25" s="3261"/>
      <c r="X25" s="3086"/>
      <c r="Y25" s="3087"/>
      <c r="Z25" s="3087"/>
      <c r="AA25" s="3088"/>
      <c r="AB25" s="2031"/>
      <c r="AC25" s="1748"/>
      <c r="AD25" s="1818"/>
      <c r="AE25" s="1766" t="s">
        <v>5</v>
      </c>
      <c r="AF25" s="2031"/>
      <c r="AG25" s="1748"/>
      <c r="AH25" s="1818"/>
      <c r="AI25" s="1766" t="s">
        <v>5</v>
      </c>
      <c r="AJ25" s="2031"/>
      <c r="AK25" s="1748"/>
      <c r="AL25" s="1818"/>
      <c r="AM25" s="1766" t="s">
        <v>5</v>
      </c>
    </row>
    <row r="26" spans="1:39" ht="33.75" customHeight="1">
      <c r="A26" s="259"/>
      <c r="B26" s="260"/>
      <c r="C26" s="260"/>
      <c r="D26" s="260"/>
      <c r="E26" s="260"/>
      <c r="F26" s="260"/>
      <c r="G26" s="258" t="s">
        <v>109</v>
      </c>
      <c r="H26" s="258"/>
      <c r="I26" s="260"/>
      <c r="J26" s="260"/>
      <c r="K26" s="260"/>
      <c r="L26" s="260"/>
      <c r="M26" s="260"/>
      <c r="N26" s="260"/>
      <c r="O26" s="260"/>
      <c r="P26" s="260"/>
      <c r="Q26" s="260"/>
      <c r="R26" s="260"/>
      <c r="S26" s="260"/>
      <c r="T26" s="260"/>
      <c r="U26" s="261"/>
      <c r="W26" s="1520"/>
      <c r="X26" s="260"/>
      <c r="Y26" s="260"/>
      <c r="Z26" s="260"/>
      <c r="AA26" s="260"/>
      <c r="AB26" s="260"/>
      <c r="AC26" s="260"/>
      <c r="AD26" s="260"/>
      <c r="AE26" s="260"/>
      <c r="AF26" s="260"/>
      <c r="AG26" s="260"/>
      <c r="AH26" s="260"/>
      <c r="AI26" s="260"/>
      <c r="AJ26" s="260"/>
      <c r="AK26" s="260"/>
      <c r="AL26" s="260"/>
      <c r="AM26" s="260"/>
    </row>
    <row r="27" spans="1:39" ht="33.75" customHeight="1">
      <c r="A27" s="103" t="s">
        <v>7</v>
      </c>
      <c r="B27" s="3251" t="s">
        <v>61</v>
      </c>
      <c r="C27" s="3252"/>
      <c r="D27" s="3252"/>
      <c r="E27" s="3253"/>
      <c r="F27" s="1032" t="s">
        <v>63</v>
      </c>
      <c r="G27" s="978" t="s">
        <v>1310</v>
      </c>
      <c r="H27" s="2224" t="s">
        <v>1302</v>
      </c>
      <c r="I27" s="3080" t="s">
        <v>45</v>
      </c>
      <c r="J27" s="3081"/>
      <c r="K27" s="3081" t="s">
        <v>62</v>
      </c>
      <c r="L27" s="3081"/>
      <c r="M27" s="3081" t="s">
        <v>45</v>
      </c>
      <c r="N27" s="3081"/>
      <c r="O27" s="3081" t="s">
        <v>62</v>
      </c>
      <c r="P27" s="3081"/>
      <c r="Q27" s="3081" t="s">
        <v>45</v>
      </c>
      <c r="R27" s="3081"/>
      <c r="S27" s="3081" t="s">
        <v>62</v>
      </c>
      <c r="T27" s="3081"/>
      <c r="U27" s="1022"/>
      <c r="W27" s="103" t="s">
        <v>7</v>
      </c>
      <c r="X27" s="3251" t="s">
        <v>61</v>
      </c>
      <c r="Y27" s="3252"/>
      <c r="Z27" s="3252"/>
      <c r="AA27" s="3253"/>
      <c r="AB27" s="3285" t="s">
        <v>1360</v>
      </c>
      <c r="AC27" s="3062"/>
      <c r="AD27" s="3062"/>
      <c r="AE27" s="3063"/>
      <c r="AF27" s="3285" t="s">
        <v>1360</v>
      </c>
      <c r="AG27" s="3062"/>
      <c r="AH27" s="3062"/>
      <c r="AI27" s="3063"/>
      <c r="AJ27" s="3285" t="s">
        <v>1360</v>
      </c>
      <c r="AK27" s="3062"/>
      <c r="AL27" s="3062"/>
      <c r="AM27" s="3063"/>
    </row>
    <row r="28" spans="1:39" ht="31.5" customHeight="1">
      <c r="A28" s="103">
        <v>1</v>
      </c>
      <c r="B28" s="3251" t="s">
        <v>65</v>
      </c>
      <c r="C28" s="3252"/>
      <c r="D28" s="3252"/>
      <c r="E28" s="3253"/>
      <c r="F28" s="21" t="s">
        <v>105</v>
      </c>
      <c r="G28" s="1010" t="str">
        <f>'XM.GUI MAIL'!$E$28</f>
        <v>50~70</v>
      </c>
      <c r="H28" s="2242" t="str">
        <f>'XM.GUI MAIL'!$F$28</f>
        <v>(60±5)</v>
      </c>
      <c r="I28" s="3113">
        <f>'XM.FILE GOC'!I28</f>
        <v>0</v>
      </c>
      <c r="J28" s="3112"/>
      <c r="K28" s="3112">
        <f>'XM.GUI MAIL'!L28</f>
        <v>0</v>
      </c>
      <c r="L28" s="3112"/>
      <c r="M28" s="3112">
        <f>'XM.FILE GOC'!P28</f>
        <v>0</v>
      </c>
      <c r="N28" s="3112"/>
      <c r="O28" s="3112">
        <f>'XM.GUI MAIL'!S28</f>
        <v>0</v>
      </c>
      <c r="P28" s="3112"/>
      <c r="Q28" s="3112">
        <f>'XM.FILE GOC'!W28</f>
        <v>0</v>
      </c>
      <c r="R28" s="3112"/>
      <c r="S28" s="3112">
        <f>'XM.GUI MAIL'!Z28</f>
        <v>0</v>
      </c>
      <c r="T28" s="3112"/>
      <c r="U28" s="103"/>
      <c r="W28" s="103">
        <v>1</v>
      </c>
      <c r="X28" s="3251" t="s">
        <v>65</v>
      </c>
      <c r="Y28" s="3252"/>
      <c r="Z28" s="3252"/>
      <c r="AA28" s="3253"/>
      <c r="AB28" s="1511"/>
      <c r="AC28" s="1794"/>
      <c r="AD28" s="1512"/>
      <c r="AE28" s="1794"/>
      <c r="AF28" s="1511"/>
      <c r="AG28" s="1794"/>
      <c r="AH28" s="1794"/>
      <c r="AI28" s="1512"/>
      <c r="AJ28" s="1511"/>
      <c r="AK28" s="1794"/>
      <c r="AL28" s="1794"/>
      <c r="AM28" s="1512"/>
    </row>
    <row r="29" spans="1:39" ht="31.5" customHeight="1">
      <c r="A29" s="103">
        <v>2</v>
      </c>
      <c r="B29" s="3251" t="s">
        <v>66</v>
      </c>
      <c r="C29" s="3252" t="s">
        <v>66</v>
      </c>
      <c r="D29" s="3252" t="s">
        <v>66</v>
      </c>
      <c r="E29" s="3253" t="s">
        <v>66</v>
      </c>
      <c r="F29" s="21" t="s">
        <v>105</v>
      </c>
      <c r="G29" s="1010" t="str">
        <f>'XM.GUI MAIL'!$E$29</f>
        <v>50~70</v>
      </c>
      <c r="H29" s="2242" t="str">
        <f>'XM.GUI MAIL'!$F$29</f>
        <v>(60±5)</v>
      </c>
      <c r="I29" s="3113">
        <f>'XM.FILE GOC'!I29</f>
        <v>0</v>
      </c>
      <c r="J29" s="3112"/>
      <c r="K29" s="3112">
        <f>'XM.GUI MAIL'!L29</f>
        <v>0</v>
      </c>
      <c r="L29" s="3112"/>
      <c r="M29" s="3112">
        <f>'XM.FILE GOC'!P29</f>
        <v>0</v>
      </c>
      <c r="N29" s="3112"/>
      <c r="O29" s="3112">
        <f>'XM.GUI MAIL'!S29</f>
        <v>0</v>
      </c>
      <c r="P29" s="3112"/>
      <c r="Q29" s="3112">
        <f>'XM.FILE GOC'!W29</f>
        <v>0</v>
      </c>
      <c r="R29" s="3112"/>
      <c r="S29" s="3112">
        <f>'XM.GUI MAIL'!Z29</f>
        <v>0</v>
      </c>
      <c r="T29" s="3112"/>
      <c r="U29" s="103"/>
      <c r="W29" s="103">
        <v>2</v>
      </c>
      <c r="X29" s="3251" t="s">
        <v>66</v>
      </c>
      <c r="Y29" s="3252" t="s">
        <v>66</v>
      </c>
      <c r="Z29" s="3252" t="s">
        <v>66</v>
      </c>
      <c r="AA29" s="3253" t="s">
        <v>66</v>
      </c>
      <c r="AB29" s="1511"/>
      <c r="AC29" s="1794"/>
      <c r="AD29" s="1512"/>
      <c r="AE29" s="1794"/>
      <c r="AF29" s="1511"/>
      <c r="AG29" s="1794"/>
      <c r="AH29" s="1794"/>
      <c r="AI29" s="1512"/>
      <c r="AJ29" s="1511"/>
      <c r="AK29" s="1794"/>
      <c r="AL29" s="1794"/>
      <c r="AM29" s="1512"/>
    </row>
    <row r="30" spans="1:39" ht="31.5" customHeight="1">
      <c r="A30" s="103">
        <v>3</v>
      </c>
      <c r="B30" s="3251" t="s">
        <v>68</v>
      </c>
      <c r="C30" s="3252" t="s">
        <v>68</v>
      </c>
      <c r="D30" s="3252" t="s">
        <v>68</v>
      </c>
      <c r="E30" s="3253" t="s">
        <v>68</v>
      </c>
      <c r="F30" s="21" t="s">
        <v>105</v>
      </c>
      <c r="G30" s="1010" t="str">
        <f>'XM.GUI MAIL'!$E$30</f>
        <v>40~60</v>
      </c>
      <c r="H30" s="2242" t="str">
        <f>'XM.GUI MAIL'!$F$30</f>
        <v>(50±5)</v>
      </c>
      <c r="I30" s="3032">
        <f>'XM.FILE GOC'!I30</f>
        <v>0</v>
      </c>
      <c r="J30" s="3026"/>
      <c r="K30" s="3033">
        <f>'XM.GUI MAIL'!L30</f>
        <v>0</v>
      </c>
      <c r="L30" s="3026"/>
      <c r="M30" s="3033">
        <f>'XM.FILE GOC'!P30</f>
        <v>0</v>
      </c>
      <c r="N30" s="3026"/>
      <c r="O30" s="3033">
        <f>'XM.GUI MAIL'!S30</f>
        <v>0</v>
      </c>
      <c r="P30" s="3026"/>
      <c r="Q30" s="3033">
        <f>'XM.FILE GOC'!W30</f>
        <v>0</v>
      </c>
      <c r="R30" s="3026"/>
      <c r="S30" s="3033">
        <f>'XM.GUI MAIL'!Z30</f>
        <v>0</v>
      </c>
      <c r="T30" s="3026"/>
      <c r="U30" s="103"/>
      <c r="W30" s="103">
        <v>3</v>
      </c>
      <c r="X30" s="3251" t="s">
        <v>68</v>
      </c>
      <c r="Y30" s="3252" t="s">
        <v>68</v>
      </c>
      <c r="Z30" s="3252" t="s">
        <v>68</v>
      </c>
      <c r="AA30" s="3253" t="s">
        <v>68</v>
      </c>
      <c r="AB30" s="1511"/>
      <c r="AC30" s="1794"/>
      <c r="AD30" s="1512"/>
      <c r="AE30" s="1794"/>
      <c r="AF30" s="1511"/>
      <c r="AG30" s="1794"/>
      <c r="AH30" s="1794"/>
      <c r="AI30" s="1512"/>
      <c r="AJ30" s="1511"/>
      <c r="AK30" s="1794"/>
      <c r="AL30" s="1794"/>
      <c r="AM30" s="1512"/>
    </row>
    <row r="31" spans="1:39" ht="31.5" customHeight="1">
      <c r="A31" s="103">
        <v>4</v>
      </c>
      <c r="B31" s="3251" t="s">
        <v>67</v>
      </c>
      <c r="C31" s="3252" t="s">
        <v>67</v>
      </c>
      <c r="D31" s="3252" t="s">
        <v>67</v>
      </c>
      <c r="E31" s="3253" t="s">
        <v>67</v>
      </c>
      <c r="F31" s="21" t="s">
        <v>105</v>
      </c>
      <c r="G31" s="1010" t="str">
        <f>'XM.GUI MAIL'!$E$31</f>
        <v>40~60</v>
      </c>
      <c r="H31" s="2242" t="str">
        <f>'XM.GUI MAIL'!$F$31</f>
        <v>(50±5)</v>
      </c>
      <c r="I31" s="3032">
        <f>'XM.FILE GOC'!I31</f>
        <v>0</v>
      </c>
      <c r="J31" s="3026"/>
      <c r="K31" s="3033">
        <f>'XM.GUI MAIL'!L31</f>
        <v>0</v>
      </c>
      <c r="L31" s="3026"/>
      <c r="M31" s="3033">
        <f>'XM.FILE GOC'!P31</f>
        <v>0</v>
      </c>
      <c r="N31" s="3026"/>
      <c r="O31" s="3033">
        <f>'XM.GUI MAIL'!S31</f>
        <v>0</v>
      </c>
      <c r="P31" s="3026"/>
      <c r="Q31" s="3033">
        <f>'XM.FILE GOC'!W31</f>
        <v>0</v>
      </c>
      <c r="R31" s="3026"/>
      <c r="S31" s="3033">
        <f>'XM.GUI MAIL'!Z31</f>
        <v>0</v>
      </c>
      <c r="T31" s="3026"/>
      <c r="U31" s="103"/>
      <c r="W31" s="103">
        <v>4</v>
      </c>
      <c r="X31" s="3251" t="s">
        <v>67</v>
      </c>
      <c r="Y31" s="3252" t="s">
        <v>67</v>
      </c>
      <c r="Z31" s="3252" t="s">
        <v>67</v>
      </c>
      <c r="AA31" s="3253" t="s">
        <v>67</v>
      </c>
      <c r="AB31" s="1511"/>
      <c r="AC31" s="1794"/>
      <c r="AD31" s="1512"/>
      <c r="AE31" s="1794"/>
      <c r="AF31" s="1511"/>
      <c r="AG31" s="1794"/>
      <c r="AH31" s="1794"/>
      <c r="AI31" s="1512"/>
      <c r="AJ31" s="1511"/>
      <c r="AK31" s="1794"/>
      <c r="AL31" s="1794"/>
      <c r="AM31" s="1512"/>
    </row>
    <row r="32" spans="1:39" ht="31.5" customHeight="1">
      <c r="A32" s="103">
        <v>5</v>
      </c>
      <c r="B32" s="3251" t="s">
        <v>69</v>
      </c>
      <c r="C32" s="3252" t="s">
        <v>69</v>
      </c>
      <c r="D32" s="3252" t="s">
        <v>69</v>
      </c>
      <c r="E32" s="3253" t="s">
        <v>69</v>
      </c>
      <c r="F32" s="21" t="s">
        <v>105</v>
      </c>
      <c r="G32" s="1010" t="str">
        <f>'XM.GUI MAIL'!$E$32</f>
        <v>20~35</v>
      </c>
      <c r="H32" s="2242" t="str">
        <f>'XM.GUI MAIL'!$F$32</f>
        <v>(30±4)</v>
      </c>
      <c r="I32" s="3113">
        <f>'XM.FILE GOC'!I32</f>
        <v>0</v>
      </c>
      <c r="J32" s="3112"/>
      <c r="K32" s="3112">
        <f>'XM.GUI MAIL'!L32</f>
        <v>0</v>
      </c>
      <c r="L32" s="3112"/>
      <c r="M32" s="3112">
        <f>'XM.FILE GOC'!P32</f>
        <v>0</v>
      </c>
      <c r="N32" s="3112"/>
      <c r="O32" s="3112">
        <f>'XM.GUI MAIL'!S32</f>
        <v>0</v>
      </c>
      <c r="P32" s="3112"/>
      <c r="Q32" s="3112">
        <f>'XM.FILE GOC'!W32</f>
        <v>0</v>
      </c>
      <c r="R32" s="3112"/>
      <c r="S32" s="3112">
        <f>'XM.GUI MAIL'!Z32</f>
        <v>0</v>
      </c>
      <c r="T32" s="3112"/>
      <c r="U32" s="103"/>
      <c r="W32" s="103">
        <v>5</v>
      </c>
      <c r="X32" s="3251" t="s">
        <v>69</v>
      </c>
      <c r="Y32" s="3252" t="s">
        <v>69</v>
      </c>
      <c r="Z32" s="3252" t="s">
        <v>69</v>
      </c>
      <c r="AA32" s="3253" t="s">
        <v>69</v>
      </c>
      <c r="AB32" s="1511"/>
      <c r="AC32" s="1794"/>
      <c r="AD32" s="1512"/>
      <c r="AE32" s="1794"/>
      <c r="AF32" s="1511"/>
      <c r="AG32" s="1794"/>
      <c r="AH32" s="1794"/>
      <c r="AI32" s="1512"/>
      <c r="AJ32" s="1511"/>
      <c r="AK32" s="1794"/>
      <c r="AL32" s="1794"/>
      <c r="AM32" s="1512"/>
    </row>
    <row r="33" spans="1:39" ht="31.5" customHeight="1">
      <c r="A33" s="103">
        <v>6</v>
      </c>
      <c r="B33" s="3251" t="s">
        <v>982</v>
      </c>
      <c r="C33" s="3252" t="s">
        <v>982</v>
      </c>
      <c r="D33" s="3252" t="s">
        <v>982</v>
      </c>
      <c r="E33" s="3253" t="s">
        <v>982</v>
      </c>
      <c r="F33" s="21" t="s">
        <v>105</v>
      </c>
      <c r="G33" s="1010" t="str">
        <f>'XM.GUI MAIL'!$E$33</f>
        <v>30~40</v>
      </c>
      <c r="H33" s="2242" t="str">
        <f>'XM.GUI MAIL'!$F$33</f>
        <v>(34±3)</v>
      </c>
      <c r="I33" s="3113">
        <f>'XM.FILE GOC'!I33</f>
        <v>0</v>
      </c>
      <c r="J33" s="3112"/>
      <c r="K33" s="3112">
        <f>'XM.GUI MAIL'!L33</f>
        <v>0</v>
      </c>
      <c r="L33" s="3112"/>
      <c r="M33" s="3112">
        <f>'XM.FILE GOC'!P33</f>
        <v>0</v>
      </c>
      <c r="N33" s="3112"/>
      <c r="O33" s="3112">
        <f>'XM.GUI MAIL'!S33</f>
        <v>0</v>
      </c>
      <c r="P33" s="3112"/>
      <c r="Q33" s="3112">
        <f>'XM.FILE GOC'!W33</f>
        <v>0</v>
      </c>
      <c r="R33" s="3112"/>
      <c r="S33" s="3112">
        <f>'XM.GUI MAIL'!Z33</f>
        <v>0</v>
      </c>
      <c r="T33" s="3112"/>
      <c r="U33" s="103"/>
      <c r="W33" s="103">
        <v>6</v>
      </c>
      <c r="X33" s="3251" t="s">
        <v>982</v>
      </c>
      <c r="Y33" s="3252" t="s">
        <v>982</v>
      </c>
      <c r="Z33" s="3252" t="s">
        <v>982</v>
      </c>
      <c r="AA33" s="3253" t="s">
        <v>982</v>
      </c>
      <c r="AB33" s="1511"/>
      <c r="AC33" s="1794"/>
      <c r="AD33" s="1512"/>
      <c r="AE33" s="1794"/>
      <c r="AF33" s="1511"/>
      <c r="AG33" s="1794"/>
      <c r="AH33" s="1794"/>
      <c r="AI33" s="1512"/>
      <c r="AJ33" s="1511"/>
      <c r="AK33" s="1794"/>
      <c r="AL33" s="1794"/>
      <c r="AM33" s="1512"/>
    </row>
    <row r="34" spans="1:39" ht="31.5" customHeight="1">
      <c r="A34" s="103">
        <v>7</v>
      </c>
      <c r="B34" s="3251" t="s">
        <v>70</v>
      </c>
      <c r="C34" s="3252" t="s">
        <v>70</v>
      </c>
      <c r="D34" s="3252" t="s">
        <v>70</v>
      </c>
      <c r="E34" s="3253" t="s">
        <v>70</v>
      </c>
      <c r="F34" s="21" t="s">
        <v>105</v>
      </c>
      <c r="G34" s="1010" t="str">
        <f>'XM.GUI MAIL'!$E$34</f>
        <v>50~70</v>
      </c>
      <c r="H34" s="2242" t="str">
        <f>'XM.GUI MAIL'!$F$34</f>
        <v>(60±10)</v>
      </c>
      <c r="I34" s="3113">
        <f>'XM.FILE GOC'!I34</f>
        <v>0</v>
      </c>
      <c r="J34" s="3112"/>
      <c r="K34" s="3112">
        <f>'XM.GUI MAIL'!L34</f>
        <v>0</v>
      </c>
      <c r="L34" s="3112"/>
      <c r="M34" s="3112">
        <f>'XM.FILE GOC'!P34</f>
        <v>0</v>
      </c>
      <c r="N34" s="3112"/>
      <c r="O34" s="3112">
        <f>'XM.GUI MAIL'!S34</f>
        <v>0</v>
      </c>
      <c r="P34" s="3112"/>
      <c r="Q34" s="3112">
        <f>'XM.FILE GOC'!W34</f>
        <v>0</v>
      </c>
      <c r="R34" s="3112"/>
      <c r="S34" s="3112">
        <f>'XM.GUI MAIL'!Z34</f>
        <v>0</v>
      </c>
      <c r="T34" s="3112"/>
      <c r="U34" s="103"/>
      <c r="W34" s="103">
        <v>7</v>
      </c>
      <c r="X34" s="3251" t="s">
        <v>70</v>
      </c>
      <c r="Y34" s="3252" t="s">
        <v>70</v>
      </c>
      <c r="Z34" s="3252" t="s">
        <v>70</v>
      </c>
      <c r="AA34" s="3253" t="s">
        <v>70</v>
      </c>
      <c r="AB34" s="1511"/>
      <c r="AC34" s="1794"/>
      <c r="AD34" s="1512"/>
      <c r="AE34" s="1794"/>
      <c r="AF34" s="1511"/>
      <c r="AG34" s="1794"/>
      <c r="AH34" s="1794"/>
      <c r="AI34" s="1512"/>
      <c r="AJ34" s="1511"/>
      <c r="AK34" s="1794"/>
      <c r="AL34" s="1794"/>
      <c r="AM34" s="1512"/>
    </row>
    <row r="35" spans="1:39" ht="31.5" customHeight="1">
      <c r="A35" s="103">
        <v>8</v>
      </c>
      <c r="B35" s="3254" t="s">
        <v>71</v>
      </c>
      <c r="C35" s="3255" t="s">
        <v>71</v>
      </c>
      <c r="D35" s="3255" t="s">
        <v>71</v>
      </c>
      <c r="E35" s="3256" t="s">
        <v>71</v>
      </c>
      <c r="F35" s="21" t="s">
        <v>105</v>
      </c>
      <c r="G35" s="1010" t="str">
        <f>'XM.GUI MAIL'!$E$35</f>
        <v>80~100</v>
      </c>
      <c r="H35" s="2242" t="str">
        <f>'XM.GUI MAIL'!$F$35</f>
        <v>(90±5)</v>
      </c>
      <c r="I35" s="3080" t="str">
        <f>'XM.FILE GOC'!I35</f>
        <v>\</v>
      </c>
      <c r="J35" s="3081"/>
      <c r="K35" s="3112">
        <f>'XM.GUI MAIL'!L35</f>
        <v>0</v>
      </c>
      <c r="L35" s="3112"/>
      <c r="M35" s="3081" t="str">
        <f>'XM.FILE GOC'!P35</f>
        <v>\</v>
      </c>
      <c r="N35" s="3081"/>
      <c r="O35" s="3112">
        <f>'XM.GUI MAIL'!S35</f>
        <v>0</v>
      </c>
      <c r="P35" s="3112"/>
      <c r="Q35" s="3081" t="str">
        <f>'XM.FILE GOC'!W35</f>
        <v>\</v>
      </c>
      <c r="R35" s="3081"/>
      <c r="S35" s="3112">
        <f>'XM.GUI MAIL'!Z35</f>
        <v>0</v>
      </c>
      <c r="T35" s="3112"/>
      <c r="U35" s="103"/>
      <c r="W35" s="103">
        <v>8</v>
      </c>
      <c r="X35" s="3254" t="s">
        <v>71</v>
      </c>
      <c r="Y35" s="3255" t="s">
        <v>71</v>
      </c>
      <c r="Z35" s="3255" t="s">
        <v>71</v>
      </c>
      <c r="AA35" s="3256" t="s">
        <v>71</v>
      </c>
      <c r="AB35" s="1511"/>
      <c r="AC35" s="1794"/>
      <c r="AD35" s="1512"/>
      <c r="AE35" s="1794"/>
      <c r="AF35" s="1511"/>
      <c r="AG35" s="1794"/>
      <c r="AH35" s="1794"/>
      <c r="AI35" s="1512"/>
      <c r="AJ35" s="1511"/>
      <c r="AK35" s="1794"/>
      <c r="AL35" s="1794"/>
      <c r="AM35" s="1512"/>
    </row>
    <row r="36" spans="1:39" ht="33.75" customHeight="1">
      <c r="A36" s="259"/>
      <c r="B36" s="255"/>
      <c r="C36" s="256"/>
      <c r="D36" s="256"/>
      <c r="E36" s="256"/>
      <c r="F36" s="256"/>
      <c r="G36" s="258" t="s">
        <v>110</v>
      </c>
      <c r="H36" s="258"/>
      <c r="I36" s="256"/>
      <c r="J36" s="256"/>
      <c r="K36" s="256"/>
      <c r="L36" s="256"/>
      <c r="M36" s="256"/>
      <c r="N36" s="256"/>
      <c r="O36" s="256"/>
      <c r="P36" s="256"/>
      <c r="Q36" s="256"/>
      <c r="R36" s="256"/>
      <c r="S36" s="256"/>
      <c r="T36" s="256"/>
      <c r="U36" s="257"/>
      <c r="W36" s="259"/>
      <c r="X36" s="3257"/>
      <c r="Y36" s="3257"/>
      <c r="Z36" s="3257"/>
      <c r="AA36" s="3257"/>
      <c r="AB36" s="3257"/>
      <c r="AC36" s="3257"/>
      <c r="AD36" s="3257"/>
      <c r="AE36" s="3257"/>
      <c r="AF36" s="3257"/>
      <c r="AG36" s="3257"/>
      <c r="AH36" s="3257"/>
      <c r="AI36" s="3257"/>
      <c r="AJ36" s="3257"/>
      <c r="AK36" s="3257"/>
      <c r="AL36" s="3257"/>
      <c r="AM36" s="3257"/>
    </row>
    <row r="37" spans="1:39" ht="33.75" customHeight="1">
      <c r="A37" s="103" t="s">
        <v>7</v>
      </c>
      <c r="B37" s="3251" t="s">
        <v>92</v>
      </c>
      <c r="C37" s="3252"/>
      <c r="D37" s="3252"/>
      <c r="E37" s="3253"/>
      <c r="F37" s="1028" t="s">
        <v>93</v>
      </c>
      <c r="G37" s="978" t="s">
        <v>1310</v>
      </c>
      <c r="H37" s="2224" t="s">
        <v>1302</v>
      </c>
      <c r="I37" s="3116" t="s">
        <v>111</v>
      </c>
      <c r="J37" s="3116"/>
      <c r="K37" s="3116"/>
      <c r="L37" s="3080"/>
      <c r="M37" s="3082" t="s">
        <v>111</v>
      </c>
      <c r="N37" s="3116"/>
      <c r="O37" s="3116"/>
      <c r="P37" s="3080"/>
      <c r="Q37" s="3082" t="s">
        <v>111</v>
      </c>
      <c r="R37" s="3116"/>
      <c r="S37" s="3116"/>
      <c r="T37" s="3080"/>
      <c r="U37" s="1022"/>
      <c r="W37" s="103" t="s">
        <v>7</v>
      </c>
      <c r="X37" s="3250" t="s">
        <v>92</v>
      </c>
      <c r="Y37" s="3250"/>
      <c r="Z37" s="3250"/>
      <c r="AA37" s="3250"/>
      <c r="AB37" s="3285" t="s">
        <v>1360</v>
      </c>
      <c r="AC37" s="3062"/>
      <c r="AD37" s="3063"/>
      <c r="AE37" s="1791"/>
      <c r="AF37" s="3285" t="s">
        <v>1360</v>
      </c>
      <c r="AG37" s="3062"/>
      <c r="AH37" s="3062"/>
      <c r="AI37" s="3063"/>
      <c r="AJ37" s="3285" t="s">
        <v>1360</v>
      </c>
      <c r="AK37" s="3062"/>
      <c r="AL37" s="3062"/>
      <c r="AM37" s="3063"/>
    </row>
    <row r="38" spans="1:39" ht="33.75" customHeight="1">
      <c r="A38" s="103">
        <v>1</v>
      </c>
      <c r="B38" s="3251" t="s">
        <v>51</v>
      </c>
      <c r="C38" s="3252"/>
      <c r="D38" s="3252"/>
      <c r="E38" s="3253"/>
      <c r="F38" s="23" t="s">
        <v>48</v>
      </c>
      <c r="G38" s="262" t="str">
        <f>'XM.GUI MAIL'!$E$37</f>
        <v>300-360</v>
      </c>
      <c r="H38" s="2243" t="str">
        <f>'XM.GUI MAIL'!$F$37</f>
        <v>300-360</v>
      </c>
      <c r="I38" s="3283">
        <f>'XM.FILE GOC'!I37</f>
        <v>0</v>
      </c>
      <c r="J38" s="3283"/>
      <c r="K38" s="3283"/>
      <c r="L38" s="3283"/>
      <c r="M38" s="3189">
        <f>'XM.FILE GOC'!P37</f>
        <v>0</v>
      </c>
      <c r="N38" s="3283"/>
      <c r="O38" s="3283"/>
      <c r="P38" s="3283"/>
      <c r="Q38" s="3189">
        <f>'XM.FILE GOC'!W37</f>
        <v>0</v>
      </c>
      <c r="R38" s="3283"/>
      <c r="S38" s="3283"/>
      <c r="T38" s="3283"/>
      <c r="U38" s="103"/>
      <c r="W38" s="103">
        <v>1</v>
      </c>
      <c r="X38" s="3251" t="s">
        <v>51</v>
      </c>
      <c r="Y38" s="3252"/>
      <c r="Z38" s="3252"/>
      <c r="AA38" s="3253"/>
      <c r="AB38" s="1511"/>
      <c r="AC38" s="1794"/>
      <c r="AD38" s="1512"/>
      <c r="AE38" s="1794"/>
      <c r="AF38" s="1511"/>
      <c r="AG38" s="1794"/>
      <c r="AH38" s="1794"/>
      <c r="AI38" s="1512"/>
      <c r="AJ38" s="1511"/>
      <c r="AK38" s="1794"/>
      <c r="AL38" s="1794"/>
      <c r="AM38" s="1512"/>
    </row>
    <row r="39" spans="1:39" ht="33.75" customHeight="1">
      <c r="A39" s="103">
        <v>2</v>
      </c>
      <c r="B39" s="3251" t="s">
        <v>86</v>
      </c>
      <c r="C39" s="3252"/>
      <c r="D39" s="3252"/>
      <c r="E39" s="3253"/>
      <c r="F39" s="23" t="s">
        <v>48</v>
      </c>
      <c r="G39" s="263" t="str">
        <f>'XM.GUI MAIL'!$E$38</f>
        <v>30-50</v>
      </c>
      <c r="H39" s="2244" t="str">
        <f>'XM.GUI MAIL'!$F$38</f>
        <v>30-50</v>
      </c>
      <c r="I39" s="3283">
        <f>'XM.FILE GOC'!I38</f>
        <v>0</v>
      </c>
      <c r="J39" s="3283"/>
      <c r="K39" s="3283"/>
      <c r="L39" s="3283"/>
      <c r="M39" s="3189">
        <f>'XM.FILE GOC'!P38</f>
        <v>0</v>
      </c>
      <c r="N39" s="3283"/>
      <c r="O39" s="3283"/>
      <c r="P39" s="3283"/>
      <c r="Q39" s="3189">
        <f>'XM.FILE GOC'!W38</f>
        <v>0</v>
      </c>
      <c r="R39" s="3283"/>
      <c r="S39" s="3283"/>
      <c r="T39" s="3283"/>
      <c r="U39" s="103"/>
      <c r="W39" s="103">
        <v>2</v>
      </c>
      <c r="X39" s="3251" t="s">
        <v>86</v>
      </c>
      <c r="Y39" s="3252"/>
      <c r="Z39" s="3252"/>
      <c r="AA39" s="3253"/>
      <c r="AB39" s="1507"/>
      <c r="AC39" s="1791"/>
      <c r="AD39" s="1513"/>
      <c r="AE39" s="1791"/>
      <c r="AF39" s="1507"/>
      <c r="AG39" s="1791"/>
      <c r="AH39" s="1791"/>
      <c r="AI39" s="1513"/>
      <c r="AJ39" s="1507"/>
      <c r="AK39" s="1791"/>
      <c r="AL39" s="1791"/>
      <c r="AM39" s="1513"/>
    </row>
    <row r="40" spans="1:39" ht="18.75" customHeight="1">
      <c r="A40" s="16"/>
      <c r="B40" s="1363"/>
      <c r="C40" s="1363"/>
      <c r="D40" s="1363"/>
      <c r="E40" s="1363"/>
      <c r="F40" s="900"/>
      <c r="G40" s="900"/>
      <c r="H40" s="900"/>
      <c r="I40" s="900"/>
      <c r="J40" s="900"/>
      <c r="K40" s="900"/>
      <c r="L40" s="900"/>
      <c r="M40" s="900"/>
      <c r="N40" s="900"/>
      <c r="O40" s="900"/>
      <c r="P40" s="900"/>
      <c r="Q40" s="900"/>
      <c r="R40" s="900"/>
      <c r="S40" s="900"/>
      <c r="T40" s="900"/>
      <c r="U40" s="900"/>
      <c r="V40" s="900"/>
    </row>
  </sheetData>
  <mergeCells count="182">
    <mergeCell ref="AF4:AI4"/>
    <mergeCell ref="AJ4:AM4"/>
    <mergeCell ref="AB37:AD37"/>
    <mergeCell ref="AF37:AI37"/>
    <mergeCell ref="AJ37:AM37"/>
    <mergeCell ref="AF27:AI27"/>
    <mergeCell ref="AJ27:AM27"/>
    <mergeCell ref="AB4:AE4"/>
    <mergeCell ref="AD5:AE5"/>
    <mergeCell ref="AF5:AG5"/>
    <mergeCell ref="AB5:AC5"/>
    <mergeCell ref="AH5:AI5"/>
    <mergeCell ref="AJ5:AK5"/>
    <mergeCell ref="AL5:AM5"/>
    <mergeCell ref="AB27:AE27"/>
    <mergeCell ref="B38:E38"/>
    <mergeCell ref="B39:E39"/>
    <mergeCell ref="B35:E35"/>
    <mergeCell ref="B37:E37"/>
    <mergeCell ref="S35:T35"/>
    <mergeCell ref="M37:P37"/>
    <mergeCell ref="Q37:T37"/>
    <mergeCell ref="I35:J35"/>
    <mergeCell ref="K35:L35"/>
    <mergeCell ref="M35:N35"/>
    <mergeCell ref="O35:P35"/>
    <mergeCell ref="Q35:R35"/>
    <mergeCell ref="I37:L37"/>
    <mergeCell ref="K33:L33"/>
    <mergeCell ref="M33:N33"/>
    <mergeCell ref="O33:P33"/>
    <mergeCell ref="Q33:R33"/>
    <mergeCell ref="M39:P39"/>
    <mergeCell ref="Q39:T39"/>
    <mergeCell ref="M38:P38"/>
    <mergeCell ref="Q38:T38"/>
    <mergeCell ref="I38:L38"/>
    <mergeCell ref="I39:L39"/>
    <mergeCell ref="B33:E33"/>
    <mergeCell ref="B34:E34"/>
    <mergeCell ref="S31:T31"/>
    <mergeCell ref="I32:J32"/>
    <mergeCell ref="K32:L32"/>
    <mergeCell ref="M32:N32"/>
    <mergeCell ref="O32:P32"/>
    <mergeCell ref="Q32:R32"/>
    <mergeCell ref="S32:T32"/>
    <mergeCell ref="I31:J31"/>
    <mergeCell ref="K31:L31"/>
    <mergeCell ref="M31:N31"/>
    <mergeCell ref="O31:P31"/>
    <mergeCell ref="Q31:R31"/>
    <mergeCell ref="B31:E31"/>
    <mergeCell ref="B32:E32"/>
    <mergeCell ref="S33:T33"/>
    <mergeCell ref="I34:J34"/>
    <mergeCell ref="K34:L34"/>
    <mergeCell ref="M34:N34"/>
    <mergeCell ref="O34:P34"/>
    <mergeCell ref="Q34:R34"/>
    <mergeCell ref="S34:T34"/>
    <mergeCell ref="I33:J33"/>
    <mergeCell ref="A24:A25"/>
    <mergeCell ref="I27:J27"/>
    <mergeCell ref="K27:L27"/>
    <mergeCell ref="M27:N27"/>
    <mergeCell ref="O27:P27"/>
    <mergeCell ref="Q27:R27"/>
    <mergeCell ref="I29:J29"/>
    <mergeCell ref="K29:L29"/>
    <mergeCell ref="M29:N29"/>
    <mergeCell ref="O29:P29"/>
    <mergeCell ref="Q29:R29"/>
    <mergeCell ref="B24:E25"/>
    <mergeCell ref="B27:E27"/>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A6:A8"/>
    <mergeCell ref="A1:R1"/>
    <mergeCell ref="A2:R2"/>
    <mergeCell ref="S2:T2"/>
    <mergeCell ref="I3:L3"/>
    <mergeCell ref="S3:T3"/>
    <mergeCell ref="A4:A5"/>
    <mergeCell ref="F4:F5"/>
    <mergeCell ref="G4:G5"/>
    <mergeCell ref="I4:L4"/>
    <mergeCell ref="B4:E5"/>
    <mergeCell ref="B6:C8"/>
    <mergeCell ref="D6:E6"/>
    <mergeCell ref="D7:E7"/>
    <mergeCell ref="D8:E8"/>
    <mergeCell ref="M4:P4"/>
    <mergeCell ref="Q4:T4"/>
    <mergeCell ref="J5:L5"/>
    <mergeCell ref="N5:P5"/>
    <mergeCell ref="R5:T5"/>
    <mergeCell ref="H4:H5"/>
    <mergeCell ref="G3:H3"/>
    <mergeCell ref="B20:E20"/>
    <mergeCell ref="B21:E21"/>
    <mergeCell ref="Q28:R28"/>
    <mergeCell ref="S28:T28"/>
    <mergeCell ref="S29:T29"/>
    <mergeCell ref="I30:J30"/>
    <mergeCell ref="K30:L30"/>
    <mergeCell ref="M30:N30"/>
    <mergeCell ref="O30:P30"/>
    <mergeCell ref="Q30:R30"/>
    <mergeCell ref="S30:T30"/>
    <mergeCell ref="B22:E22"/>
    <mergeCell ref="S27:T27"/>
    <mergeCell ref="I28:J28"/>
    <mergeCell ref="K28:L28"/>
    <mergeCell ref="M28:N28"/>
    <mergeCell ref="O28:P28"/>
    <mergeCell ref="B23:E23"/>
    <mergeCell ref="B28:E28"/>
    <mergeCell ref="B29:E29"/>
    <mergeCell ref="B30:E30"/>
    <mergeCell ref="W4:W5"/>
    <mergeCell ref="X4:AA5"/>
    <mergeCell ref="W6:W8"/>
    <mergeCell ref="X6:Y8"/>
    <mergeCell ref="Z6:AA6"/>
    <mergeCell ref="Z7:AA7"/>
    <mergeCell ref="Z8:AA8"/>
    <mergeCell ref="W9:W11"/>
    <mergeCell ref="X9:Y11"/>
    <mergeCell ref="Z9:AA9"/>
    <mergeCell ref="Z10:AA10"/>
    <mergeCell ref="Z11:AA11"/>
    <mergeCell ref="X12:Y13"/>
    <mergeCell ref="Z12:AA12"/>
    <mergeCell ref="Z13:AA13"/>
    <mergeCell ref="W14:W15"/>
    <mergeCell ref="X14:Y15"/>
    <mergeCell ref="Z14:AA14"/>
    <mergeCell ref="Z15:AA15"/>
    <mergeCell ref="W16:W17"/>
    <mergeCell ref="X16:AA16"/>
    <mergeCell ref="X17:AA17"/>
    <mergeCell ref="AB3:AC3"/>
    <mergeCell ref="E3:F3"/>
    <mergeCell ref="X37:AA37"/>
    <mergeCell ref="X38:AA38"/>
    <mergeCell ref="X39:AA39"/>
    <mergeCell ref="X28:AA28"/>
    <mergeCell ref="X29:AA29"/>
    <mergeCell ref="X30:AA30"/>
    <mergeCell ref="X31:AA31"/>
    <mergeCell ref="X32:AA32"/>
    <mergeCell ref="X33:AA33"/>
    <mergeCell ref="X34:AA34"/>
    <mergeCell ref="X35:AA35"/>
    <mergeCell ref="X36:AM36"/>
    <mergeCell ref="W18:W19"/>
    <mergeCell ref="X18:AA19"/>
    <mergeCell ref="X20:AA20"/>
    <mergeCell ref="X21:AA21"/>
    <mergeCell ref="X22:AA22"/>
    <mergeCell ref="X23:AA23"/>
    <mergeCell ref="W24:W25"/>
    <mergeCell ref="X24:AA25"/>
    <mergeCell ref="X27:AA27"/>
    <mergeCell ref="W12:W13"/>
  </mergeCells>
  <phoneticPr fontId="7" type="noConversion"/>
  <conditionalFormatting sqref="I38 M38 Q38">
    <cfRule type="expression" dxfId="2913" priority="1873">
      <formula>I38&lt;300</formula>
    </cfRule>
    <cfRule type="expression" dxfId="2912" priority="1874">
      <formula>I38&gt;360</formula>
    </cfRule>
  </conditionalFormatting>
  <conditionalFormatting sqref="I39 M39 Q39">
    <cfRule type="expression" dxfId="2911" priority="1871">
      <formula>I39&lt;30</formula>
    </cfRule>
    <cfRule type="expression" dxfId="2910" priority="1872">
      <formula>I39&gt;50</formula>
    </cfRule>
  </conditionalFormatting>
  <conditionalFormatting sqref="I16 M16 Q16">
    <cfRule type="cellIs" dxfId="2909" priority="360" operator="between">
      <formula>130</formula>
      <formula>132.99</formula>
    </cfRule>
    <cfRule type="cellIs" dxfId="2908" priority="361" operator="between">
      <formula>147.1</formula>
      <formula>150</formula>
    </cfRule>
    <cfRule type="expression" dxfId="2907" priority="362">
      <formula>I16&lt;130</formula>
    </cfRule>
    <cfRule type="expression" dxfId="2906" priority="363">
      <formula>I16&gt;150</formula>
    </cfRule>
  </conditionalFormatting>
  <conditionalFormatting sqref="I17 M17 Q17">
    <cfRule type="expression" dxfId="2905" priority="358">
      <formula>I17&lt;8</formula>
    </cfRule>
    <cfRule type="expression" dxfId="2904" priority="359">
      <formula>I17&gt;12</formula>
    </cfRule>
  </conditionalFormatting>
  <conditionalFormatting sqref="I19 M19 Q19">
    <cfRule type="cellIs" dxfId="2903" priority="355" operator="between">
      <formula>1.6</formula>
      <formula>1.799</formula>
    </cfRule>
    <cfRule type="expression" dxfId="2902" priority="356">
      <formula>I19&lt;1.6</formula>
    </cfRule>
    <cfRule type="expression" dxfId="2901" priority="357">
      <formula>I19&gt;2.2</formula>
    </cfRule>
  </conditionalFormatting>
  <conditionalFormatting sqref="I21 M21 Q21">
    <cfRule type="cellIs" dxfId="2900" priority="351" operator="between">
      <formula>15%</formula>
      <formula>16.99%</formula>
    </cfRule>
    <cfRule type="cellIs" dxfId="2899" priority="352" operator="between">
      <formula>27.01%</formula>
      <formula>30%</formula>
    </cfRule>
    <cfRule type="expression" dxfId="2898" priority="353">
      <formula>I21&lt;15%</formula>
    </cfRule>
    <cfRule type="expression" dxfId="2897" priority="354">
      <formula>I21&gt;30%</formula>
    </cfRule>
  </conditionalFormatting>
  <conditionalFormatting sqref="I22 M22 Q22">
    <cfRule type="cellIs" dxfId="2896" priority="347" operator="between">
      <formula>5%</formula>
      <formula>6.99%</formula>
    </cfRule>
    <cfRule type="cellIs" dxfId="2895" priority="348" operator="between">
      <formula>12.99%</formula>
      <formula>15%</formula>
    </cfRule>
    <cfRule type="expression" dxfId="2894" priority="349">
      <formula>I22&lt;5%</formula>
    </cfRule>
    <cfRule type="expression" dxfId="2893" priority="350">
      <formula>I22&gt;15%</formula>
    </cfRule>
  </conditionalFormatting>
  <conditionalFormatting sqref="I6 I9 M6 M9 Q6 Q9">
    <cfRule type="cellIs" dxfId="2892" priority="343" operator="between">
      <formula>20</formula>
      <formula>24.99</formula>
    </cfRule>
    <cfRule type="cellIs" dxfId="2891" priority="344" operator="between">
      <formula>35.1</formula>
      <formula>40</formula>
    </cfRule>
    <cfRule type="expression" dxfId="2890" priority="345">
      <formula>I6&lt;20</formula>
    </cfRule>
    <cfRule type="expression" dxfId="2889" priority="346">
      <formula>I6&gt;40</formula>
    </cfRule>
  </conditionalFormatting>
  <conditionalFormatting sqref="I12 I14 M12 M14 Q12 Q14">
    <cfRule type="expression" dxfId="2888" priority="341" stopIfTrue="1">
      <formula>I12&gt;80</formula>
    </cfRule>
    <cfRule type="expression" dxfId="2887" priority="342" stopIfTrue="1">
      <formula>I12&lt;60</formula>
    </cfRule>
  </conditionalFormatting>
  <conditionalFormatting sqref="I20 M20 Q20">
    <cfRule type="cellIs" dxfId="2886" priority="337" operator="between">
      <formula>30%</formula>
      <formula>39.99%</formula>
    </cfRule>
    <cfRule type="cellIs" dxfId="2885" priority="338" operator="between">
      <formula>50.01%</formula>
      <formula>60%</formula>
    </cfRule>
    <cfRule type="expression" dxfId="2884" priority="339">
      <formula>I20&lt;30%</formula>
    </cfRule>
    <cfRule type="expression" dxfId="2883" priority="340">
      <formula>I20&gt;60%</formula>
    </cfRule>
  </conditionalFormatting>
  <conditionalFormatting sqref="I18 M18 Q18">
    <cfRule type="cellIs" dxfId="2882" priority="334" operator="between">
      <formula>16.1</formula>
      <formula>18</formula>
    </cfRule>
    <cfRule type="expression" dxfId="2881" priority="335">
      <formula>I18&lt;12</formula>
    </cfRule>
    <cfRule type="expression" dxfId="2880" priority="336">
      <formula>I18&gt;18</formula>
    </cfRule>
  </conditionalFormatting>
  <conditionalFormatting sqref="I23 M23 Q23">
    <cfRule type="cellIs" dxfId="2879" priority="330" operator="between">
      <formula>0.5%</formula>
      <formula>0.599%</formula>
    </cfRule>
    <cfRule type="cellIs" dxfId="2878" priority="331" operator="between">
      <formula>1.41%</formula>
      <formula>1.5%</formula>
    </cfRule>
    <cfRule type="expression" dxfId="2877" priority="332">
      <formula>I23&lt;0.5%</formula>
    </cfRule>
    <cfRule type="expression" dxfId="2876" priority="333">
      <formula>I23&gt;1.5%</formula>
    </cfRule>
  </conditionalFormatting>
  <conditionalFormatting sqref="I32:T32">
    <cfRule type="cellIs" dxfId="2875" priority="258" operator="between">
      <formula>20</formula>
      <formula>25.9</formula>
    </cfRule>
    <cfRule type="cellIs" dxfId="2874" priority="259" operator="between">
      <formula>34.1</formula>
      <formula>35</formula>
    </cfRule>
    <cfRule type="expression" dxfId="2873" priority="260">
      <formula>I32&lt;20</formula>
    </cfRule>
    <cfRule type="expression" dxfId="2872" priority="261">
      <formula>I32&gt;35</formula>
    </cfRule>
  </conditionalFormatting>
  <conditionalFormatting sqref="I28:T29">
    <cfRule type="cellIs" dxfId="2871" priority="254" operator="between">
      <formula>50</formula>
      <formula>54.9</formula>
    </cfRule>
    <cfRule type="cellIs" dxfId="2870" priority="255" operator="between">
      <formula>65.1</formula>
      <formula>70</formula>
    </cfRule>
    <cfRule type="expression" dxfId="2869" priority="256">
      <formula>I28&lt;50</formula>
    </cfRule>
    <cfRule type="expression" dxfId="2868" priority="257">
      <formula>I28&gt;70</formula>
    </cfRule>
  </conditionalFormatting>
  <conditionalFormatting sqref="K33 I33 O33 M33 S33 Q33">
    <cfRule type="cellIs" dxfId="2867" priority="245" operator="between">
      <formula>30</formula>
      <formula>30.9</formula>
    </cfRule>
    <cfRule type="cellIs" dxfId="2866" priority="246" operator="between">
      <formula>37.1</formula>
      <formula>40</formula>
    </cfRule>
    <cfRule type="expression" dxfId="2865" priority="247">
      <formula>I33&lt;30</formula>
    </cfRule>
    <cfRule type="expression" dxfId="2864" priority="248">
      <formula>I33&gt;40</formula>
    </cfRule>
  </conditionalFormatting>
  <conditionalFormatting sqref="K35 O35 S35">
    <cfRule type="cellIs" dxfId="2863" priority="241" operator="between">
      <formula>80</formula>
      <formula>84.9</formula>
    </cfRule>
    <cfRule type="cellIs" dxfId="2862" priority="242" operator="between">
      <formula>95.1</formula>
      <formula>100</formula>
    </cfRule>
    <cfRule type="expression" dxfId="2861" priority="243">
      <formula>K35&lt;80</formula>
    </cfRule>
    <cfRule type="expression" dxfId="2860" priority="244">
      <formula>K35&gt;100</formula>
    </cfRule>
  </conditionalFormatting>
  <conditionalFormatting sqref="K34 I34 O34 M34 S34 Q34">
    <cfRule type="expression" dxfId="2859" priority="239">
      <formula>I34&lt;50</formula>
    </cfRule>
    <cfRule type="expression" dxfId="2858" priority="240">
      <formula>I34&gt;70</formula>
    </cfRule>
  </conditionalFormatting>
  <conditionalFormatting sqref="I24 M24 Q24">
    <cfRule type="cellIs" dxfId="2857" priority="108" operator="between">
      <formula>5</formula>
      <formula>6.49</formula>
    </cfRule>
    <cfRule type="cellIs" dxfId="2856" priority="109" operator="between">
      <formula>8.51</formula>
      <formula>10</formula>
    </cfRule>
    <cfRule type="expression" dxfId="2855" priority="110">
      <formula>I24&lt;5</formula>
    </cfRule>
    <cfRule type="expression" dxfId="2854" priority="111">
      <formula>I24&gt;10</formula>
    </cfRule>
  </conditionalFormatting>
  <conditionalFormatting sqref="I30:I31 K30:K31 M30:M31 O30:O31 Q30:Q31 S30:S31">
    <cfRule type="cellIs" dxfId="2853" priority="60" operator="between">
      <formula>40</formula>
      <formula>44.99</formula>
    </cfRule>
    <cfRule type="cellIs" dxfId="2852" priority="61" operator="between">
      <formula>55.1</formula>
      <formula>60</formula>
    </cfRule>
    <cfRule type="expression" dxfId="2851" priority="62">
      <formula>I30&lt;40</formula>
    </cfRule>
    <cfRule type="expression" dxfId="2850" priority="63">
      <formula>I30&gt;60</formula>
    </cfRule>
  </conditionalFormatting>
  <conditionalFormatting sqref="I25 M25 Q25">
    <cfRule type="cellIs" dxfId="2849" priority="9" operator="between">
      <formula>1.8</formula>
      <formula>1.899</formula>
    </cfRule>
    <cfRule type="cellIs" dxfId="2848" priority="10" operator="between">
      <formula>2.11</formula>
      <formula>2.2</formula>
    </cfRule>
    <cfRule type="expression" dxfId="2847" priority="11">
      <formula>I25&lt;1.8</formula>
    </cfRule>
    <cfRule type="expression" dxfId="2846" priority="12">
      <formula>I25&gt;2.2</formula>
    </cfRule>
  </conditionalFormatting>
  <pageMargins left="0.39370078740157499"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8.xml><?xml version="1.0" encoding="utf-8"?>
<worksheet xmlns="http://schemas.openxmlformats.org/spreadsheetml/2006/main" xmlns:r="http://schemas.openxmlformats.org/officeDocument/2006/relationships">
  <sheetPr codeName="Sheet9">
    <tabColor rgb="FFFF0000"/>
  </sheetPr>
  <dimension ref="A1:AM38"/>
  <sheetViews>
    <sheetView zoomScale="55" zoomScaleNormal="55" zoomScaleSheetLayoutView="55" workbookViewId="0">
      <selection activeCell="AD21" sqref="AD21"/>
    </sheetView>
  </sheetViews>
  <sheetFormatPr defaultRowHeight="15"/>
  <cols>
    <col min="1" max="1" width="4.125" style="19" customWidth="1"/>
    <col min="2" max="2" width="7.5" style="32" customWidth="1"/>
    <col min="3" max="3" width="5" style="32" customWidth="1"/>
    <col min="4" max="4" width="2.875" style="32" customWidth="1"/>
    <col min="5" max="5" width="7.75" style="32" customWidth="1"/>
    <col min="6" max="6" width="8" style="19" customWidth="1"/>
    <col min="7" max="7" width="16.25" style="33" customWidth="1"/>
    <col min="8" max="8" width="10.25" style="33" customWidth="1"/>
    <col min="9" max="9" width="7.6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7.5" style="19" customWidth="1"/>
    <col min="18" max="18" width="3.75" style="19" customWidth="1"/>
    <col min="19" max="19" width="7.25" style="19" customWidth="1"/>
    <col min="20" max="20" width="4.5" style="19" customWidth="1"/>
    <col min="21" max="21" width="12.75" style="19" customWidth="1"/>
    <col min="22" max="22" width="3.125" style="19" customWidth="1"/>
    <col min="23" max="23" width="6.25" style="19" customWidth="1"/>
    <col min="24" max="24" width="9" style="19"/>
    <col min="25" max="25" width="6.5" style="19" customWidth="1"/>
    <col min="26" max="26" width="6.75" style="19" customWidth="1"/>
    <col min="27" max="27" width="7" style="19" customWidth="1"/>
    <col min="28" max="28" width="13.5" style="19" customWidth="1"/>
    <col min="29" max="29" width="5" style="19" customWidth="1"/>
    <col min="30" max="30" width="10.875" style="19" customWidth="1"/>
    <col min="31" max="31" width="6.625" style="19" customWidth="1"/>
    <col min="32" max="32" width="10.875" style="19" customWidth="1"/>
    <col min="33" max="33" width="6.375" style="19" customWidth="1"/>
    <col min="34" max="34" width="10" style="19" customWidth="1"/>
    <col min="35" max="35" width="6.625" style="19" customWidth="1"/>
    <col min="36" max="36" width="10.5" style="19" customWidth="1"/>
    <col min="37" max="37" width="5.25" style="19" customWidth="1"/>
    <col min="38" max="38" width="12.625" style="19" customWidth="1"/>
    <col min="39" max="39" width="7.875" style="19" customWidth="1"/>
    <col min="40" max="16384" width="9" style="19"/>
  </cols>
  <sheetData>
    <row r="1" spans="1:39" ht="28.5" customHeight="1">
      <c r="A1" s="3299" t="s">
        <v>567</v>
      </c>
      <c r="B1" s="3299"/>
      <c r="C1" s="3299"/>
      <c r="D1" s="3299"/>
      <c r="E1" s="3299"/>
      <c r="F1" s="3299"/>
      <c r="G1" s="3299"/>
      <c r="H1" s="3299"/>
      <c r="I1" s="3299"/>
      <c r="J1" s="3299"/>
      <c r="K1" s="3299"/>
      <c r="L1" s="3299"/>
      <c r="M1" s="3299"/>
      <c r="N1" s="3299"/>
      <c r="O1" s="3299"/>
      <c r="P1" s="3299"/>
      <c r="Q1" s="3299"/>
      <c r="R1" s="3299"/>
      <c r="S1" s="1013"/>
      <c r="T1" s="1013"/>
      <c r="U1" s="1456" t="s">
        <v>1361</v>
      </c>
      <c r="W1" s="1460"/>
      <c r="X1" s="1460"/>
      <c r="Y1" s="1460"/>
      <c r="Z1" s="1460"/>
      <c r="AA1" s="1460"/>
      <c r="AB1" s="1460"/>
      <c r="AC1" s="1460"/>
      <c r="AD1" s="1460"/>
      <c r="AE1" s="1460"/>
      <c r="AM1" s="1457" t="s">
        <v>1362</v>
      </c>
    </row>
    <row r="2" spans="1:39" ht="46.5" customHeight="1">
      <c r="A2" s="3272" t="s">
        <v>218</v>
      </c>
      <c r="B2" s="3272"/>
      <c r="C2" s="3272"/>
      <c r="D2" s="3272"/>
      <c r="E2" s="3272"/>
      <c r="F2" s="3272"/>
      <c r="G2" s="3272"/>
      <c r="H2" s="3272"/>
      <c r="I2" s="3272"/>
      <c r="J2" s="3272"/>
      <c r="K2" s="3272"/>
      <c r="L2" s="3272"/>
      <c r="M2" s="3272"/>
      <c r="N2" s="3272"/>
      <c r="O2" s="3272"/>
      <c r="P2" s="3272"/>
      <c r="Q2" s="3272"/>
      <c r="R2" s="3273"/>
      <c r="S2" s="3285" t="s">
        <v>88</v>
      </c>
      <c r="T2" s="3063"/>
      <c r="U2" s="1449" t="s">
        <v>1356</v>
      </c>
      <c r="W2" s="3272"/>
      <c r="X2" s="3272"/>
      <c r="Y2" s="3272"/>
      <c r="Z2" s="3272"/>
      <c r="AA2" s="3272"/>
      <c r="AB2" s="3272"/>
      <c r="AC2" s="3272"/>
      <c r="AD2" s="3272"/>
      <c r="AE2" s="3272"/>
      <c r="AF2" s="3272"/>
      <c r="AG2" s="1790"/>
      <c r="AH2" s="1790"/>
    </row>
    <row r="3" spans="1:39" ht="34.5" customHeight="1">
      <c r="A3" s="51"/>
      <c r="B3" s="3294" t="s">
        <v>214</v>
      </c>
      <c r="C3" s="3294"/>
      <c r="D3" s="3294"/>
      <c r="E3" s="1402"/>
      <c r="F3" s="2714" t="s">
        <v>1623</v>
      </c>
      <c r="G3" s="1819" t="str">
        <f>MENU!$AC$9</f>
        <v>Thứ 4,</v>
      </c>
      <c r="H3" s="3248" t="str">
        <f>MENU!$AD$9</f>
        <v>2024/05/22</v>
      </c>
      <c r="I3" s="3248"/>
      <c r="J3" s="26"/>
      <c r="K3" s="26"/>
      <c r="L3" s="26"/>
      <c r="M3" s="49"/>
      <c r="N3" s="49"/>
      <c r="O3" s="49"/>
      <c r="R3" s="49"/>
      <c r="S3" s="3295" t="str">
        <f>'1. XL-1E kh'!$AD$3</f>
        <v>Mi</v>
      </c>
      <c r="T3" s="3296"/>
      <c r="U3" s="1434"/>
      <c r="W3" s="51"/>
      <c r="X3" s="3294" t="s">
        <v>214</v>
      </c>
      <c r="Y3" s="3294"/>
      <c r="Z3" s="3294"/>
      <c r="AA3" s="1402"/>
      <c r="AB3" s="1819" t="str">
        <f>MENU!$AC$9</f>
        <v>Thứ 4,</v>
      </c>
      <c r="AC3" s="3248" t="str">
        <f>MENU!$AD$9</f>
        <v>2024/05/22</v>
      </c>
      <c r="AD3" s="3248"/>
      <c r="AE3" s="1515"/>
      <c r="AF3" s="26"/>
      <c r="AG3" s="452"/>
      <c r="AH3" s="452"/>
    </row>
    <row r="4" spans="1:39" s="52" customFormat="1" ht="31.5" customHeight="1">
      <c r="A4" s="3279" t="s">
        <v>7</v>
      </c>
      <c r="B4" s="3083" t="s">
        <v>76</v>
      </c>
      <c r="C4" s="3084"/>
      <c r="D4" s="3084"/>
      <c r="E4" s="3085"/>
      <c r="F4" s="3278" t="s">
        <v>124</v>
      </c>
      <c r="G4" s="3059" t="s">
        <v>1310</v>
      </c>
      <c r="H4" s="3109" t="s">
        <v>1302</v>
      </c>
      <c r="I4" s="3061">
        <v>0.30208333333333331</v>
      </c>
      <c r="J4" s="3062"/>
      <c r="K4" s="3062"/>
      <c r="L4" s="3063"/>
      <c r="M4" s="3117">
        <v>0.46875</v>
      </c>
      <c r="N4" s="3062"/>
      <c r="O4" s="3062"/>
      <c r="P4" s="3063"/>
      <c r="Q4" s="3117">
        <v>0.63541666666666663</v>
      </c>
      <c r="R4" s="3062"/>
      <c r="S4" s="3062"/>
      <c r="T4" s="3063"/>
      <c r="U4" s="3148" t="s">
        <v>90</v>
      </c>
      <c r="W4" s="3279" t="s">
        <v>7</v>
      </c>
      <c r="X4" s="3083" t="s">
        <v>76</v>
      </c>
      <c r="Y4" s="3084"/>
      <c r="Z4" s="3084"/>
      <c r="AA4" s="3085"/>
      <c r="AB4" s="3117">
        <v>0.30208333333333331</v>
      </c>
      <c r="AC4" s="3061"/>
      <c r="AD4" s="3061"/>
      <c r="AE4" s="3284"/>
      <c r="AF4" s="3117">
        <v>0.46875</v>
      </c>
      <c r="AG4" s="3061"/>
      <c r="AH4" s="3061"/>
      <c r="AI4" s="3284"/>
      <c r="AJ4" s="3117">
        <v>0.63541666666666663</v>
      </c>
      <c r="AK4" s="3061"/>
      <c r="AL4" s="3061"/>
      <c r="AM4" s="3284"/>
    </row>
    <row r="5" spans="1:39" s="52" customFormat="1" ht="30" customHeight="1">
      <c r="A5" s="3279"/>
      <c r="B5" s="3086"/>
      <c r="C5" s="3087"/>
      <c r="D5" s="3087"/>
      <c r="E5" s="3088"/>
      <c r="F5" s="3279"/>
      <c r="G5" s="3060"/>
      <c r="H5" s="3110"/>
      <c r="I5" s="2240" t="s">
        <v>129</v>
      </c>
      <c r="J5" s="3067" t="s">
        <v>1</v>
      </c>
      <c r="K5" s="3068"/>
      <c r="L5" s="3069"/>
      <c r="M5" s="53" t="s">
        <v>129</v>
      </c>
      <c r="N5" s="3067" t="s">
        <v>1</v>
      </c>
      <c r="O5" s="3068"/>
      <c r="P5" s="3069"/>
      <c r="Q5" s="53" t="s">
        <v>129</v>
      </c>
      <c r="R5" s="3067" t="s">
        <v>1</v>
      </c>
      <c r="S5" s="3068"/>
      <c r="T5" s="3069"/>
      <c r="U5" s="3149"/>
      <c r="W5" s="3279"/>
      <c r="X5" s="3086"/>
      <c r="Y5" s="3087"/>
      <c r="Z5" s="3087"/>
      <c r="AA5" s="3088"/>
      <c r="AB5" s="3251" t="s">
        <v>1448</v>
      </c>
      <c r="AC5" s="3287"/>
      <c r="AD5" s="3286" t="s">
        <v>1481</v>
      </c>
      <c r="AE5" s="3063"/>
      <c r="AF5" s="3251" t="s">
        <v>1448</v>
      </c>
      <c r="AG5" s="3287"/>
      <c r="AH5" s="3286" t="s">
        <v>1481</v>
      </c>
      <c r="AI5" s="3063"/>
      <c r="AJ5" s="3251" t="s">
        <v>1448</v>
      </c>
      <c r="AK5" s="3287"/>
      <c r="AL5" s="3286" t="s">
        <v>1481</v>
      </c>
      <c r="AM5" s="3063"/>
    </row>
    <row r="6" spans="1:39" ht="33" customHeight="1">
      <c r="A6" s="3260">
        <v>1</v>
      </c>
      <c r="B6" s="3083" t="s">
        <v>131</v>
      </c>
      <c r="C6" s="3266"/>
      <c r="D6" s="3263" t="s">
        <v>230</v>
      </c>
      <c r="E6" s="3264"/>
      <c r="F6" s="1039" t="s">
        <v>4</v>
      </c>
      <c r="G6" s="898" t="str">
        <f>'XM.GUI MAIL'!$E$43</f>
        <v>60~80</v>
      </c>
      <c r="H6" s="2222" t="str">
        <f>'XM.GUI MAIL'!$F$43</f>
        <v>(70±5)</v>
      </c>
      <c r="I6" s="2225">
        <f>'XM.GUI MAIL'!I43</f>
        <v>70.416499999999999</v>
      </c>
      <c r="J6" s="1408" t="s">
        <v>8</v>
      </c>
      <c r="K6" s="1347">
        <f>'XM.GUI MAIL'!L43</f>
        <v>0</v>
      </c>
      <c r="L6" s="1408" t="s">
        <v>9</v>
      </c>
      <c r="M6" s="1404">
        <f>'XM.GUI MAIL'!P43</f>
        <v>70.416499999999999</v>
      </c>
      <c r="N6" s="1408" t="s">
        <v>8</v>
      </c>
      <c r="O6" s="1347">
        <f>'XM.GUI MAIL'!S43</f>
        <v>0</v>
      </c>
      <c r="P6" s="1408" t="s">
        <v>9</v>
      </c>
      <c r="Q6" s="1404">
        <f>'XM.GUI MAIL'!W43</f>
        <v>68.144999999999996</v>
      </c>
      <c r="R6" s="1408" t="s">
        <v>8</v>
      </c>
      <c r="S6" s="1347">
        <f>'XM.GUI MAIL'!Z43</f>
        <v>4.9955150000000099</v>
      </c>
      <c r="T6" s="57" t="s">
        <v>9</v>
      </c>
      <c r="U6" s="271" t="s">
        <v>12</v>
      </c>
      <c r="W6" s="3260">
        <v>1</v>
      </c>
      <c r="X6" s="3083" t="s">
        <v>131</v>
      </c>
      <c r="Y6" s="3266"/>
      <c r="Z6" s="3263" t="s">
        <v>230</v>
      </c>
      <c r="AA6" s="3264"/>
      <c r="AB6" s="2030"/>
      <c r="AC6" s="1806" t="s">
        <v>9</v>
      </c>
      <c r="AD6" s="1798"/>
      <c r="AE6" s="1753" t="s">
        <v>4</v>
      </c>
      <c r="AF6" s="2030"/>
      <c r="AG6" s="1806" t="s">
        <v>9</v>
      </c>
      <c r="AH6" s="1798"/>
      <c r="AI6" s="1753" t="s">
        <v>4</v>
      </c>
      <c r="AJ6" s="2030"/>
      <c r="AK6" s="1806" t="s">
        <v>9</v>
      </c>
      <c r="AL6" s="1798"/>
      <c r="AM6" s="1753" t="s">
        <v>4</v>
      </c>
    </row>
    <row r="7" spans="1:39" ht="33" customHeight="1">
      <c r="A7" s="3293"/>
      <c r="B7" s="3267"/>
      <c r="C7" s="3268"/>
      <c r="D7" s="3263" t="s">
        <v>231</v>
      </c>
      <c r="E7" s="3264"/>
      <c r="F7" s="1014"/>
      <c r="G7" s="898" t="s">
        <v>987</v>
      </c>
      <c r="H7" s="2222"/>
      <c r="I7" s="2211"/>
      <c r="J7" s="1408"/>
      <c r="K7" s="79">
        <f>K6/25*7.5</f>
        <v>0</v>
      </c>
      <c r="L7" s="1408" t="s">
        <v>10</v>
      </c>
      <c r="M7" s="1683"/>
      <c r="N7" s="1408"/>
      <c r="O7" s="79">
        <f>O6/25*7.5</f>
        <v>0</v>
      </c>
      <c r="P7" s="1408" t="s">
        <v>10</v>
      </c>
      <c r="Q7" s="1683"/>
      <c r="R7" s="1408"/>
      <c r="S7" s="79">
        <f>S6/25*7.5</f>
        <v>1.4986545000000031</v>
      </c>
      <c r="T7" s="57" t="s">
        <v>10</v>
      </c>
      <c r="U7" s="20"/>
      <c r="W7" s="3293"/>
      <c r="X7" s="3267"/>
      <c r="Y7" s="3268"/>
      <c r="Z7" s="3263" t="s">
        <v>231</v>
      </c>
      <c r="AA7" s="3264"/>
      <c r="AB7" s="2030"/>
      <c r="AC7" s="1806" t="s">
        <v>10</v>
      </c>
      <c r="AD7" s="1798"/>
      <c r="AE7" s="1807"/>
      <c r="AF7" s="2030"/>
      <c r="AG7" s="1806" t="s">
        <v>10</v>
      </c>
      <c r="AH7" s="1798"/>
      <c r="AI7" s="1807"/>
      <c r="AJ7" s="2030"/>
      <c r="AK7" s="1806" t="s">
        <v>10</v>
      </c>
      <c r="AL7" s="1798"/>
      <c r="AM7" s="1807"/>
    </row>
    <row r="8" spans="1:39" ht="33" customHeight="1">
      <c r="A8" s="3260">
        <v>2</v>
      </c>
      <c r="B8" s="3083" t="s">
        <v>132</v>
      </c>
      <c r="C8" s="3266"/>
      <c r="D8" s="3263" t="s">
        <v>230</v>
      </c>
      <c r="E8" s="3264"/>
      <c r="F8" s="1039" t="s">
        <v>4</v>
      </c>
      <c r="G8" s="898" t="str">
        <f>'XM.GUI MAIL'!$E$45</f>
        <v>60~80</v>
      </c>
      <c r="H8" s="2222" t="str">
        <f>'XM.GUI MAIL'!$F$45</f>
        <v>(70±5)</v>
      </c>
      <c r="I8" s="2225">
        <f>'XM.GUI MAIL'!I45</f>
        <v>72.688000000000002</v>
      </c>
      <c r="J8" s="1408" t="s">
        <v>8</v>
      </c>
      <c r="K8" s="1347">
        <f>'XM.GUI MAIL'!L45</f>
        <v>0</v>
      </c>
      <c r="L8" s="1408" t="s">
        <v>9</v>
      </c>
      <c r="M8" s="1404">
        <f>'XM.GUI MAIL'!P45</f>
        <v>72.688000000000002</v>
      </c>
      <c r="N8" s="1408" t="s">
        <v>8</v>
      </c>
      <c r="O8" s="1347">
        <f>'XM.GUI MAIL'!S45</f>
        <v>0</v>
      </c>
      <c r="P8" s="1408" t="s">
        <v>9</v>
      </c>
      <c r="Q8" s="1404">
        <f>'XM.GUI MAIL'!W45</f>
        <v>71.714500000000001</v>
      </c>
      <c r="R8" s="1408" t="s">
        <v>8</v>
      </c>
      <c r="S8" s="1347">
        <f>'XM.GUI MAIL'!Z45</f>
        <v>0</v>
      </c>
      <c r="T8" s="57" t="s">
        <v>9</v>
      </c>
      <c r="U8" s="271" t="s">
        <v>12</v>
      </c>
      <c r="W8" s="3260">
        <v>2</v>
      </c>
      <c r="X8" s="3083" t="s">
        <v>132</v>
      </c>
      <c r="Y8" s="3266"/>
      <c r="Z8" s="3263" t="s">
        <v>230</v>
      </c>
      <c r="AA8" s="3264"/>
      <c r="AB8" s="2030"/>
      <c r="AC8" s="1806" t="s">
        <v>9</v>
      </c>
      <c r="AD8" s="1798"/>
      <c r="AE8" s="1753" t="s">
        <v>4</v>
      </c>
      <c r="AF8" s="2030"/>
      <c r="AG8" s="1806" t="s">
        <v>9</v>
      </c>
      <c r="AH8" s="1798"/>
      <c r="AI8" s="1753" t="s">
        <v>4</v>
      </c>
      <c r="AJ8" s="2030"/>
      <c r="AK8" s="1806" t="s">
        <v>9</v>
      </c>
      <c r="AL8" s="1798"/>
      <c r="AM8" s="1753" t="s">
        <v>4</v>
      </c>
    </row>
    <row r="9" spans="1:39" ht="33" customHeight="1">
      <c r="A9" s="3293"/>
      <c r="B9" s="3267"/>
      <c r="C9" s="3268"/>
      <c r="D9" s="3263" t="s">
        <v>231</v>
      </c>
      <c r="E9" s="3264"/>
      <c r="F9" s="1014"/>
      <c r="G9" s="898" t="s">
        <v>987</v>
      </c>
      <c r="H9" s="2222"/>
      <c r="I9" s="2211"/>
      <c r="J9" s="1408"/>
      <c r="K9" s="79">
        <f>K8/25*7.5</f>
        <v>0</v>
      </c>
      <c r="L9" s="1408" t="s">
        <v>10</v>
      </c>
      <c r="M9" s="1683"/>
      <c r="N9" s="1408"/>
      <c r="O9" s="79">
        <f>O8/25*7.5</f>
        <v>0</v>
      </c>
      <c r="P9" s="1408" t="s">
        <v>10</v>
      </c>
      <c r="Q9" s="1683"/>
      <c r="R9" s="1408"/>
      <c r="S9" s="79">
        <f>S8/25*7.5</f>
        <v>0</v>
      </c>
      <c r="T9" s="57" t="s">
        <v>10</v>
      </c>
      <c r="U9" s="20"/>
      <c r="W9" s="3293"/>
      <c r="X9" s="3267"/>
      <c r="Y9" s="3268"/>
      <c r="Z9" s="3263" t="s">
        <v>231</v>
      </c>
      <c r="AA9" s="3264"/>
      <c r="AB9" s="2030"/>
      <c r="AC9" s="1806" t="s">
        <v>10</v>
      </c>
      <c r="AD9" s="1798"/>
      <c r="AE9" s="1807"/>
      <c r="AF9" s="2030"/>
      <c r="AG9" s="1806" t="s">
        <v>10</v>
      </c>
      <c r="AH9" s="1798"/>
      <c r="AI9" s="1807"/>
      <c r="AJ9" s="2030"/>
      <c r="AK9" s="1806" t="s">
        <v>10</v>
      </c>
      <c r="AL9" s="1798"/>
      <c r="AM9" s="1807"/>
    </row>
    <row r="10" spans="1:39" ht="33" customHeight="1">
      <c r="A10" s="3260">
        <v>3</v>
      </c>
      <c r="B10" s="3250" t="s">
        <v>133</v>
      </c>
      <c r="C10" s="3262"/>
      <c r="D10" s="3251" t="s">
        <v>232</v>
      </c>
      <c r="E10" s="3253" t="s">
        <v>232</v>
      </c>
      <c r="F10" s="1039" t="s">
        <v>4</v>
      </c>
      <c r="G10" s="898" t="str">
        <f>'XM.GUI MAIL'!$E$47</f>
        <v>50~70</v>
      </c>
      <c r="H10" s="2222" t="str">
        <f>'XM.GUI MAIL'!$F$47</f>
        <v>(60±10)</v>
      </c>
      <c r="I10" s="2225">
        <f>'XM.GUI MAIL'!I47</f>
        <v>62.601000000000006</v>
      </c>
      <c r="J10" s="1408" t="s">
        <v>8</v>
      </c>
      <c r="K10" s="1347">
        <f>'XM.GUI MAIL'!L47</f>
        <v>0</v>
      </c>
      <c r="L10" s="1408" t="s">
        <v>9</v>
      </c>
      <c r="M10" s="1404">
        <f>'XM.GUI MAIL'!P47</f>
        <v>63.063000000000002</v>
      </c>
      <c r="N10" s="1408" t="s">
        <v>8</v>
      </c>
      <c r="O10" s="1347">
        <f>'XM.GUI MAIL'!S47</f>
        <v>0</v>
      </c>
      <c r="P10" s="1408" t="s">
        <v>9</v>
      </c>
      <c r="Q10" s="1404">
        <f>'XM.GUI MAIL'!W47</f>
        <v>64.680000000000007</v>
      </c>
      <c r="R10" s="1408" t="s">
        <v>8</v>
      </c>
      <c r="S10" s="1347">
        <f>'XM.GUI MAIL'!Z47</f>
        <v>0</v>
      </c>
      <c r="T10" s="57" t="s">
        <v>9</v>
      </c>
      <c r="U10" s="271" t="s">
        <v>12</v>
      </c>
      <c r="W10" s="3260">
        <v>3</v>
      </c>
      <c r="X10" s="3250" t="s">
        <v>133</v>
      </c>
      <c r="Y10" s="3262"/>
      <c r="Z10" s="3251" t="s">
        <v>232</v>
      </c>
      <c r="AA10" s="3253" t="s">
        <v>232</v>
      </c>
      <c r="AB10" s="2030"/>
      <c r="AC10" s="1806" t="s">
        <v>9</v>
      </c>
      <c r="AD10" s="1798"/>
      <c r="AE10" s="1753" t="s">
        <v>4</v>
      </c>
      <c r="AF10" s="2030"/>
      <c r="AG10" s="1806" t="s">
        <v>9</v>
      </c>
      <c r="AH10" s="1798"/>
      <c r="AI10" s="1753" t="s">
        <v>4</v>
      </c>
      <c r="AJ10" s="2030"/>
      <c r="AK10" s="1806" t="s">
        <v>9</v>
      </c>
      <c r="AL10" s="1798"/>
      <c r="AM10" s="1753" t="s">
        <v>4</v>
      </c>
    </row>
    <row r="11" spans="1:39" ht="33" customHeight="1">
      <c r="A11" s="3261"/>
      <c r="B11" s="3262"/>
      <c r="C11" s="3262"/>
      <c r="D11" s="3251" t="s">
        <v>233</v>
      </c>
      <c r="E11" s="3253" t="s">
        <v>233</v>
      </c>
      <c r="F11" s="1014"/>
      <c r="G11" s="898" t="s">
        <v>988</v>
      </c>
      <c r="H11" s="2222"/>
      <c r="I11" s="2211"/>
      <c r="J11" s="1408"/>
      <c r="K11" s="79">
        <f>K10/25*7</f>
        <v>0</v>
      </c>
      <c r="L11" s="1408" t="s">
        <v>10</v>
      </c>
      <c r="M11" s="1683"/>
      <c r="N11" s="1408"/>
      <c r="O11" s="79">
        <f>O10/25*7</f>
        <v>0</v>
      </c>
      <c r="P11" s="1408" t="s">
        <v>10</v>
      </c>
      <c r="Q11" s="1683"/>
      <c r="R11" s="1408"/>
      <c r="S11" s="79">
        <f>S10/25*7</f>
        <v>0</v>
      </c>
      <c r="T11" s="57" t="s">
        <v>10</v>
      </c>
      <c r="U11" s="20"/>
      <c r="W11" s="3261"/>
      <c r="X11" s="3262"/>
      <c r="Y11" s="3262"/>
      <c r="Z11" s="3251" t="s">
        <v>233</v>
      </c>
      <c r="AA11" s="3253" t="s">
        <v>233</v>
      </c>
      <c r="AB11" s="2030"/>
      <c r="AC11" s="1806" t="s">
        <v>10</v>
      </c>
      <c r="AD11" s="1798"/>
      <c r="AE11" s="1807"/>
      <c r="AF11" s="2030"/>
      <c r="AG11" s="1806" t="s">
        <v>10</v>
      </c>
      <c r="AH11" s="1798"/>
      <c r="AI11" s="1807"/>
      <c r="AJ11" s="2030"/>
      <c r="AK11" s="1806" t="s">
        <v>10</v>
      </c>
      <c r="AL11" s="1798"/>
      <c r="AM11" s="1807"/>
    </row>
    <row r="12" spans="1:39" ht="33" customHeight="1">
      <c r="A12" s="3260">
        <v>4</v>
      </c>
      <c r="B12" s="3250" t="s">
        <v>134</v>
      </c>
      <c r="C12" s="3262"/>
      <c r="D12" s="3251" t="s">
        <v>232</v>
      </c>
      <c r="E12" s="3253" t="s">
        <v>232</v>
      </c>
      <c r="F12" s="1039" t="s">
        <v>4</v>
      </c>
      <c r="G12" s="898" t="str">
        <f>'XM.GUI MAIL'!$E$49</f>
        <v>50~70</v>
      </c>
      <c r="H12" s="2222" t="str">
        <f>'XM.GUI MAIL'!$F$49</f>
        <v>(60±10)</v>
      </c>
      <c r="I12" s="2225">
        <f>'XM.GUI MAIL'!I49</f>
        <v>62.138999999999996</v>
      </c>
      <c r="J12" s="1408" t="s">
        <v>8</v>
      </c>
      <c r="K12" s="1347">
        <f>'XM.GUI MAIL'!L49</f>
        <v>0</v>
      </c>
      <c r="L12" s="1408" t="s">
        <v>9</v>
      </c>
      <c r="M12" s="1404">
        <f>'XM.GUI MAIL'!P49</f>
        <v>60.291000000000004</v>
      </c>
      <c r="N12" s="1408" t="s">
        <v>8</v>
      </c>
      <c r="O12" s="1347">
        <f>'XM.GUI MAIL'!S49</f>
        <v>0</v>
      </c>
      <c r="P12" s="1408" t="s">
        <v>9</v>
      </c>
      <c r="Q12" s="1404">
        <f>'XM.GUI MAIL'!W49</f>
        <v>60.06</v>
      </c>
      <c r="R12" s="1408" t="s">
        <v>8</v>
      </c>
      <c r="S12" s="1347">
        <f>'XM.GUI MAIL'!Z49</f>
        <v>0</v>
      </c>
      <c r="T12" s="57" t="s">
        <v>9</v>
      </c>
      <c r="U12" s="271" t="s">
        <v>12</v>
      </c>
      <c r="W12" s="3260">
        <v>4</v>
      </c>
      <c r="X12" s="3250" t="s">
        <v>134</v>
      </c>
      <c r="Y12" s="3262"/>
      <c r="Z12" s="3251" t="s">
        <v>232</v>
      </c>
      <c r="AA12" s="3253" t="s">
        <v>232</v>
      </c>
      <c r="AB12" s="2030"/>
      <c r="AC12" s="1806" t="s">
        <v>9</v>
      </c>
      <c r="AD12" s="1798"/>
      <c r="AE12" s="1753" t="s">
        <v>4</v>
      </c>
      <c r="AF12" s="2030"/>
      <c r="AG12" s="1806" t="s">
        <v>9</v>
      </c>
      <c r="AH12" s="1798"/>
      <c r="AI12" s="1753" t="s">
        <v>4</v>
      </c>
      <c r="AJ12" s="2030"/>
      <c r="AK12" s="1806" t="s">
        <v>9</v>
      </c>
      <c r="AL12" s="1798"/>
      <c r="AM12" s="1753" t="s">
        <v>4</v>
      </c>
    </row>
    <row r="13" spans="1:39" ht="33" customHeight="1">
      <c r="A13" s="3261"/>
      <c r="B13" s="3262"/>
      <c r="C13" s="3262"/>
      <c r="D13" s="3251" t="s">
        <v>233</v>
      </c>
      <c r="E13" s="3253" t="s">
        <v>233</v>
      </c>
      <c r="F13" s="1014"/>
      <c r="G13" s="898" t="s">
        <v>988</v>
      </c>
      <c r="H13" s="2222"/>
      <c r="I13" s="2211"/>
      <c r="J13" s="1408"/>
      <c r="K13" s="79">
        <f>K12/25*7</f>
        <v>0</v>
      </c>
      <c r="L13" s="1408" t="s">
        <v>10</v>
      </c>
      <c r="M13" s="1683"/>
      <c r="N13" s="1408"/>
      <c r="O13" s="79">
        <f>O12/25*7</f>
        <v>0</v>
      </c>
      <c r="P13" s="1408" t="s">
        <v>10</v>
      </c>
      <c r="Q13" s="1683"/>
      <c r="R13" s="1408"/>
      <c r="S13" s="79">
        <f>S12/25*7</f>
        <v>0</v>
      </c>
      <c r="T13" s="57" t="s">
        <v>10</v>
      </c>
      <c r="U13" s="20"/>
      <c r="W13" s="3261"/>
      <c r="X13" s="3262"/>
      <c r="Y13" s="3262"/>
      <c r="Z13" s="3251" t="s">
        <v>233</v>
      </c>
      <c r="AA13" s="3253" t="s">
        <v>233</v>
      </c>
      <c r="AB13" s="2030"/>
      <c r="AC13" s="1806" t="s">
        <v>10</v>
      </c>
      <c r="AD13" s="1798"/>
      <c r="AE13" s="1807"/>
      <c r="AF13" s="2030"/>
      <c r="AG13" s="1806" t="s">
        <v>10</v>
      </c>
      <c r="AH13" s="1798"/>
      <c r="AI13" s="1807"/>
      <c r="AJ13" s="2030"/>
      <c r="AK13" s="1806" t="s">
        <v>10</v>
      </c>
      <c r="AL13" s="1798"/>
      <c r="AM13" s="1807"/>
    </row>
    <row r="14" spans="1:39" ht="33" customHeight="1">
      <c r="A14" s="1039">
        <v>5</v>
      </c>
      <c r="B14" s="3251" t="s">
        <v>79</v>
      </c>
      <c r="C14" s="3252"/>
      <c r="D14" s="3252"/>
      <c r="E14" s="3253"/>
      <c r="F14" s="1039" t="s">
        <v>4</v>
      </c>
      <c r="G14" s="1009" t="str">
        <f>'XM.GUI MAIL'!$E$51</f>
        <v>130 - 150</v>
      </c>
      <c r="H14" s="2226" t="str">
        <f>'XM.GUI MAIL'!$F$51</f>
        <v>(140±7)</v>
      </c>
      <c r="I14" s="2214">
        <f>'XM.GUI MAIL'!I51</f>
        <v>144</v>
      </c>
      <c r="J14" s="1408" t="s">
        <v>8</v>
      </c>
      <c r="K14" s="1347">
        <f>'XM.GUI MAIL'!L51</f>
        <v>0</v>
      </c>
      <c r="L14" s="1408" t="s">
        <v>9</v>
      </c>
      <c r="M14" s="1762">
        <f>'XM.GUI MAIL'!P51</f>
        <v>141.6</v>
      </c>
      <c r="N14" s="1408" t="s">
        <v>8</v>
      </c>
      <c r="O14" s="1347">
        <f>'XM.GUI MAIL'!S51</f>
        <v>0</v>
      </c>
      <c r="P14" s="1408" t="s">
        <v>9</v>
      </c>
      <c r="Q14" s="1762">
        <f>'XM.GUI MAIL'!W51</f>
        <v>141.19999999999999</v>
      </c>
      <c r="R14" s="1408" t="s">
        <v>8</v>
      </c>
      <c r="S14" s="1347">
        <f>'XM.GUI MAIL'!Z51</f>
        <v>0</v>
      </c>
      <c r="T14" s="57" t="s">
        <v>9</v>
      </c>
      <c r="U14" s="271" t="s">
        <v>13</v>
      </c>
      <c r="W14" s="1445">
        <v>5</v>
      </c>
      <c r="X14" s="3251" t="s">
        <v>79</v>
      </c>
      <c r="Y14" s="3252"/>
      <c r="Z14" s="3252"/>
      <c r="AA14" s="3253"/>
      <c r="AB14" s="2030"/>
      <c r="AC14" s="1806" t="s">
        <v>9</v>
      </c>
      <c r="AD14" s="1798"/>
      <c r="AE14" s="1753" t="s">
        <v>4</v>
      </c>
      <c r="AF14" s="2030"/>
      <c r="AG14" s="1806" t="s">
        <v>9</v>
      </c>
      <c r="AH14" s="1798"/>
      <c r="AI14" s="1753" t="s">
        <v>4</v>
      </c>
      <c r="AJ14" s="2030"/>
      <c r="AK14" s="1806" t="s">
        <v>9</v>
      </c>
      <c r="AL14" s="1798"/>
      <c r="AM14" s="1753" t="s">
        <v>4</v>
      </c>
    </row>
    <row r="15" spans="1:39" ht="33" customHeight="1">
      <c r="A15" s="1039">
        <v>6</v>
      </c>
      <c r="B15" s="3251" t="s">
        <v>57</v>
      </c>
      <c r="C15" s="3252"/>
      <c r="D15" s="3252"/>
      <c r="E15" s="3253"/>
      <c r="F15" s="1039" t="s">
        <v>4</v>
      </c>
      <c r="G15" s="1009" t="str">
        <f>'XM.GUI MAIL'!$E$52</f>
        <v>8~12</v>
      </c>
      <c r="H15" s="2226" t="str">
        <f>'XM.GUI MAIL'!$F$52</f>
        <v>(10±2)</v>
      </c>
      <c r="I15" s="2216">
        <f>'XM.GUI MAIL'!I52</f>
        <v>10.270000000000001</v>
      </c>
      <c r="J15" s="1408" t="s">
        <v>8</v>
      </c>
      <c r="K15" s="1347">
        <f>'XM.GUI MAIL'!L52</f>
        <v>0</v>
      </c>
      <c r="L15" s="1408" t="s">
        <v>9</v>
      </c>
      <c r="M15" s="1738">
        <f>'XM.GUI MAIL'!P52</f>
        <v>10.66</v>
      </c>
      <c r="N15" s="1408" t="s">
        <v>8</v>
      </c>
      <c r="O15" s="1347">
        <f>'XM.GUI MAIL'!S52</f>
        <v>0</v>
      </c>
      <c r="P15" s="1408" t="s">
        <v>9</v>
      </c>
      <c r="Q15" s="1738">
        <f>'XM.GUI MAIL'!W52</f>
        <v>10.790000000000001</v>
      </c>
      <c r="R15" s="1408" t="s">
        <v>8</v>
      </c>
      <c r="S15" s="1347">
        <f>'XM.GUI MAIL'!Z52</f>
        <v>0</v>
      </c>
      <c r="T15" s="57" t="s">
        <v>9</v>
      </c>
      <c r="U15" s="271" t="s">
        <v>14</v>
      </c>
      <c r="W15" s="1445">
        <v>6</v>
      </c>
      <c r="X15" s="3251" t="s">
        <v>57</v>
      </c>
      <c r="Y15" s="3252"/>
      <c r="Z15" s="3252"/>
      <c r="AA15" s="3253"/>
      <c r="AB15" s="2030"/>
      <c r="AC15" s="1806" t="s">
        <v>9</v>
      </c>
      <c r="AD15" s="1798"/>
      <c r="AE15" s="1753" t="s">
        <v>4</v>
      </c>
      <c r="AF15" s="2030"/>
      <c r="AG15" s="1806" t="s">
        <v>9</v>
      </c>
      <c r="AH15" s="1798"/>
      <c r="AI15" s="1753" t="s">
        <v>4</v>
      </c>
      <c r="AJ15" s="2030"/>
      <c r="AK15" s="1806" t="s">
        <v>9</v>
      </c>
      <c r="AL15" s="1798"/>
      <c r="AM15" s="1753" t="s">
        <v>4</v>
      </c>
    </row>
    <row r="16" spans="1:39" ht="33" customHeight="1">
      <c r="A16" s="3260">
        <v>7</v>
      </c>
      <c r="B16" s="3083" t="s">
        <v>981</v>
      </c>
      <c r="C16" s="3084"/>
      <c r="D16" s="3084"/>
      <c r="E16" s="3085"/>
      <c r="F16" s="1039" t="s">
        <v>3</v>
      </c>
      <c r="G16" s="1009" t="str">
        <f>'XM.GUI MAIL'!$E$53</f>
        <v xml:space="preserve">6~10 </v>
      </c>
      <c r="H16" s="2226" t="str">
        <f>'XM.GUI MAIL'!$F$53</f>
        <v>(7±1)</v>
      </c>
      <c r="I16" s="2216">
        <f>'XM.GUI MAIL'!I53</f>
        <v>6.2627250000000005</v>
      </c>
      <c r="J16" s="1408" t="s">
        <v>8</v>
      </c>
      <c r="K16" s="1347">
        <f>'XM.GUI MAIL'!L53</f>
        <v>4.2393312499999967</v>
      </c>
      <c r="L16" s="1408" t="s">
        <v>10</v>
      </c>
      <c r="M16" s="1738">
        <f>'XM.GUI MAIL'!P53</f>
        <v>6.3262799999999997</v>
      </c>
      <c r="N16" s="1408" t="s">
        <v>8</v>
      </c>
      <c r="O16" s="1347">
        <f>'XM.GUI MAIL'!S53</f>
        <v>3.8738900000000016</v>
      </c>
      <c r="P16" s="1408" t="s">
        <v>10</v>
      </c>
      <c r="Q16" s="1738">
        <f>'XM.GUI MAIL'!W53</f>
        <v>6.1568000000000005</v>
      </c>
      <c r="R16" s="1408" t="s">
        <v>8</v>
      </c>
      <c r="S16" s="1347">
        <f>'XM.GUI MAIL'!Z53</f>
        <v>4.8483999999999972</v>
      </c>
      <c r="T16" s="57" t="s">
        <v>10</v>
      </c>
      <c r="U16" s="271"/>
      <c r="W16" s="3260">
        <v>7</v>
      </c>
      <c r="X16" s="3083" t="s">
        <v>981</v>
      </c>
      <c r="Y16" s="3084"/>
      <c r="Z16" s="3084"/>
      <c r="AA16" s="3085"/>
      <c r="AB16" s="2030"/>
      <c r="AC16" s="1806" t="s">
        <v>10</v>
      </c>
      <c r="AD16" s="1798"/>
      <c r="AE16" s="1753" t="s">
        <v>3</v>
      </c>
      <c r="AF16" s="2030"/>
      <c r="AG16" s="1806" t="s">
        <v>10</v>
      </c>
      <c r="AH16" s="1798"/>
      <c r="AI16" s="1753" t="s">
        <v>3</v>
      </c>
      <c r="AJ16" s="2030"/>
      <c r="AK16" s="1806" t="s">
        <v>10</v>
      </c>
      <c r="AL16" s="1798"/>
      <c r="AM16" s="1753" t="s">
        <v>3</v>
      </c>
    </row>
    <row r="17" spans="1:39" ht="33" customHeight="1">
      <c r="A17" s="3261"/>
      <c r="B17" s="3086"/>
      <c r="C17" s="3291"/>
      <c r="D17" s="3291"/>
      <c r="E17" s="3292"/>
      <c r="F17" s="1039" t="s">
        <v>5</v>
      </c>
      <c r="G17" s="1009" t="str">
        <f>'XM.GUI MAIL'!$E$54</f>
        <v>2~2.5</v>
      </c>
      <c r="H17" s="2226" t="str">
        <f>'XM.GUI MAIL'!$F$54</f>
        <v>(2.3±0.1 )</v>
      </c>
      <c r="I17" s="2216">
        <f>'XM.GUI MAIL'!I54</f>
        <v>3</v>
      </c>
      <c r="J17" s="1408"/>
      <c r="K17" s="1347"/>
      <c r="L17" s="1408"/>
      <c r="M17" s="1738">
        <f>'XM.GUI MAIL'!P54</f>
        <v>3</v>
      </c>
      <c r="N17" s="1408"/>
      <c r="O17" s="1347"/>
      <c r="P17" s="1408"/>
      <c r="Q17" s="1738">
        <f>'XM.GUI MAIL'!W54</f>
        <v>2.2000000000000002</v>
      </c>
      <c r="R17" s="1408"/>
      <c r="S17" s="1347">
        <f>'XM.GUI MAIL'!Z54</f>
        <v>0</v>
      </c>
      <c r="T17" s="57"/>
      <c r="U17" s="20"/>
      <c r="W17" s="3261"/>
      <c r="X17" s="3086"/>
      <c r="Y17" s="3291"/>
      <c r="Z17" s="3291"/>
      <c r="AA17" s="3292"/>
      <c r="AB17" s="2030"/>
      <c r="AC17" s="1806"/>
      <c r="AD17" s="1798"/>
      <c r="AE17" s="1753" t="s">
        <v>5</v>
      </c>
      <c r="AF17" s="2030"/>
      <c r="AG17" s="1806"/>
      <c r="AH17" s="1798"/>
      <c r="AI17" s="1753" t="s">
        <v>5</v>
      </c>
      <c r="AJ17" s="2030"/>
      <c r="AK17" s="1806"/>
      <c r="AL17" s="1798"/>
      <c r="AM17" s="1753" t="s">
        <v>5</v>
      </c>
    </row>
    <row r="18" spans="1:39" ht="33" customHeight="1">
      <c r="A18" s="1039">
        <v>8</v>
      </c>
      <c r="B18" s="3251" t="s">
        <v>58</v>
      </c>
      <c r="C18" s="3252"/>
      <c r="D18" s="3252"/>
      <c r="E18" s="3253"/>
      <c r="F18" s="1029" t="s">
        <v>6</v>
      </c>
      <c r="G18" s="1009" t="str">
        <f>'XM.GUI MAIL'!$E$55</f>
        <v xml:space="preserve">40~50 </v>
      </c>
      <c r="H18" s="2226" t="str">
        <f>'XM.GUI MAIL'!$F$55</f>
        <v>(45±5)</v>
      </c>
      <c r="I18" s="2217">
        <f>'XM.GUI MAIL'!I55</f>
        <v>0.43914062500000001</v>
      </c>
      <c r="J18" s="1410" t="s">
        <v>8</v>
      </c>
      <c r="K18" s="1411">
        <f>'XM.GUI MAIL'!L55</f>
        <v>23.04359375000001</v>
      </c>
      <c r="L18" s="1412" t="s">
        <v>10</v>
      </c>
      <c r="M18" s="1743">
        <f>'XM.GUI MAIL'!P55</f>
        <v>0.46765624999999994</v>
      </c>
      <c r="N18" s="1410" t="s">
        <v>8</v>
      </c>
      <c r="O18" s="1411">
        <f>'XM.GUI MAIL'!S55</f>
        <v>0</v>
      </c>
      <c r="P18" s="1412" t="s">
        <v>10</v>
      </c>
      <c r="Q18" s="1743">
        <f>'XM.GUI MAIL'!W55</f>
        <v>0.45624999999999999</v>
      </c>
      <c r="R18" s="1408" t="s">
        <v>8</v>
      </c>
      <c r="S18" s="1347">
        <f>'XM.GUI MAIL'!Z55</f>
        <v>0</v>
      </c>
      <c r="T18" s="57" t="s">
        <v>10</v>
      </c>
      <c r="U18" s="271" t="s">
        <v>15</v>
      </c>
      <c r="W18" s="1445">
        <v>8</v>
      </c>
      <c r="X18" s="3251" t="s">
        <v>58</v>
      </c>
      <c r="Y18" s="3252"/>
      <c r="Z18" s="3252"/>
      <c r="AA18" s="3253"/>
      <c r="AB18" s="2030" t="s">
        <v>1669</v>
      </c>
      <c r="AC18" s="1806" t="s">
        <v>10</v>
      </c>
      <c r="AD18" s="2839">
        <f>M18</f>
        <v>0.46765624999999994</v>
      </c>
      <c r="AE18" s="1808" t="s">
        <v>6</v>
      </c>
      <c r="AF18" s="2030"/>
      <c r="AG18" s="1806" t="s">
        <v>10</v>
      </c>
      <c r="AH18" s="1798"/>
      <c r="AI18" s="1808" t="s">
        <v>6</v>
      </c>
      <c r="AJ18" s="2030"/>
      <c r="AK18" s="1806" t="s">
        <v>10</v>
      </c>
      <c r="AL18" s="1798"/>
      <c r="AM18" s="1808" t="s">
        <v>6</v>
      </c>
    </row>
    <row r="19" spans="1:39" ht="33" hidden="1" customHeight="1">
      <c r="A19" s="1039">
        <v>9</v>
      </c>
      <c r="B19" s="3251" t="s">
        <v>59</v>
      </c>
      <c r="C19" s="3252"/>
      <c r="D19" s="3252"/>
      <c r="E19" s="3253"/>
      <c r="F19" s="1029" t="s">
        <v>6</v>
      </c>
      <c r="G19" s="1009" t="str">
        <f>'XM.GUI MAIL'!$E$56</f>
        <v>(22±5) =17~27</v>
      </c>
      <c r="H19" s="2226" t="str">
        <f>'XM.GUI MAIL'!$F$56</f>
        <v>(22±5)</v>
      </c>
      <c r="I19" s="2217">
        <f>'XM.GUI MAIL'!I56</f>
        <v>0</v>
      </c>
      <c r="J19" s="1408" t="s">
        <v>8</v>
      </c>
      <c r="K19" s="1347">
        <f>'XM.GUI MAIL'!L56</f>
        <v>0</v>
      </c>
      <c r="L19" s="1408" t="s">
        <v>10</v>
      </c>
      <c r="M19" s="1743">
        <f>'XM.GUI MAIL'!P56</f>
        <v>0</v>
      </c>
      <c r="N19" s="1408" t="s">
        <v>8</v>
      </c>
      <c r="O19" s="1347">
        <f>'XM.GUI MAIL'!S56</f>
        <v>0</v>
      </c>
      <c r="P19" s="1408" t="s">
        <v>10</v>
      </c>
      <c r="Q19" s="1743">
        <f>'XM.GUI MAIL'!W56</f>
        <v>0</v>
      </c>
      <c r="R19" s="1408" t="s">
        <v>8</v>
      </c>
      <c r="S19" s="1347">
        <f>'XM.GUI MAIL'!Z56</f>
        <v>0</v>
      </c>
      <c r="T19" s="57" t="s">
        <v>10</v>
      </c>
      <c r="U19" s="271" t="s">
        <v>15</v>
      </c>
      <c r="W19" s="1445">
        <v>9</v>
      </c>
      <c r="X19" s="3251" t="s">
        <v>59</v>
      </c>
      <c r="Y19" s="3252"/>
      <c r="Z19" s="3252"/>
      <c r="AA19" s="3253"/>
      <c r="AB19" s="2030"/>
      <c r="AC19" s="1806" t="s">
        <v>10</v>
      </c>
      <c r="AD19" s="1798"/>
      <c r="AE19" s="1808" t="s">
        <v>6</v>
      </c>
      <c r="AF19" s="2030"/>
      <c r="AG19" s="1806" t="s">
        <v>10</v>
      </c>
      <c r="AH19" s="1798"/>
      <c r="AI19" s="1808" t="s">
        <v>6</v>
      </c>
      <c r="AJ19" s="2030"/>
      <c r="AK19" s="1806" t="s">
        <v>10</v>
      </c>
      <c r="AL19" s="1798"/>
      <c r="AM19" s="1808" t="s">
        <v>6</v>
      </c>
    </row>
    <row r="20" spans="1:39" ht="33" hidden="1" customHeight="1">
      <c r="A20" s="1039">
        <v>11</v>
      </c>
      <c r="B20" s="3251" t="s">
        <v>108</v>
      </c>
      <c r="C20" s="3252"/>
      <c r="D20" s="3252"/>
      <c r="E20" s="3253"/>
      <c r="F20" s="1029" t="s">
        <v>6</v>
      </c>
      <c r="G20" s="1009" t="str">
        <f>'XM.GUI MAIL'!$E$57</f>
        <v>5~15</v>
      </c>
      <c r="H20" s="2226" t="str">
        <f>'XM.GUI MAIL'!$F$57</f>
        <v>(10±3)</v>
      </c>
      <c r="I20" s="2217">
        <f>'XM.GUI MAIL'!I57</f>
        <v>0</v>
      </c>
      <c r="J20" s="1408" t="s">
        <v>8</v>
      </c>
      <c r="K20" s="1347">
        <f>'XM.GUI MAIL'!L57</f>
        <v>0</v>
      </c>
      <c r="L20" s="1408" t="s">
        <v>10</v>
      </c>
      <c r="M20" s="1743">
        <f>'XM.GUI MAIL'!P57</f>
        <v>0</v>
      </c>
      <c r="N20" s="1408" t="s">
        <v>8</v>
      </c>
      <c r="O20" s="1347">
        <f>'XM.GUI MAIL'!S57</f>
        <v>0</v>
      </c>
      <c r="P20" s="1408" t="s">
        <v>10</v>
      </c>
      <c r="Q20" s="1743">
        <f>'XM.GUI MAIL'!W57</f>
        <v>0</v>
      </c>
      <c r="R20" s="1408" t="s">
        <v>8</v>
      </c>
      <c r="S20" s="1347">
        <f>'XM.GUI MAIL'!Z57</f>
        <v>0</v>
      </c>
      <c r="T20" s="57" t="s">
        <v>10</v>
      </c>
      <c r="U20" s="271" t="s">
        <v>16</v>
      </c>
      <c r="W20" s="1445">
        <v>11</v>
      </c>
      <c r="X20" s="3251" t="s">
        <v>108</v>
      </c>
      <c r="Y20" s="3252"/>
      <c r="Z20" s="3252"/>
      <c r="AA20" s="3253"/>
      <c r="AB20" s="2030"/>
      <c r="AC20" s="1806" t="s">
        <v>10</v>
      </c>
      <c r="AD20" s="1798"/>
      <c r="AE20" s="1808" t="s">
        <v>6</v>
      </c>
      <c r="AF20" s="2030"/>
      <c r="AG20" s="1806" t="s">
        <v>10</v>
      </c>
      <c r="AH20" s="1798"/>
      <c r="AI20" s="1808" t="s">
        <v>6</v>
      </c>
      <c r="AJ20" s="2030"/>
      <c r="AK20" s="1806" t="s">
        <v>10</v>
      </c>
      <c r="AL20" s="1798"/>
      <c r="AM20" s="1808" t="s">
        <v>6</v>
      </c>
    </row>
    <row r="21" spans="1:39" ht="33" customHeight="1">
      <c r="A21" s="1039">
        <v>12</v>
      </c>
      <c r="B21" s="3251" t="s">
        <v>107</v>
      </c>
      <c r="C21" s="3252"/>
      <c r="D21" s="3252"/>
      <c r="E21" s="3253"/>
      <c r="F21" s="1029" t="s">
        <v>3</v>
      </c>
      <c r="G21" s="1009" t="str">
        <f>'XM.GUI MAIL'!$E$58</f>
        <v>0.5~1.5</v>
      </c>
      <c r="H21" s="2226" t="str">
        <f>'XM.GUI MAIL'!$F$58</f>
        <v>(1±0.4)</v>
      </c>
      <c r="I21" s="2219">
        <f>'XM.GUI MAIL'!I58</f>
        <v>1.0458E-2</v>
      </c>
      <c r="J21" s="1410" t="s">
        <v>8</v>
      </c>
      <c r="K21" s="1415">
        <f>'XM.GUI MAIL'!L58</f>
        <v>0</v>
      </c>
      <c r="L21" s="1412" t="s">
        <v>10</v>
      </c>
      <c r="M21" s="1774">
        <f>'XM.GUI MAIL'!P58</f>
        <v>1.0709999999999999E-2</v>
      </c>
      <c r="N21" s="1410" t="s">
        <v>8</v>
      </c>
      <c r="O21" s="1415">
        <f>'XM.GUI MAIL'!S58</f>
        <v>0</v>
      </c>
      <c r="P21" s="1412" t="s">
        <v>10</v>
      </c>
      <c r="Q21" s="1774">
        <f>'XM.GUI MAIL'!W58</f>
        <v>1.008E-2</v>
      </c>
      <c r="R21" s="1408" t="s">
        <v>8</v>
      </c>
      <c r="S21" s="79">
        <f>'XM.GUI MAIL'!Z58</f>
        <v>0</v>
      </c>
      <c r="T21" s="57" t="s">
        <v>10</v>
      </c>
      <c r="U21" s="271" t="s">
        <v>16</v>
      </c>
      <c r="W21" s="1445">
        <v>12</v>
      </c>
      <c r="X21" s="3251" t="s">
        <v>107</v>
      </c>
      <c r="Y21" s="3252"/>
      <c r="Z21" s="3252"/>
      <c r="AA21" s="3253"/>
      <c r="AB21" s="2030"/>
      <c r="AC21" s="1806" t="s">
        <v>10</v>
      </c>
      <c r="AD21" s="1798"/>
      <c r="AE21" s="1808" t="s">
        <v>3</v>
      </c>
      <c r="AF21" s="2030"/>
      <c r="AG21" s="1806" t="s">
        <v>10</v>
      </c>
      <c r="AH21" s="1798"/>
      <c r="AI21" s="1808" t="s">
        <v>3</v>
      </c>
      <c r="AJ21" s="2030"/>
      <c r="AK21" s="1806" t="s">
        <v>10</v>
      </c>
      <c r="AL21" s="1798"/>
      <c r="AM21" s="1808" t="s">
        <v>3</v>
      </c>
    </row>
    <row r="22" spans="1:39" ht="31.5" customHeight="1">
      <c r="A22" s="3260">
        <v>13</v>
      </c>
      <c r="B22" s="3083" t="s">
        <v>234</v>
      </c>
      <c r="C22" s="3084"/>
      <c r="D22" s="3084"/>
      <c r="E22" s="3085"/>
      <c r="F22" s="1039" t="s">
        <v>3</v>
      </c>
      <c r="G22" s="1009" t="str">
        <f>'XM.GUI MAIL'!$E$59</f>
        <v>5~8</v>
      </c>
      <c r="H22" s="2226" t="str">
        <f>'XM.GUI MAIL'!$F$59</f>
        <v>(6±0.5)</v>
      </c>
      <c r="I22" s="2220">
        <f>'XM.GUI MAIL'!I59</f>
        <v>6.2799999999999994</v>
      </c>
      <c r="J22" s="1408" t="s">
        <v>8</v>
      </c>
      <c r="K22" s="79">
        <f>'XM.GUI MAIL'!L59</f>
        <v>0</v>
      </c>
      <c r="L22" s="1409" t="s">
        <v>10</v>
      </c>
      <c r="M22" s="1840" t="str">
        <f>'XM.GUI MAIL'!P59</f>
        <v>KO SX</v>
      </c>
      <c r="N22" s="1408" t="s">
        <v>8</v>
      </c>
      <c r="O22" s="79">
        <f>'XM.GUI MAIL'!S59</f>
        <v>0</v>
      </c>
      <c r="P22" s="1409" t="s">
        <v>10</v>
      </c>
      <c r="Q22" s="1840" t="str">
        <f>'XM.GUI MAIL'!W59</f>
        <v>KO SX</v>
      </c>
      <c r="R22" s="1408" t="s">
        <v>8</v>
      </c>
      <c r="S22" s="79">
        <f>'XM.GUI MAIL'!Z59</f>
        <v>0</v>
      </c>
      <c r="T22" s="57" t="s">
        <v>10</v>
      </c>
      <c r="U22" s="271"/>
      <c r="W22" s="3260">
        <v>13</v>
      </c>
      <c r="X22" s="3083" t="s">
        <v>234</v>
      </c>
      <c r="Y22" s="3084"/>
      <c r="Z22" s="3084"/>
      <c r="AA22" s="3085"/>
      <c r="AB22" s="2030"/>
      <c r="AC22" s="1806" t="s">
        <v>10</v>
      </c>
      <c r="AD22" s="1798"/>
      <c r="AE22" s="1753" t="s">
        <v>3</v>
      </c>
      <c r="AF22" s="2030"/>
      <c r="AG22" s="1806" t="s">
        <v>10</v>
      </c>
      <c r="AH22" s="1798"/>
      <c r="AI22" s="1753" t="s">
        <v>3</v>
      </c>
      <c r="AJ22" s="2030"/>
      <c r="AK22" s="1806" t="s">
        <v>10</v>
      </c>
      <c r="AL22" s="1798"/>
      <c r="AM22" s="1753" t="s">
        <v>3</v>
      </c>
    </row>
    <row r="23" spans="1:39" ht="31.5" customHeight="1">
      <c r="A23" s="3261"/>
      <c r="B23" s="3086"/>
      <c r="C23" s="3087"/>
      <c r="D23" s="3087"/>
      <c r="E23" s="3088"/>
      <c r="F23" s="1039" t="s">
        <v>5</v>
      </c>
      <c r="G23" s="1009" t="str">
        <f>'XM.GUI MAIL'!$E$60</f>
        <v>1.8~2.4</v>
      </c>
      <c r="H23" s="2226" t="str">
        <f>'XM.GUI MAIL'!$F$60</f>
        <v>(2.1±0.1 )</v>
      </c>
      <c r="I23" s="2221">
        <f>'XM.GUI MAIL'!I60</f>
        <v>2.1</v>
      </c>
      <c r="J23" s="1408"/>
      <c r="K23" s="1347"/>
      <c r="L23" s="1409"/>
      <c r="M23" s="2194" t="str">
        <f>'XM.GUI MAIL'!P60</f>
        <v>KO SX</v>
      </c>
      <c r="N23" s="1408"/>
      <c r="O23" s="1347"/>
      <c r="P23" s="1409"/>
      <c r="Q23" s="2194" t="str">
        <f>'XM.GUI MAIL'!W60</f>
        <v>KO SX</v>
      </c>
      <c r="R23" s="1408"/>
      <c r="S23" s="1347">
        <f>'XM.GUI MAIL'!Z60</f>
        <v>0</v>
      </c>
      <c r="T23" s="57"/>
      <c r="U23" s="271"/>
      <c r="W23" s="3261"/>
      <c r="X23" s="3086"/>
      <c r="Y23" s="3087"/>
      <c r="Z23" s="3087"/>
      <c r="AA23" s="3088"/>
      <c r="AB23" s="2031"/>
      <c r="AC23" s="1806"/>
      <c r="AD23" s="1802"/>
      <c r="AE23" s="1753"/>
      <c r="AF23" s="2031"/>
      <c r="AG23" s="1806"/>
      <c r="AH23" s="1802"/>
      <c r="AI23" s="1753"/>
      <c r="AJ23" s="2031"/>
      <c r="AK23" s="1806"/>
      <c r="AL23" s="1802"/>
      <c r="AM23" s="1753"/>
    </row>
    <row r="24" spans="1:39" ht="33.75" customHeight="1">
      <c r="A24" s="1039"/>
      <c r="B24" s="255"/>
      <c r="C24" s="256"/>
      <c r="D24" s="256"/>
      <c r="E24" s="256"/>
      <c r="F24" s="256"/>
      <c r="G24" s="258" t="s">
        <v>109</v>
      </c>
      <c r="H24" s="258"/>
      <c r="I24" s="256"/>
      <c r="J24" s="256"/>
      <c r="K24" s="256"/>
      <c r="L24" s="256"/>
      <c r="M24" s="256"/>
      <c r="N24" s="256"/>
      <c r="O24" s="256"/>
      <c r="P24" s="256"/>
      <c r="Q24" s="256"/>
      <c r="R24" s="256"/>
      <c r="S24" s="256"/>
      <c r="T24" s="256"/>
      <c r="U24" s="257"/>
      <c r="W24" s="1445"/>
      <c r="X24" s="255"/>
      <c r="Y24" s="256"/>
      <c r="Z24" s="256"/>
      <c r="AA24" s="256"/>
      <c r="AB24" s="256"/>
      <c r="AC24" s="256"/>
      <c r="AD24" s="256"/>
      <c r="AE24" s="256"/>
      <c r="AF24" s="256"/>
      <c r="AG24" s="1805"/>
      <c r="AH24" s="1805"/>
    </row>
    <row r="25" spans="1:39" ht="33.75" customHeight="1">
      <c r="A25" s="1029" t="s">
        <v>7</v>
      </c>
      <c r="B25" s="3251" t="s">
        <v>61</v>
      </c>
      <c r="C25" s="3252"/>
      <c r="D25" s="3252"/>
      <c r="E25" s="3253"/>
      <c r="F25" s="1032" t="s">
        <v>63</v>
      </c>
      <c r="G25" s="978" t="s">
        <v>1310</v>
      </c>
      <c r="H25" s="2224" t="s">
        <v>1302</v>
      </c>
      <c r="I25" s="3300" t="s">
        <v>45</v>
      </c>
      <c r="J25" s="3298"/>
      <c r="K25" s="3297" t="s">
        <v>62</v>
      </c>
      <c r="L25" s="3298"/>
      <c r="M25" s="3297" t="s">
        <v>45</v>
      </c>
      <c r="N25" s="3298"/>
      <c r="O25" s="3297" t="s">
        <v>62</v>
      </c>
      <c r="P25" s="3298"/>
      <c r="Q25" s="3297" t="s">
        <v>45</v>
      </c>
      <c r="R25" s="3298"/>
      <c r="S25" s="3297" t="s">
        <v>62</v>
      </c>
      <c r="T25" s="3298"/>
      <c r="U25" s="1030"/>
      <c r="W25" s="1447" t="s">
        <v>7</v>
      </c>
      <c r="X25" s="3251" t="s">
        <v>61</v>
      </c>
      <c r="Y25" s="3252"/>
      <c r="Z25" s="3252"/>
      <c r="AA25" s="3253"/>
      <c r="AB25" s="3285" t="s">
        <v>1360</v>
      </c>
      <c r="AC25" s="3062"/>
      <c r="AD25" s="3062"/>
      <c r="AE25" s="3063"/>
      <c r="AF25" s="3285" t="s">
        <v>1360</v>
      </c>
      <c r="AG25" s="3062"/>
      <c r="AH25" s="3062"/>
      <c r="AI25" s="3063"/>
      <c r="AJ25" s="3285" t="s">
        <v>1360</v>
      </c>
      <c r="AK25" s="3062"/>
      <c r="AL25" s="3062"/>
      <c r="AM25" s="3063"/>
    </row>
    <row r="26" spans="1:39" ht="37.5" customHeight="1">
      <c r="A26" s="1029">
        <v>1</v>
      </c>
      <c r="B26" s="3251" t="s">
        <v>65</v>
      </c>
      <c r="C26" s="3252"/>
      <c r="D26" s="3252"/>
      <c r="E26" s="3253"/>
      <c r="F26" s="21" t="s">
        <v>105</v>
      </c>
      <c r="G26" s="1010" t="str">
        <f>'XM.GUI MAIL'!$E$63</f>
        <v>50~70</v>
      </c>
      <c r="H26" s="2242" t="str">
        <f>'XM.GUI MAIL'!$F$63</f>
        <v>(60±5)</v>
      </c>
      <c r="I26" s="3113">
        <f>'XM.GUI MAIL'!I63</f>
        <v>60</v>
      </c>
      <c r="J26" s="3112"/>
      <c r="K26" s="3112">
        <f>'XM.GUI MAIL'!L63</f>
        <v>60</v>
      </c>
      <c r="L26" s="3112"/>
      <c r="M26" s="3112">
        <f>'XM.GUI MAIL'!P63</f>
        <v>60</v>
      </c>
      <c r="N26" s="3112"/>
      <c r="O26" s="3112">
        <f>'XM.GUI MAIL'!S63</f>
        <v>60</v>
      </c>
      <c r="P26" s="3112"/>
      <c r="Q26" s="3112">
        <f>'XM.GUI MAIL'!W63</f>
        <v>60</v>
      </c>
      <c r="R26" s="3112"/>
      <c r="S26" s="3112">
        <f>'XM.GUI MAIL'!Z63</f>
        <v>60</v>
      </c>
      <c r="T26" s="3112"/>
      <c r="U26" s="20"/>
      <c r="W26" s="1447">
        <v>1</v>
      </c>
      <c r="X26" s="3251" t="s">
        <v>65</v>
      </c>
      <c r="Y26" s="3252"/>
      <c r="Z26" s="3252"/>
      <c r="AA26" s="3253"/>
      <c r="AB26" s="1511"/>
      <c r="AC26" s="1794"/>
      <c r="AD26" s="1794"/>
      <c r="AE26" s="1512"/>
      <c r="AF26" s="1511"/>
      <c r="AG26" s="1794"/>
      <c r="AH26" s="1794"/>
      <c r="AI26" s="1512"/>
      <c r="AJ26" s="1511"/>
      <c r="AK26" s="1794"/>
      <c r="AL26" s="1794"/>
      <c r="AM26" s="1512"/>
    </row>
    <row r="27" spans="1:39" ht="37.5" customHeight="1">
      <c r="A27" s="1029">
        <v>2</v>
      </c>
      <c r="B27" s="3251" t="s">
        <v>66</v>
      </c>
      <c r="C27" s="3252" t="s">
        <v>66</v>
      </c>
      <c r="D27" s="3252" t="s">
        <v>66</v>
      </c>
      <c r="E27" s="3253" t="s">
        <v>66</v>
      </c>
      <c r="F27" s="21" t="s">
        <v>105</v>
      </c>
      <c r="G27" s="1010" t="str">
        <f>'XM.GUI MAIL'!$E$64</f>
        <v>50~70</v>
      </c>
      <c r="H27" s="2242" t="str">
        <f>'XM.GUI MAIL'!$F$64</f>
        <v>(60±5)</v>
      </c>
      <c r="I27" s="3113">
        <f>'XM.GUI MAIL'!I64</f>
        <v>60</v>
      </c>
      <c r="J27" s="3112"/>
      <c r="K27" s="3112">
        <f>'XM.GUI MAIL'!L64</f>
        <v>60</v>
      </c>
      <c r="L27" s="3112"/>
      <c r="M27" s="3112">
        <f>'XM.GUI MAIL'!P64</f>
        <v>62</v>
      </c>
      <c r="N27" s="3112"/>
      <c r="O27" s="3112">
        <f>'XM.GUI MAIL'!S64</f>
        <v>61</v>
      </c>
      <c r="P27" s="3112"/>
      <c r="Q27" s="3112">
        <f>'XM.GUI MAIL'!W64</f>
        <v>60</v>
      </c>
      <c r="R27" s="3112"/>
      <c r="S27" s="3112">
        <f>'XM.GUI MAIL'!Z64</f>
        <v>60</v>
      </c>
      <c r="T27" s="3112"/>
      <c r="U27" s="20"/>
      <c r="W27" s="1447">
        <v>2</v>
      </c>
      <c r="X27" s="3251" t="s">
        <v>66</v>
      </c>
      <c r="Y27" s="3252" t="s">
        <v>66</v>
      </c>
      <c r="Z27" s="3252" t="s">
        <v>66</v>
      </c>
      <c r="AA27" s="3253" t="s">
        <v>66</v>
      </c>
      <c r="AB27" s="1511"/>
      <c r="AC27" s="1794"/>
      <c r="AD27" s="1794"/>
      <c r="AE27" s="1512"/>
      <c r="AF27" s="1511"/>
      <c r="AG27" s="1794"/>
      <c r="AH27" s="1794"/>
      <c r="AI27" s="1512"/>
      <c r="AJ27" s="1511"/>
      <c r="AK27" s="1794"/>
      <c r="AL27" s="1794"/>
      <c r="AM27" s="1512"/>
    </row>
    <row r="28" spans="1:39" ht="37.5" customHeight="1">
      <c r="A28" s="1029">
        <v>3</v>
      </c>
      <c r="B28" s="3251" t="s">
        <v>68</v>
      </c>
      <c r="C28" s="3252" t="s">
        <v>68</v>
      </c>
      <c r="D28" s="3252" t="s">
        <v>68</v>
      </c>
      <c r="E28" s="3253" t="s">
        <v>68</v>
      </c>
      <c r="F28" s="21" t="s">
        <v>105</v>
      </c>
      <c r="G28" s="1010" t="str">
        <f>'XM.GUI MAIL'!$E$65</f>
        <v>40~60</v>
      </c>
      <c r="H28" s="2242" t="str">
        <f>'XM.GUI MAIL'!$F$65</f>
        <v>(50±5)</v>
      </c>
      <c r="I28" s="3032">
        <f>'XM.GUI MAIL'!I65</f>
        <v>52</v>
      </c>
      <c r="J28" s="3026"/>
      <c r="K28" s="3033">
        <f>'XM.GUI MAIL'!L65</f>
        <v>51</v>
      </c>
      <c r="L28" s="3026"/>
      <c r="M28" s="3033">
        <f>'XM.GUI MAIL'!P65</f>
        <v>52</v>
      </c>
      <c r="N28" s="3026"/>
      <c r="O28" s="3033">
        <f>'XM.GUI MAIL'!S65</f>
        <v>51</v>
      </c>
      <c r="P28" s="3026"/>
      <c r="Q28" s="3033">
        <f>'XM.GUI MAIL'!W65</f>
        <v>53</v>
      </c>
      <c r="R28" s="3026"/>
      <c r="S28" s="3033">
        <f>'XM.GUI MAIL'!Z65</f>
        <v>52</v>
      </c>
      <c r="T28" s="3026"/>
      <c r="U28" s="20"/>
      <c r="W28" s="1447">
        <v>3</v>
      </c>
      <c r="X28" s="3251" t="s">
        <v>68</v>
      </c>
      <c r="Y28" s="3252" t="s">
        <v>68</v>
      </c>
      <c r="Z28" s="3252" t="s">
        <v>68</v>
      </c>
      <c r="AA28" s="3253" t="s">
        <v>68</v>
      </c>
      <c r="AB28" s="1511"/>
      <c r="AC28" s="1794"/>
      <c r="AD28" s="1794"/>
      <c r="AE28" s="1512"/>
      <c r="AF28" s="1511"/>
      <c r="AG28" s="1794"/>
      <c r="AH28" s="1794"/>
      <c r="AI28" s="1512"/>
      <c r="AJ28" s="1511"/>
      <c r="AK28" s="1794"/>
      <c r="AL28" s="1794"/>
      <c r="AM28" s="1512"/>
    </row>
    <row r="29" spans="1:39" ht="37.5" customHeight="1">
      <c r="A29" s="1029">
        <v>4</v>
      </c>
      <c r="B29" s="3251" t="s">
        <v>67</v>
      </c>
      <c r="C29" s="3252" t="s">
        <v>67</v>
      </c>
      <c r="D29" s="3252" t="s">
        <v>67</v>
      </c>
      <c r="E29" s="3253" t="s">
        <v>67</v>
      </c>
      <c r="F29" s="21" t="s">
        <v>105</v>
      </c>
      <c r="G29" s="1010" t="str">
        <f>'XM.GUI MAIL'!$E$66</f>
        <v>40~60</v>
      </c>
      <c r="H29" s="2242" t="str">
        <f>'XM.GUI MAIL'!$F$66</f>
        <v>(50±5)</v>
      </c>
      <c r="I29" s="3032">
        <f>'XM.GUI MAIL'!I66</f>
        <v>52</v>
      </c>
      <c r="J29" s="3026"/>
      <c r="K29" s="3033">
        <f>'XM.GUI MAIL'!L66</f>
        <v>51</v>
      </c>
      <c r="L29" s="3026"/>
      <c r="M29" s="3033">
        <f>'XM.GUI MAIL'!P66</f>
        <v>52</v>
      </c>
      <c r="N29" s="3026"/>
      <c r="O29" s="3033">
        <f>'XM.GUI MAIL'!S66</f>
        <v>50</v>
      </c>
      <c r="P29" s="3026"/>
      <c r="Q29" s="3033">
        <f>'XM.GUI MAIL'!W66</f>
        <v>50</v>
      </c>
      <c r="R29" s="3026"/>
      <c r="S29" s="3033">
        <f>'XM.GUI MAIL'!Z66</f>
        <v>50</v>
      </c>
      <c r="T29" s="3026"/>
      <c r="U29" s="20"/>
      <c r="W29" s="1447">
        <v>4</v>
      </c>
      <c r="X29" s="3251" t="s">
        <v>67</v>
      </c>
      <c r="Y29" s="3252" t="s">
        <v>67</v>
      </c>
      <c r="Z29" s="3252" t="s">
        <v>67</v>
      </c>
      <c r="AA29" s="3253" t="s">
        <v>67</v>
      </c>
      <c r="AB29" s="1511"/>
      <c r="AC29" s="1794"/>
      <c r="AD29" s="1794"/>
      <c r="AE29" s="1512"/>
      <c r="AF29" s="1511"/>
      <c r="AG29" s="1794"/>
      <c r="AH29" s="1794"/>
      <c r="AI29" s="1512"/>
      <c r="AJ29" s="1511"/>
      <c r="AK29" s="1794"/>
      <c r="AL29" s="1794"/>
      <c r="AM29" s="1512"/>
    </row>
    <row r="30" spans="1:39" ht="37.5" customHeight="1">
      <c r="A30" s="1029">
        <v>5</v>
      </c>
      <c r="B30" s="3251" t="s">
        <v>69</v>
      </c>
      <c r="C30" s="3252" t="s">
        <v>69</v>
      </c>
      <c r="D30" s="3252" t="s">
        <v>69</v>
      </c>
      <c r="E30" s="3253" t="s">
        <v>69</v>
      </c>
      <c r="F30" s="21" t="s">
        <v>105</v>
      </c>
      <c r="G30" s="1010" t="str">
        <f>'XM.GUI MAIL'!$E$67</f>
        <v>22~35</v>
      </c>
      <c r="H30" s="2242" t="str">
        <f>'XM.GUI MAIL'!$F$67</f>
        <v>(30±4)</v>
      </c>
      <c r="I30" s="3113">
        <f>'XM.GUI MAIL'!I67</f>
        <v>35</v>
      </c>
      <c r="J30" s="3112"/>
      <c r="K30" s="3112">
        <f>'XM.GUI MAIL'!L67</f>
        <v>36</v>
      </c>
      <c r="L30" s="3112"/>
      <c r="M30" s="3112">
        <f>'XM.GUI MAIL'!P67</f>
        <v>36</v>
      </c>
      <c r="N30" s="3112"/>
      <c r="O30" s="3112">
        <f>'XM.GUI MAIL'!S67</f>
        <v>36</v>
      </c>
      <c r="P30" s="3112"/>
      <c r="Q30" s="3112">
        <f>'XM.GUI MAIL'!W67</f>
        <v>36</v>
      </c>
      <c r="R30" s="3112"/>
      <c r="S30" s="3112">
        <f>'XM.GUI MAIL'!Z67</f>
        <v>36</v>
      </c>
      <c r="T30" s="3112"/>
      <c r="U30" s="20"/>
      <c r="W30" s="1447">
        <v>5</v>
      </c>
      <c r="X30" s="3251" t="s">
        <v>69</v>
      </c>
      <c r="Y30" s="3252" t="s">
        <v>69</v>
      </c>
      <c r="Z30" s="3252" t="s">
        <v>69</v>
      </c>
      <c r="AA30" s="3253" t="s">
        <v>69</v>
      </c>
      <c r="AB30" s="1511"/>
      <c r="AC30" s="1794"/>
      <c r="AD30" s="1794"/>
      <c r="AE30" s="1512"/>
      <c r="AF30" s="1511"/>
      <c r="AG30" s="1794"/>
      <c r="AH30" s="1794"/>
      <c r="AI30" s="1512"/>
      <c r="AJ30" s="1511"/>
      <c r="AK30" s="1794"/>
      <c r="AL30" s="1794"/>
      <c r="AM30" s="1512"/>
    </row>
    <row r="31" spans="1:39" ht="37.5" customHeight="1">
      <c r="A31" s="1029">
        <v>6</v>
      </c>
      <c r="B31" s="3251" t="s">
        <v>982</v>
      </c>
      <c r="C31" s="3252" t="s">
        <v>982</v>
      </c>
      <c r="D31" s="3252" t="s">
        <v>982</v>
      </c>
      <c r="E31" s="3253" t="s">
        <v>982</v>
      </c>
      <c r="F31" s="21" t="s">
        <v>105</v>
      </c>
      <c r="G31" s="1010" t="str">
        <f>'XM.GUI MAIL'!$E$68</f>
        <v>30-38</v>
      </c>
      <c r="H31" s="2242" t="str">
        <f>'XM.GUI MAIL'!$F$68</f>
        <v>(34±2)</v>
      </c>
      <c r="I31" s="3113">
        <f>'XM.GUI MAIL'!I68</f>
        <v>33</v>
      </c>
      <c r="J31" s="3112"/>
      <c r="K31" s="3112">
        <f>'XM.GUI MAIL'!L68</f>
        <v>32</v>
      </c>
      <c r="L31" s="3112"/>
      <c r="M31" s="3112">
        <f>'XM.GUI MAIL'!P68</f>
        <v>33</v>
      </c>
      <c r="N31" s="3112"/>
      <c r="O31" s="3112">
        <f>'XM.GUI MAIL'!S68</f>
        <v>32</v>
      </c>
      <c r="P31" s="3112"/>
      <c r="Q31" s="3112">
        <f>'XM.GUI MAIL'!W68</f>
        <v>34</v>
      </c>
      <c r="R31" s="3112"/>
      <c r="S31" s="3112">
        <f>'XM.GUI MAIL'!Z68</f>
        <v>33</v>
      </c>
      <c r="T31" s="3112"/>
      <c r="U31" s="22"/>
      <c r="W31" s="1447">
        <v>6</v>
      </c>
      <c r="X31" s="3251" t="s">
        <v>982</v>
      </c>
      <c r="Y31" s="3252" t="s">
        <v>982</v>
      </c>
      <c r="Z31" s="3252" t="s">
        <v>982</v>
      </c>
      <c r="AA31" s="3253" t="s">
        <v>982</v>
      </c>
      <c r="AB31" s="1511"/>
      <c r="AC31" s="1794"/>
      <c r="AD31" s="1794"/>
      <c r="AE31" s="1512"/>
      <c r="AF31" s="1511"/>
      <c r="AG31" s="1794"/>
      <c r="AH31" s="1794"/>
      <c r="AI31" s="1512"/>
      <c r="AJ31" s="1511"/>
      <c r="AK31" s="1794"/>
      <c r="AL31" s="1794"/>
      <c r="AM31" s="1512"/>
    </row>
    <row r="32" spans="1:39" ht="37.5" customHeight="1">
      <c r="A32" s="1029">
        <v>7</v>
      </c>
      <c r="B32" s="3251" t="s">
        <v>70</v>
      </c>
      <c r="C32" s="3252" t="s">
        <v>70</v>
      </c>
      <c r="D32" s="3252" t="s">
        <v>70</v>
      </c>
      <c r="E32" s="3253" t="s">
        <v>70</v>
      </c>
      <c r="F32" s="21" t="s">
        <v>105</v>
      </c>
      <c r="G32" s="1010" t="str">
        <f>'XM.GUI MAIL'!$E$69</f>
        <v>50~70</v>
      </c>
      <c r="H32" s="2242" t="str">
        <f>'XM.GUI MAIL'!$F$69</f>
        <v>(60±10)</v>
      </c>
      <c r="I32" s="3113">
        <f>'XM.GUI MAIL'!I69</f>
        <v>56</v>
      </c>
      <c r="J32" s="3112"/>
      <c r="K32" s="3112">
        <f>'XM.GUI MAIL'!L69</f>
        <v>55</v>
      </c>
      <c r="L32" s="3112"/>
      <c r="M32" s="3112">
        <f>'XM.GUI MAIL'!P69</f>
        <v>55</v>
      </c>
      <c r="N32" s="3112"/>
      <c r="O32" s="3112">
        <f>'XM.GUI MAIL'!S69</f>
        <v>56</v>
      </c>
      <c r="P32" s="3112"/>
      <c r="Q32" s="3112">
        <f>'XM.GUI MAIL'!W69</f>
        <v>56</v>
      </c>
      <c r="R32" s="3112"/>
      <c r="S32" s="3112">
        <f>'XM.GUI MAIL'!Z69</f>
        <v>55</v>
      </c>
      <c r="T32" s="3112"/>
      <c r="U32" s="20"/>
      <c r="W32" s="1447">
        <v>7</v>
      </c>
      <c r="X32" s="3251" t="s">
        <v>70</v>
      </c>
      <c r="Y32" s="3252" t="s">
        <v>70</v>
      </c>
      <c r="Z32" s="3252" t="s">
        <v>70</v>
      </c>
      <c r="AA32" s="3253" t="s">
        <v>70</v>
      </c>
      <c r="AB32" s="1511"/>
      <c r="AC32" s="1794"/>
      <c r="AD32" s="1794"/>
      <c r="AE32" s="1512"/>
      <c r="AF32" s="1511"/>
      <c r="AG32" s="1794"/>
      <c r="AH32" s="1794"/>
      <c r="AI32" s="1512"/>
      <c r="AJ32" s="1511"/>
      <c r="AK32" s="1794"/>
      <c r="AL32" s="1794"/>
      <c r="AM32" s="1512"/>
    </row>
    <row r="33" spans="1:39" ht="37.5" customHeight="1">
      <c r="A33" s="1029">
        <v>8</v>
      </c>
      <c r="B33" s="3254" t="s">
        <v>71</v>
      </c>
      <c r="C33" s="3255" t="s">
        <v>71</v>
      </c>
      <c r="D33" s="3255" t="s">
        <v>71</v>
      </c>
      <c r="E33" s="3256" t="s">
        <v>71</v>
      </c>
      <c r="F33" s="21" t="s">
        <v>105</v>
      </c>
      <c r="G33" s="1010" t="str">
        <f>'XM.GUI MAIL'!$E$70</f>
        <v>80~100</v>
      </c>
      <c r="H33" s="2242" t="str">
        <f>'XM.GUI MAIL'!$F$70</f>
        <v>(90±5)</v>
      </c>
      <c r="I33" s="3142" t="s">
        <v>47</v>
      </c>
      <c r="J33" s="3141"/>
      <c r="K33" s="3026">
        <f>'XM.GUI MAIL'!L70</f>
        <v>91</v>
      </c>
      <c r="L33" s="3026"/>
      <c r="M33" s="3140" t="s">
        <v>47</v>
      </c>
      <c r="N33" s="3141"/>
      <c r="O33" s="3026">
        <f>'XM.GUI MAIL'!S70</f>
        <v>90</v>
      </c>
      <c r="P33" s="3026"/>
      <c r="Q33" s="3140" t="s">
        <v>47</v>
      </c>
      <c r="R33" s="3141"/>
      <c r="S33" s="3026">
        <f>'XM.GUI MAIL'!Z70</f>
        <v>90</v>
      </c>
      <c r="T33" s="3026"/>
      <c r="U33" s="20"/>
      <c r="W33" s="1447">
        <v>8</v>
      </c>
      <c r="X33" s="3254" t="s">
        <v>71</v>
      </c>
      <c r="Y33" s="3255" t="s">
        <v>71</v>
      </c>
      <c r="Z33" s="3255" t="s">
        <v>71</v>
      </c>
      <c r="AA33" s="3256" t="s">
        <v>71</v>
      </c>
      <c r="AB33" s="1511"/>
      <c r="AC33" s="1794"/>
      <c r="AD33" s="1794"/>
      <c r="AE33" s="1512"/>
      <c r="AF33" s="1792"/>
      <c r="AG33" s="1791"/>
      <c r="AH33" s="1810"/>
      <c r="AI33" s="1513"/>
      <c r="AJ33" s="1507"/>
      <c r="AK33" s="1791"/>
      <c r="AL33" s="1791"/>
      <c r="AM33" s="1513"/>
    </row>
    <row r="34" spans="1:39" ht="30.75" customHeight="1">
      <c r="A34" s="1039"/>
      <c r="B34" s="255"/>
      <c r="C34" s="256"/>
      <c r="D34" s="256"/>
      <c r="E34" s="256"/>
      <c r="F34" s="256"/>
      <c r="G34" s="258" t="s">
        <v>110</v>
      </c>
      <c r="H34" s="258"/>
      <c r="I34" s="256"/>
      <c r="J34" s="256"/>
      <c r="K34" s="256"/>
      <c r="L34" s="256"/>
      <c r="M34" s="256"/>
      <c r="N34" s="256"/>
      <c r="O34" s="256"/>
      <c r="P34" s="256"/>
      <c r="Q34" s="256"/>
      <c r="R34" s="256"/>
      <c r="S34" s="256"/>
      <c r="T34" s="256"/>
      <c r="U34" s="257"/>
      <c r="W34" s="1445"/>
      <c r="X34" s="255"/>
      <c r="Y34" s="256"/>
      <c r="Z34" s="256"/>
      <c r="AA34" s="256"/>
      <c r="AB34" s="256"/>
      <c r="AC34" s="256"/>
      <c r="AD34" s="256"/>
      <c r="AE34" s="256"/>
      <c r="AF34" s="1809"/>
      <c r="AG34" s="1805"/>
      <c r="AH34" s="1805"/>
    </row>
    <row r="35" spans="1:39" ht="41.25" customHeight="1">
      <c r="A35" s="1029" t="s">
        <v>7</v>
      </c>
      <c r="B35" s="3251" t="s">
        <v>92</v>
      </c>
      <c r="C35" s="3252"/>
      <c r="D35" s="3252"/>
      <c r="E35" s="3253"/>
      <c r="F35" s="1028" t="s">
        <v>93</v>
      </c>
      <c r="G35" s="978" t="s">
        <v>1310</v>
      </c>
      <c r="H35" s="2224" t="s">
        <v>1302</v>
      </c>
      <c r="I35" s="3256" t="s">
        <v>111</v>
      </c>
      <c r="J35" s="3042"/>
      <c r="K35" s="3042"/>
      <c r="L35" s="3042"/>
      <c r="M35" s="3042" t="s">
        <v>111</v>
      </c>
      <c r="N35" s="3042"/>
      <c r="O35" s="3042"/>
      <c r="P35" s="3042"/>
      <c r="Q35" s="3042" t="s">
        <v>111</v>
      </c>
      <c r="R35" s="3042"/>
      <c r="S35" s="3042"/>
      <c r="T35" s="3042"/>
      <c r="U35" s="1030"/>
      <c r="W35" s="1447" t="s">
        <v>7</v>
      </c>
      <c r="X35" s="3251" t="s">
        <v>92</v>
      </c>
      <c r="Y35" s="3252"/>
      <c r="Z35" s="3252"/>
      <c r="AA35" s="3253"/>
      <c r="AB35" s="3285" t="s">
        <v>1360</v>
      </c>
      <c r="AC35" s="3062"/>
      <c r="AD35" s="3062"/>
      <c r="AE35" s="3063"/>
      <c r="AF35" s="3285" t="s">
        <v>1360</v>
      </c>
      <c r="AG35" s="3062"/>
      <c r="AH35" s="3062"/>
      <c r="AI35" s="3063"/>
      <c r="AJ35" s="3285" t="s">
        <v>1360</v>
      </c>
      <c r="AK35" s="3062"/>
      <c r="AL35" s="3062"/>
      <c r="AM35" s="3063"/>
    </row>
    <row r="36" spans="1:39" ht="39" customHeight="1">
      <c r="A36" s="1039">
        <v>1</v>
      </c>
      <c r="B36" s="3288" t="s">
        <v>226</v>
      </c>
      <c r="C36" s="3289"/>
      <c r="D36" s="3289"/>
      <c r="E36" s="3290"/>
      <c r="F36" s="23" t="s">
        <v>48</v>
      </c>
      <c r="G36" s="267" t="str">
        <f>'XM.GUI MAIL'!$E$72</f>
        <v>100-200</v>
      </c>
      <c r="H36" s="1897" t="str">
        <f>'XM.GUI MAIL'!$F$72</f>
        <v>100-200</v>
      </c>
      <c r="I36" s="3230">
        <f>'XM.GUI MAIL'!I72</f>
        <v>140</v>
      </c>
      <c r="J36" s="3230"/>
      <c r="K36" s="3230"/>
      <c r="L36" s="3230"/>
      <c r="M36" s="3198">
        <f>'XM.GUI MAIL'!P72</f>
        <v>142</v>
      </c>
      <c r="N36" s="3230"/>
      <c r="O36" s="3230"/>
      <c r="P36" s="3230"/>
      <c r="Q36" s="3198">
        <f>'XM.GUI MAIL'!W72</f>
        <v>142</v>
      </c>
      <c r="R36" s="3230"/>
      <c r="S36" s="3230"/>
      <c r="T36" s="3230"/>
      <c r="U36" s="1430"/>
      <c r="W36" s="1445">
        <v>1</v>
      </c>
      <c r="X36" s="3288" t="s">
        <v>226</v>
      </c>
      <c r="Y36" s="3289"/>
      <c r="Z36" s="3289"/>
      <c r="AA36" s="3290"/>
      <c r="AB36" s="2463"/>
      <c r="AC36" s="2464"/>
      <c r="AD36" s="2464"/>
      <c r="AE36" s="1512"/>
      <c r="AF36" s="2463"/>
      <c r="AG36" s="2464"/>
      <c r="AH36" s="2464"/>
      <c r="AI36" s="1512"/>
      <c r="AJ36" s="2463"/>
      <c r="AK36" s="2464"/>
      <c r="AL36" s="2464"/>
      <c r="AM36" s="1512"/>
    </row>
    <row r="37" spans="1:39" ht="39" customHeight="1">
      <c r="A37" s="1039">
        <v>2</v>
      </c>
      <c r="B37" s="3288" t="s">
        <v>227</v>
      </c>
      <c r="C37" s="3289"/>
      <c r="D37" s="3289"/>
      <c r="E37" s="3290"/>
      <c r="F37" s="23" t="s">
        <v>48</v>
      </c>
      <c r="G37" s="267" t="str">
        <f>'XM.GUI MAIL'!$E$73</f>
        <v>20-50</v>
      </c>
      <c r="H37" s="1897" t="str">
        <f>'XM.GUI MAIL'!$F$73</f>
        <v>20-50</v>
      </c>
      <c r="I37" s="3230">
        <f>'XM.GUI MAIL'!I73</f>
        <v>38</v>
      </c>
      <c r="J37" s="3230"/>
      <c r="K37" s="3230"/>
      <c r="L37" s="3230"/>
      <c r="M37" s="3198">
        <f>'XM.GUI MAIL'!P73</f>
        <v>40</v>
      </c>
      <c r="N37" s="3230"/>
      <c r="O37" s="3230"/>
      <c r="P37" s="3230"/>
      <c r="Q37" s="3198">
        <f>'XM.GUI MAIL'!V73</f>
        <v>42</v>
      </c>
      <c r="R37" s="3230"/>
      <c r="S37" s="3230"/>
      <c r="T37" s="3230"/>
      <c r="U37" s="22"/>
      <c r="W37" s="1445">
        <v>2</v>
      </c>
      <c r="X37" s="3288" t="s">
        <v>227</v>
      </c>
      <c r="Y37" s="3289"/>
      <c r="Z37" s="3289"/>
      <c r="AA37" s="3290"/>
      <c r="AB37" s="2459"/>
      <c r="AC37" s="2454"/>
      <c r="AD37" s="2454"/>
      <c r="AE37" s="2462"/>
      <c r="AF37" s="2459"/>
      <c r="AG37" s="2454"/>
      <c r="AH37" s="2454"/>
      <c r="AI37" s="2462"/>
      <c r="AJ37" s="2459"/>
      <c r="AK37" s="2454"/>
      <c r="AL37" s="2454"/>
      <c r="AM37" s="2462"/>
    </row>
    <row r="38" spans="1:39" ht="12.75" customHeight="1">
      <c r="A38" s="404"/>
      <c r="B38" s="608"/>
      <c r="C38" s="608"/>
      <c r="D38" s="608"/>
      <c r="E38" s="608"/>
      <c r="F38" s="900"/>
      <c r="G38" s="900"/>
      <c r="H38" s="900"/>
      <c r="I38" s="900"/>
      <c r="J38" s="900"/>
      <c r="K38" s="900"/>
      <c r="L38" s="900"/>
      <c r="M38" s="900"/>
      <c r="N38" s="900"/>
      <c r="O38" s="900"/>
      <c r="P38" s="900"/>
      <c r="Q38" s="900"/>
      <c r="R38" s="900"/>
      <c r="S38" s="1364"/>
      <c r="T38" s="1364"/>
      <c r="U38" s="901"/>
    </row>
  </sheetData>
  <sheetProtection formatCells="0" formatColumns="0" formatRows="0" insertColumns="0" insertRows="0" insertHyperlinks="0" deleteColumns="0" deleteRows="0" selectLockedCells="1" sort="0" autoFilter="0" pivotTables="0"/>
  <mergeCells count="177">
    <mergeCell ref="AC3:AD3"/>
    <mergeCell ref="AB4:AE4"/>
    <mergeCell ref="AF4:AI4"/>
    <mergeCell ref="AJ4:AM4"/>
    <mergeCell ref="AB25:AE25"/>
    <mergeCell ref="AF25:AI25"/>
    <mergeCell ref="AJ25:AM25"/>
    <mergeCell ref="AB35:AE35"/>
    <mergeCell ref="AF35:AI35"/>
    <mergeCell ref="AJ35:AM35"/>
    <mergeCell ref="AB5:AC5"/>
    <mergeCell ref="AD5:AE5"/>
    <mergeCell ref="AF5:AG5"/>
    <mergeCell ref="AH5:AI5"/>
    <mergeCell ref="AJ5:AK5"/>
    <mergeCell ref="AL5:AM5"/>
    <mergeCell ref="S26:T26"/>
    <mergeCell ref="Q27:R27"/>
    <mergeCell ref="S27:T27"/>
    <mergeCell ref="M29:N29"/>
    <mergeCell ref="O29:P29"/>
    <mergeCell ref="I27:J27"/>
    <mergeCell ref="K27:L27"/>
    <mergeCell ref="B6:C7"/>
    <mergeCell ref="D6:E6"/>
    <mergeCell ref="D7:E7"/>
    <mergeCell ref="I25:J25"/>
    <mergeCell ref="B19:E19"/>
    <mergeCell ref="B20:E20"/>
    <mergeCell ref="B22:E23"/>
    <mergeCell ref="B21:E21"/>
    <mergeCell ref="B15:E15"/>
    <mergeCell ref="B8:C9"/>
    <mergeCell ref="D8:E8"/>
    <mergeCell ref="D9:E9"/>
    <mergeCell ref="B14:E14"/>
    <mergeCell ref="B18:E18"/>
    <mergeCell ref="B10:C11"/>
    <mergeCell ref="D10:E10"/>
    <mergeCell ref="D11:E11"/>
    <mergeCell ref="B30:E30"/>
    <mergeCell ref="K28:L28"/>
    <mergeCell ref="K30:L30"/>
    <mergeCell ref="K29:L29"/>
    <mergeCell ref="I28:J28"/>
    <mergeCell ref="I29:J29"/>
    <mergeCell ref="I30:J30"/>
    <mergeCell ref="B26:E26"/>
    <mergeCell ref="B27:E27"/>
    <mergeCell ref="K26:L26"/>
    <mergeCell ref="M27:N27"/>
    <mergeCell ref="O27:P27"/>
    <mergeCell ref="M25:N25"/>
    <mergeCell ref="A1:R1"/>
    <mergeCell ref="K25:L25"/>
    <mergeCell ref="I26:J26"/>
    <mergeCell ref="B25:E25"/>
    <mergeCell ref="B28:E28"/>
    <mergeCell ref="B29:E29"/>
    <mergeCell ref="D12:E12"/>
    <mergeCell ref="D13:E13"/>
    <mergeCell ref="B16:E17"/>
    <mergeCell ref="Q26:R26"/>
    <mergeCell ref="H4:H5"/>
    <mergeCell ref="A22:A23"/>
    <mergeCell ref="A8:A9"/>
    <mergeCell ref="A10:A11"/>
    <mergeCell ref="A12:A13"/>
    <mergeCell ref="A16:A17"/>
    <mergeCell ref="B12:C13"/>
    <mergeCell ref="H3:I3"/>
    <mergeCell ref="O33:P33"/>
    <mergeCell ref="Q25:R25"/>
    <mergeCell ref="S25:T25"/>
    <mergeCell ref="M28:N28"/>
    <mergeCell ref="O28:P28"/>
    <mergeCell ref="M31:N31"/>
    <mergeCell ref="O31:P31"/>
    <mergeCell ref="Q31:R31"/>
    <mergeCell ref="S31:T31"/>
    <mergeCell ref="Q32:R32"/>
    <mergeCell ref="S32:T32"/>
    <mergeCell ref="Q33:R33"/>
    <mergeCell ref="S33:T33"/>
    <mergeCell ref="Q28:R28"/>
    <mergeCell ref="S28:T28"/>
    <mergeCell ref="Q29:R29"/>
    <mergeCell ref="S29:T29"/>
    <mergeCell ref="Q30:R30"/>
    <mergeCell ref="S30:T30"/>
    <mergeCell ref="M30:N30"/>
    <mergeCell ref="O30:P30"/>
    <mergeCell ref="O25:P25"/>
    <mergeCell ref="M26:N26"/>
    <mergeCell ref="O26:P26"/>
    <mergeCell ref="B31:E31"/>
    <mergeCell ref="Q35:T35"/>
    <mergeCell ref="Q36:T36"/>
    <mergeCell ref="Q37:T37"/>
    <mergeCell ref="B37:E37"/>
    <mergeCell ref="B36:E36"/>
    <mergeCell ref="I36:L36"/>
    <mergeCell ref="I32:J32"/>
    <mergeCell ref="M35:P35"/>
    <mergeCell ref="M36:P36"/>
    <mergeCell ref="M37:P37"/>
    <mergeCell ref="I37:L37"/>
    <mergeCell ref="I35:L35"/>
    <mergeCell ref="K32:L32"/>
    <mergeCell ref="K33:L33"/>
    <mergeCell ref="B35:E35"/>
    <mergeCell ref="I33:J33"/>
    <mergeCell ref="B32:E32"/>
    <mergeCell ref="B33:E33"/>
    <mergeCell ref="I31:J31"/>
    <mergeCell ref="K31:L31"/>
    <mergeCell ref="M32:N32"/>
    <mergeCell ref="O32:P32"/>
    <mergeCell ref="M33:N33"/>
    <mergeCell ref="W2:AF2"/>
    <mergeCell ref="X3:Z3"/>
    <mergeCell ref="W4:W5"/>
    <mergeCell ref="X4:AA5"/>
    <mergeCell ref="W6:W7"/>
    <mergeCell ref="X6:Y7"/>
    <mergeCell ref="Z6:AA6"/>
    <mergeCell ref="Z7:AA7"/>
    <mergeCell ref="B3:D3"/>
    <mergeCell ref="S2:T2"/>
    <mergeCell ref="S3:T3"/>
    <mergeCell ref="A2:R2"/>
    <mergeCell ref="J5:L5"/>
    <mergeCell ref="U4:U5"/>
    <mergeCell ref="A6:A7"/>
    <mergeCell ref="I4:L4"/>
    <mergeCell ref="M4:P4"/>
    <mergeCell ref="A4:A5"/>
    <mergeCell ref="B4:E5"/>
    <mergeCell ref="F4:F5"/>
    <mergeCell ref="G4:G5"/>
    <mergeCell ref="N5:P5"/>
    <mergeCell ref="Q4:T4"/>
    <mergeCell ref="R5:T5"/>
    <mergeCell ref="W8:W9"/>
    <mergeCell ref="X8:Y9"/>
    <mergeCell ref="Z8:AA8"/>
    <mergeCell ref="Z9:AA9"/>
    <mergeCell ref="W10:W11"/>
    <mergeCell ref="X10:Y11"/>
    <mergeCell ref="Z10:AA10"/>
    <mergeCell ref="Z11:AA11"/>
    <mergeCell ref="W12:W13"/>
    <mergeCell ref="X12:Y13"/>
    <mergeCell ref="Z12:AA12"/>
    <mergeCell ref="Z13:AA13"/>
    <mergeCell ref="X14:AA14"/>
    <mergeCell ref="X15:AA15"/>
    <mergeCell ref="W16:W17"/>
    <mergeCell ref="X16:AA17"/>
    <mergeCell ref="X18:AA18"/>
    <mergeCell ref="X19:AA19"/>
    <mergeCell ref="X20:AA20"/>
    <mergeCell ref="X21:AA21"/>
    <mergeCell ref="W22:W23"/>
    <mergeCell ref="X22:AA23"/>
    <mergeCell ref="X35:AA35"/>
    <mergeCell ref="X36:AA36"/>
    <mergeCell ref="X37:AA37"/>
    <mergeCell ref="X25:AA25"/>
    <mergeCell ref="X26:AA26"/>
    <mergeCell ref="X27:AA27"/>
    <mergeCell ref="X28:AA28"/>
    <mergeCell ref="X29:AA29"/>
    <mergeCell ref="X30:AA30"/>
    <mergeCell ref="X31:AA31"/>
    <mergeCell ref="X32:AA32"/>
    <mergeCell ref="X33:AA33"/>
  </mergeCells>
  <phoneticPr fontId="7" type="noConversion"/>
  <conditionalFormatting sqref="I36 M36 Q36">
    <cfRule type="expression" dxfId="2845" priority="1853">
      <formula>I36&lt;100</formula>
    </cfRule>
    <cfRule type="expression" dxfId="2844" priority="1854">
      <formula>I36&gt;200</formula>
    </cfRule>
  </conditionalFormatting>
  <conditionalFormatting sqref="Q37 I37 M37">
    <cfRule type="expression" dxfId="2843" priority="1851">
      <formula>I37&lt;20</formula>
    </cfRule>
    <cfRule type="expression" dxfId="2842" priority="1852">
      <formula>I37&gt;50</formula>
    </cfRule>
  </conditionalFormatting>
  <conditionalFormatting sqref="K30:L30">
    <cfRule type="cellIs" dxfId="2841" priority="333" operator="between">
      <formula>22</formula>
      <formula>25.99</formula>
    </cfRule>
    <cfRule type="cellIs" dxfId="2840" priority="334" operator="between">
      <formula>34.1</formula>
      <formula>35</formula>
    </cfRule>
    <cfRule type="expression" dxfId="2839" priority="335">
      <formula>K30&lt;22</formula>
    </cfRule>
    <cfRule type="expression" dxfId="2838" priority="336">
      <formula>K30&gt;35</formula>
    </cfRule>
  </conditionalFormatting>
  <conditionalFormatting sqref="K31:L31">
    <cfRule type="cellIs" dxfId="2837" priority="329" operator="between">
      <formula>30</formula>
      <formula>31.99</formula>
    </cfRule>
    <cfRule type="cellIs" dxfId="2836" priority="330" operator="between">
      <formula>36.1</formula>
      <formula>38</formula>
    </cfRule>
    <cfRule type="expression" dxfId="2835" priority="331">
      <formula>K31&lt;30</formula>
    </cfRule>
    <cfRule type="expression" dxfId="2834" priority="332">
      <formula>K31&gt;38</formula>
    </cfRule>
  </conditionalFormatting>
  <conditionalFormatting sqref="K33">
    <cfRule type="cellIs" dxfId="2833" priority="325" operator="between">
      <formula>80</formula>
      <formula>84.9</formula>
    </cfRule>
    <cfRule type="cellIs" dxfId="2832" priority="326" operator="between">
      <formula>95.1</formula>
      <formula>100</formula>
    </cfRule>
    <cfRule type="expression" dxfId="2831" priority="327">
      <formula>K33&lt;80</formula>
    </cfRule>
    <cfRule type="expression" dxfId="2830" priority="328">
      <formula>K33&gt;100</formula>
    </cfRule>
  </conditionalFormatting>
  <conditionalFormatting sqref="K26:L27">
    <cfRule type="cellIs" dxfId="2829" priority="321" operator="between">
      <formula>50</formula>
      <formula>54.9</formula>
    </cfRule>
    <cfRule type="cellIs" dxfId="2828" priority="322" operator="between">
      <formula>65.1</formula>
      <formula>70</formula>
    </cfRule>
    <cfRule type="expression" dxfId="2827" priority="323">
      <formula>K26&lt;50</formula>
    </cfRule>
    <cfRule type="expression" dxfId="2826" priority="324">
      <formula>K26&gt;70</formula>
    </cfRule>
  </conditionalFormatting>
  <conditionalFormatting sqref="K32">
    <cfRule type="expression" dxfId="2825" priority="316">
      <formula>K32&lt;50</formula>
    </cfRule>
    <cfRule type="expression" dxfId="2824" priority="317">
      <formula>K32&gt;70</formula>
    </cfRule>
  </conditionalFormatting>
  <conditionalFormatting sqref="I30:J30">
    <cfRule type="cellIs" dxfId="2823" priority="309" operator="between">
      <formula>22</formula>
      <formula>25.99</formula>
    </cfRule>
    <cfRule type="cellIs" dxfId="2822" priority="310" operator="between">
      <formula>34.1</formula>
      <formula>35</formula>
    </cfRule>
    <cfRule type="expression" dxfId="2821" priority="311">
      <formula>I30&lt;22</formula>
    </cfRule>
    <cfRule type="expression" dxfId="2820" priority="312">
      <formula>I30&gt;35</formula>
    </cfRule>
  </conditionalFormatting>
  <conditionalFormatting sqref="I31:J31">
    <cfRule type="cellIs" dxfId="2819" priority="305" operator="between">
      <formula>30</formula>
      <formula>31.99</formula>
    </cfRule>
    <cfRule type="cellIs" dxfId="2818" priority="306" operator="between">
      <formula>36.1</formula>
      <formula>38</formula>
    </cfRule>
    <cfRule type="expression" dxfId="2817" priority="307">
      <formula>I31&lt;30</formula>
    </cfRule>
    <cfRule type="expression" dxfId="2816" priority="308">
      <formula>I31&gt;38</formula>
    </cfRule>
  </conditionalFormatting>
  <conditionalFormatting sqref="I26:J27">
    <cfRule type="cellIs" dxfId="2815" priority="301" operator="between">
      <formula>50</formula>
      <formula>54.9</formula>
    </cfRule>
    <cfRule type="cellIs" dxfId="2814" priority="302" operator="between">
      <formula>65.1</formula>
      <formula>70</formula>
    </cfRule>
    <cfRule type="expression" dxfId="2813" priority="303">
      <formula>I26&lt;50</formula>
    </cfRule>
    <cfRule type="expression" dxfId="2812" priority="304">
      <formula>I26&gt;70</formula>
    </cfRule>
  </conditionalFormatting>
  <conditionalFormatting sqref="I32">
    <cfRule type="expression" dxfId="2811" priority="296">
      <formula>I32&lt;50</formula>
    </cfRule>
    <cfRule type="expression" dxfId="2810" priority="297">
      <formula>I32&gt;70</formula>
    </cfRule>
  </conditionalFormatting>
  <conditionalFormatting sqref="O30:P30">
    <cfRule type="cellIs" dxfId="2809" priority="289" operator="between">
      <formula>22</formula>
      <formula>25.99</formula>
    </cfRule>
    <cfRule type="cellIs" dxfId="2808" priority="290" operator="between">
      <formula>34.1</formula>
      <formula>35</formula>
    </cfRule>
    <cfRule type="expression" dxfId="2807" priority="291">
      <formula>O30&lt;22</formula>
    </cfRule>
    <cfRule type="expression" dxfId="2806" priority="292">
      <formula>O30&gt;35</formula>
    </cfRule>
  </conditionalFormatting>
  <conditionalFormatting sqref="O31:P31">
    <cfRule type="cellIs" dxfId="2805" priority="285" operator="between">
      <formula>30</formula>
      <formula>31.99</formula>
    </cfRule>
    <cfRule type="cellIs" dxfId="2804" priority="286" operator="between">
      <formula>36.1</formula>
      <formula>38</formula>
    </cfRule>
    <cfRule type="expression" dxfId="2803" priority="287">
      <formula>O31&lt;30</formula>
    </cfRule>
    <cfRule type="expression" dxfId="2802" priority="288">
      <formula>O31&gt;38</formula>
    </cfRule>
  </conditionalFormatting>
  <conditionalFormatting sqref="O33">
    <cfRule type="cellIs" dxfId="2801" priority="281" operator="between">
      <formula>80</formula>
      <formula>84.9</formula>
    </cfRule>
    <cfRule type="cellIs" dxfId="2800" priority="282" operator="between">
      <formula>95.1</formula>
      <formula>100</formula>
    </cfRule>
    <cfRule type="expression" dxfId="2799" priority="283">
      <formula>O33&lt;80</formula>
    </cfRule>
    <cfRule type="expression" dxfId="2798" priority="284">
      <formula>O33&gt;100</formula>
    </cfRule>
  </conditionalFormatting>
  <conditionalFormatting sqref="O26:P27">
    <cfRule type="cellIs" dxfId="2797" priority="277" operator="between">
      <formula>50</formula>
      <formula>54.9</formula>
    </cfRule>
    <cfRule type="cellIs" dxfId="2796" priority="278" operator="between">
      <formula>65.1</formula>
      <formula>70</formula>
    </cfRule>
    <cfRule type="expression" dxfId="2795" priority="279">
      <formula>O26&lt;50</formula>
    </cfRule>
    <cfRule type="expression" dxfId="2794" priority="280">
      <formula>O26&gt;70</formula>
    </cfRule>
  </conditionalFormatting>
  <conditionalFormatting sqref="O32">
    <cfRule type="expression" dxfId="2793" priority="272">
      <formula>O32&lt;50</formula>
    </cfRule>
    <cfRule type="expression" dxfId="2792" priority="273">
      <formula>O32&gt;70</formula>
    </cfRule>
  </conditionalFormatting>
  <conditionalFormatting sqref="M30:N30">
    <cfRule type="cellIs" dxfId="2791" priority="265" operator="between">
      <formula>22</formula>
      <formula>25.99</formula>
    </cfRule>
    <cfRule type="cellIs" dxfId="2790" priority="266" operator="between">
      <formula>34.1</formula>
      <formula>35</formula>
    </cfRule>
    <cfRule type="expression" dxfId="2789" priority="267">
      <formula>M30&lt;22</formula>
    </cfRule>
    <cfRule type="expression" dxfId="2788" priority="268">
      <formula>M30&gt;35</formula>
    </cfRule>
  </conditionalFormatting>
  <conditionalFormatting sqref="M31:N31">
    <cfRule type="cellIs" dxfId="2787" priority="261" operator="between">
      <formula>30</formula>
      <formula>31.99</formula>
    </cfRule>
    <cfRule type="cellIs" dxfId="2786" priority="262" operator="between">
      <formula>36.1</formula>
      <formula>38</formula>
    </cfRule>
    <cfRule type="expression" dxfId="2785" priority="263">
      <formula>M31&lt;30</formula>
    </cfRule>
    <cfRule type="expression" dxfId="2784" priority="264">
      <formula>M31&gt;38</formula>
    </cfRule>
  </conditionalFormatting>
  <conditionalFormatting sqref="M26:N27">
    <cfRule type="cellIs" dxfId="2783" priority="257" operator="between">
      <formula>50</formula>
      <formula>54.9</formula>
    </cfRule>
    <cfRule type="cellIs" dxfId="2782" priority="258" operator="between">
      <formula>65.1</formula>
      <formula>70</formula>
    </cfRule>
    <cfRule type="expression" dxfId="2781" priority="259">
      <formula>M26&lt;50</formula>
    </cfRule>
    <cfRule type="expression" dxfId="2780" priority="260">
      <formula>M26&gt;70</formula>
    </cfRule>
  </conditionalFormatting>
  <conditionalFormatting sqref="M32">
    <cfRule type="expression" dxfId="2779" priority="252">
      <formula>M32&lt;50</formula>
    </cfRule>
    <cfRule type="expression" dxfId="2778" priority="253">
      <formula>M32&gt;70</formula>
    </cfRule>
  </conditionalFormatting>
  <conditionalFormatting sqref="S30:T30">
    <cfRule type="cellIs" dxfId="2777" priority="245" operator="between">
      <formula>22</formula>
      <formula>25.99</formula>
    </cfRule>
    <cfRule type="cellIs" dxfId="2776" priority="246" operator="between">
      <formula>34.1</formula>
      <formula>35</formula>
    </cfRule>
    <cfRule type="expression" dxfId="2775" priority="247">
      <formula>S30&lt;22</formula>
    </cfRule>
    <cfRule type="expression" dxfId="2774" priority="248">
      <formula>S30&gt;35</formula>
    </cfRule>
  </conditionalFormatting>
  <conditionalFormatting sqref="S31:T31">
    <cfRule type="cellIs" dxfId="2773" priority="241" operator="between">
      <formula>30</formula>
      <formula>31.99</formula>
    </cfRule>
    <cfRule type="cellIs" dxfId="2772" priority="242" operator="between">
      <formula>36.1</formula>
      <formula>38</formula>
    </cfRule>
    <cfRule type="expression" dxfId="2771" priority="243">
      <formula>S31&lt;30</formula>
    </cfRule>
    <cfRule type="expression" dxfId="2770" priority="244">
      <formula>S31&gt;38</formula>
    </cfRule>
  </conditionalFormatting>
  <conditionalFormatting sqref="S33">
    <cfRule type="cellIs" dxfId="2769" priority="237" operator="between">
      <formula>80</formula>
      <formula>84.9</formula>
    </cfRule>
    <cfRule type="cellIs" dxfId="2768" priority="238" operator="between">
      <formula>95.1</formula>
      <formula>100</formula>
    </cfRule>
    <cfRule type="expression" dxfId="2767" priority="239">
      <formula>S33&lt;80</formula>
    </cfRule>
    <cfRule type="expression" dxfId="2766" priority="240">
      <formula>S33&gt;100</formula>
    </cfRule>
  </conditionalFormatting>
  <conditionalFormatting sqref="S26:T27">
    <cfRule type="cellIs" dxfId="2765" priority="233" operator="between">
      <formula>50</formula>
      <formula>54.9</formula>
    </cfRule>
    <cfRule type="cellIs" dxfId="2764" priority="234" operator="between">
      <formula>65.1</formula>
      <formula>70</formula>
    </cfRule>
    <cfRule type="expression" dxfId="2763" priority="235">
      <formula>S26&lt;50</formula>
    </cfRule>
    <cfRule type="expression" dxfId="2762" priority="236">
      <formula>S26&gt;70</formula>
    </cfRule>
  </conditionalFormatting>
  <conditionalFormatting sqref="S32">
    <cfRule type="expression" dxfId="2761" priority="228">
      <formula>S32&lt;50</formula>
    </cfRule>
    <cfRule type="expression" dxfId="2760" priority="229">
      <formula>S32&gt;70</formula>
    </cfRule>
  </conditionalFormatting>
  <conditionalFormatting sqref="Q30:R30">
    <cfRule type="cellIs" dxfId="2759" priority="221" operator="between">
      <formula>22</formula>
      <formula>25.99</formula>
    </cfRule>
    <cfRule type="cellIs" dxfId="2758" priority="222" operator="between">
      <formula>34.1</formula>
      <formula>35</formula>
    </cfRule>
    <cfRule type="expression" dxfId="2757" priority="223">
      <formula>Q30&lt;22</formula>
    </cfRule>
    <cfRule type="expression" dxfId="2756" priority="224">
      <formula>Q30&gt;35</formula>
    </cfRule>
  </conditionalFormatting>
  <conditionalFormatting sqref="Q31:R31">
    <cfRule type="cellIs" dxfId="2755" priority="217" operator="between">
      <formula>30</formula>
      <formula>31.99</formula>
    </cfRule>
    <cfRule type="cellIs" dxfId="2754" priority="218" operator="between">
      <formula>36.1</formula>
      <formula>38</formula>
    </cfRule>
    <cfRule type="expression" dxfId="2753" priority="219">
      <formula>Q31&lt;30</formula>
    </cfRule>
    <cfRule type="expression" dxfId="2752" priority="220">
      <formula>Q31&gt;38</formula>
    </cfRule>
  </conditionalFormatting>
  <conditionalFormatting sqref="Q26:R27">
    <cfRule type="cellIs" dxfId="2751" priority="213" operator="between">
      <formula>50</formula>
      <formula>54.9</formula>
    </cfRule>
    <cfRule type="cellIs" dxfId="2750" priority="214" operator="between">
      <formula>65.1</formula>
      <formula>70</formula>
    </cfRule>
    <cfRule type="expression" dxfId="2749" priority="215">
      <formula>Q26&lt;50</formula>
    </cfRule>
    <cfRule type="expression" dxfId="2748" priority="216">
      <formula>Q26&gt;70</formula>
    </cfRule>
  </conditionalFormatting>
  <conditionalFormatting sqref="Q32">
    <cfRule type="expression" dxfId="2747" priority="208">
      <formula>Q32&lt;50</formula>
    </cfRule>
    <cfRule type="expression" dxfId="2746" priority="209">
      <formula>Q32&gt;70</formula>
    </cfRule>
  </conditionalFormatting>
  <conditionalFormatting sqref="I19">
    <cfRule type="cellIs" dxfId="2745" priority="204" operator="between">
      <formula>15%</formula>
      <formula>16.99%</formula>
    </cfRule>
    <cfRule type="cellIs" dxfId="2744" priority="205" operator="between">
      <formula>27.01%</formula>
      <formula>30%</formula>
    </cfRule>
    <cfRule type="expression" dxfId="2743" priority="206">
      <formula>I19&lt;15%</formula>
    </cfRule>
    <cfRule type="expression" dxfId="2742" priority="207">
      <formula>I19&gt;30%</formula>
    </cfRule>
  </conditionalFormatting>
  <conditionalFormatting sqref="I15">
    <cfRule type="expression" dxfId="2741" priority="202">
      <formula>I15&lt;8</formula>
    </cfRule>
    <cfRule type="expression" dxfId="2740" priority="203">
      <formula>I15&gt;12</formula>
    </cfRule>
  </conditionalFormatting>
  <conditionalFormatting sqref="I17">
    <cfRule type="cellIs" dxfId="2739" priority="198" operator="between">
      <formula>2</formula>
      <formula>2.199</formula>
    </cfRule>
    <cfRule type="cellIs" dxfId="2738" priority="199" operator="between">
      <formula>2.41</formula>
      <formula>2.5</formula>
    </cfRule>
    <cfRule type="expression" dxfId="2737" priority="200">
      <formula>I17&lt;2</formula>
    </cfRule>
    <cfRule type="expression" dxfId="2736" priority="201">
      <formula>I17&gt;2.5</formula>
    </cfRule>
  </conditionalFormatting>
  <conditionalFormatting sqref="I20">
    <cfRule type="expression" dxfId="2735" priority="196">
      <formula>I20&lt;5%</formula>
    </cfRule>
    <cfRule type="expression" dxfId="2734" priority="197">
      <formula>I20&gt;15%</formula>
    </cfRule>
  </conditionalFormatting>
  <conditionalFormatting sqref="I20">
    <cfRule type="cellIs" dxfId="2733" priority="194" operator="between">
      <formula>5%</formula>
      <formula>6.99%</formula>
    </cfRule>
    <cfRule type="cellIs" dxfId="2732" priority="195" operator="between">
      <formula>13.1%</formula>
      <formula>15%</formula>
    </cfRule>
  </conditionalFormatting>
  <conditionalFormatting sqref="I6 I8">
    <cfRule type="cellIs" dxfId="2731" priority="190" operator="between">
      <formula>60</formula>
      <formula>64.99</formula>
    </cfRule>
    <cfRule type="cellIs" dxfId="2730" priority="191" operator="between">
      <formula>75.1</formula>
      <formula>80</formula>
    </cfRule>
    <cfRule type="expression" dxfId="2729" priority="192">
      <formula>I6&lt;60</formula>
    </cfRule>
    <cfRule type="expression" dxfId="2728" priority="193">
      <formula>I6&gt;80</formula>
    </cfRule>
  </conditionalFormatting>
  <conditionalFormatting sqref="I16">
    <cfRule type="cellIs" dxfId="2727" priority="187" operator="between">
      <formula>8.01</formula>
      <formula>10</formula>
    </cfRule>
    <cfRule type="expression" dxfId="2726" priority="188">
      <formula>I16&lt;6</formula>
    </cfRule>
    <cfRule type="expression" dxfId="2725" priority="189">
      <formula>I16&gt;10</formula>
    </cfRule>
  </conditionalFormatting>
  <conditionalFormatting sqref="I18">
    <cfRule type="cellIs" dxfId="2724" priority="183" operator="between">
      <formula>30%</formula>
      <formula>39.99%</formula>
    </cfRule>
    <cfRule type="cellIs" dxfId="2723" priority="184" operator="between">
      <formula>50.01%</formula>
      <formula>60%</formula>
    </cfRule>
    <cfRule type="expression" dxfId="2722" priority="185">
      <formula>I18&lt;30%</formula>
    </cfRule>
    <cfRule type="expression" dxfId="2721" priority="186">
      <formula>I18&gt;60%</formula>
    </cfRule>
  </conditionalFormatting>
  <conditionalFormatting sqref="I10">
    <cfRule type="expression" dxfId="2720" priority="181">
      <formula>I10&lt;50</formula>
    </cfRule>
    <cfRule type="expression" dxfId="2719" priority="182">
      <formula>I10&gt;70</formula>
    </cfRule>
  </conditionalFormatting>
  <conditionalFormatting sqref="I12">
    <cfRule type="expression" dxfId="2718" priority="179">
      <formula>I12&lt;50</formula>
    </cfRule>
    <cfRule type="expression" dxfId="2717" priority="180">
      <formula>I12&gt;70</formula>
    </cfRule>
  </conditionalFormatting>
  <conditionalFormatting sqref="I14">
    <cfRule type="cellIs" dxfId="2716" priority="175" operator="between">
      <formula>130</formula>
      <formula>132.99</formula>
    </cfRule>
    <cfRule type="cellIs" dxfId="2715" priority="176" operator="between">
      <formula>147.1</formula>
      <formula>150</formula>
    </cfRule>
    <cfRule type="expression" dxfId="2714" priority="177">
      <formula>I14&lt;130</formula>
    </cfRule>
    <cfRule type="expression" dxfId="2713" priority="178">
      <formula>I14&gt;150</formula>
    </cfRule>
  </conditionalFormatting>
  <conditionalFormatting sqref="I21">
    <cfRule type="cellIs" dxfId="2712" priority="171" operator="between">
      <formula>0.5%</formula>
      <formula>0.599%</formula>
    </cfRule>
    <cfRule type="cellIs" dxfId="2711" priority="172" operator="between">
      <formula>1.41%</formula>
      <formula>1.5%</formula>
    </cfRule>
    <cfRule type="expression" dxfId="2710" priority="173">
      <formula>I21&lt;0.5%</formula>
    </cfRule>
    <cfRule type="expression" dxfId="2709" priority="174">
      <formula>I21&gt;1.5%</formula>
    </cfRule>
  </conditionalFormatting>
  <conditionalFormatting sqref="M19">
    <cfRule type="cellIs" dxfId="2708" priority="167" operator="between">
      <formula>15%</formula>
      <formula>16.99%</formula>
    </cfRule>
    <cfRule type="cellIs" dxfId="2707" priority="168" operator="between">
      <formula>27.01%</formula>
      <formula>30%</formula>
    </cfRule>
    <cfRule type="expression" dxfId="2706" priority="169">
      <formula>M19&lt;15%</formula>
    </cfRule>
    <cfRule type="expression" dxfId="2705" priority="170">
      <formula>M19&gt;30%</formula>
    </cfRule>
  </conditionalFormatting>
  <conditionalFormatting sqref="M15">
    <cfRule type="expression" dxfId="2704" priority="165">
      <formula>M15&lt;8</formula>
    </cfRule>
    <cfRule type="expression" dxfId="2703" priority="166">
      <formula>M15&gt;12</formula>
    </cfRule>
  </conditionalFormatting>
  <conditionalFormatting sqref="M17">
    <cfRule type="cellIs" dxfId="2702" priority="161" operator="between">
      <formula>2</formula>
      <formula>2.199</formula>
    </cfRule>
    <cfRule type="cellIs" dxfId="2701" priority="162" operator="between">
      <formula>2.41</formula>
      <formula>2.5</formula>
    </cfRule>
    <cfRule type="expression" dxfId="2700" priority="163">
      <formula>M17&lt;2</formula>
    </cfRule>
    <cfRule type="expression" dxfId="2699" priority="164">
      <formula>M17&gt;2.5</formula>
    </cfRule>
  </conditionalFormatting>
  <conditionalFormatting sqref="M20">
    <cfRule type="expression" dxfId="2698" priority="159">
      <formula>M20&lt;5%</formula>
    </cfRule>
    <cfRule type="expression" dxfId="2697" priority="160">
      <formula>M20&gt;15%</formula>
    </cfRule>
  </conditionalFormatting>
  <conditionalFormatting sqref="M20">
    <cfRule type="cellIs" dxfId="2696" priority="157" operator="between">
      <formula>5%</formula>
      <formula>6.99%</formula>
    </cfRule>
    <cfRule type="cellIs" dxfId="2695" priority="158" operator="between">
      <formula>13.1%</formula>
      <formula>15%</formula>
    </cfRule>
  </conditionalFormatting>
  <conditionalFormatting sqref="M6 M8">
    <cfRule type="cellIs" dxfId="2694" priority="153" operator="between">
      <formula>60</formula>
      <formula>64.99</formula>
    </cfRule>
    <cfRule type="cellIs" dxfId="2693" priority="154" operator="between">
      <formula>75.1</formula>
      <formula>80</formula>
    </cfRule>
    <cfRule type="expression" dxfId="2692" priority="155">
      <formula>M6&lt;60</formula>
    </cfRule>
    <cfRule type="expression" dxfId="2691" priority="156">
      <formula>M6&gt;80</formula>
    </cfRule>
  </conditionalFormatting>
  <conditionalFormatting sqref="M16">
    <cfRule type="cellIs" dxfId="2690" priority="150" operator="between">
      <formula>8.01</formula>
      <formula>10</formula>
    </cfRule>
    <cfRule type="expression" dxfId="2689" priority="151">
      <formula>M16&lt;6</formula>
    </cfRule>
    <cfRule type="expression" dxfId="2688" priority="152">
      <formula>M16&gt;10</formula>
    </cfRule>
  </conditionalFormatting>
  <conditionalFormatting sqref="M18">
    <cfRule type="cellIs" dxfId="2687" priority="146" operator="between">
      <formula>30%</formula>
      <formula>39.99%</formula>
    </cfRule>
    <cfRule type="cellIs" dxfId="2686" priority="147" operator="between">
      <formula>50.01%</formula>
      <formula>60%</formula>
    </cfRule>
    <cfRule type="expression" dxfId="2685" priority="148">
      <formula>M18&lt;30%</formula>
    </cfRule>
    <cfRule type="expression" dxfId="2684" priority="149">
      <formula>M18&gt;60%</formula>
    </cfRule>
  </conditionalFormatting>
  <conditionalFormatting sqref="M10">
    <cfRule type="expression" dxfId="2683" priority="144">
      <formula>M10&lt;50</formula>
    </cfRule>
    <cfRule type="expression" dxfId="2682" priority="145">
      <formula>M10&gt;70</formula>
    </cfRule>
  </conditionalFormatting>
  <conditionalFormatting sqref="M12">
    <cfRule type="expression" dxfId="2681" priority="142">
      <formula>M12&lt;50</formula>
    </cfRule>
    <cfRule type="expression" dxfId="2680" priority="143">
      <formula>M12&gt;70</formula>
    </cfRule>
  </conditionalFormatting>
  <conditionalFormatting sqref="M14">
    <cfRule type="cellIs" dxfId="2679" priority="138" operator="between">
      <formula>130</formula>
      <formula>132.99</formula>
    </cfRule>
    <cfRule type="cellIs" dxfId="2678" priority="139" operator="between">
      <formula>147.1</formula>
      <formula>150</formula>
    </cfRule>
    <cfRule type="expression" dxfId="2677" priority="140">
      <formula>M14&lt;130</formula>
    </cfRule>
    <cfRule type="expression" dxfId="2676" priority="141">
      <formula>M14&gt;150</formula>
    </cfRule>
  </conditionalFormatting>
  <conditionalFormatting sqref="M21">
    <cfRule type="cellIs" dxfId="2675" priority="134" operator="between">
      <formula>0.5%</formula>
      <formula>0.599%</formula>
    </cfRule>
    <cfRule type="cellIs" dxfId="2674" priority="135" operator="between">
      <formula>1.41%</formula>
      <formula>1.5%</formula>
    </cfRule>
    <cfRule type="expression" dxfId="2673" priority="136">
      <formula>M21&lt;0.5%</formula>
    </cfRule>
    <cfRule type="expression" dxfId="2672" priority="137">
      <formula>M21&gt;1.5%</formula>
    </cfRule>
  </conditionalFormatting>
  <conditionalFormatting sqref="Q19">
    <cfRule type="cellIs" dxfId="2671" priority="130" operator="between">
      <formula>15%</formula>
      <formula>16.99%</formula>
    </cfRule>
    <cfRule type="cellIs" dxfId="2670" priority="131" operator="between">
      <formula>27.01%</formula>
      <formula>30%</formula>
    </cfRule>
    <cfRule type="expression" dxfId="2669" priority="132">
      <formula>Q19&lt;15%</formula>
    </cfRule>
    <cfRule type="expression" dxfId="2668" priority="133">
      <formula>Q19&gt;30%</formula>
    </cfRule>
  </conditionalFormatting>
  <conditionalFormatting sqref="Q15">
    <cfRule type="expression" dxfId="2667" priority="128">
      <formula>Q15&lt;8</formula>
    </cfRule>
    <cfRule type="expression" dxfId="2666" priority="129">
      <formula>Q15&gt;12</formula>
    </cfRule>
  </conditionalFormatting>
  <conditionalFormatting sqref="Q17">
    <cfRule type="cellIs" dxfId="2665" priority="124" operator="between">
      <formula>2</formula>
      <formula>2.199</formula>
    </cfRule>
    <cfRule type="cellIs" dxfId="2664" priority="125" operator="between">
      <formula>2.41</formula>
      <formula>2.5</formula>
    </cfRule>
    <cfRule type="expression" dxfId="2663" priority="126">
      <formula>Q17&lt;2</formula>
    </cfRule>
    <cfRule type="expression" dxfId="2662" priority="127">
      <formula>Q17&gt;2.5</formula>
    </cfRule>
  </conditionalFormatting>
  <conditionalFormatting sqref="Q20">
    <cfRule type="expression" dxfId="2661" priority="122">
      <formula>Q20&lt;5%</formula>
    </cfRule>
    <cfRule type="expression" dxfId="2660" priority="123">
      <formula>Q20&gt;15%</formula>
    </cfRule>
  </conditionalFormatting>
  <conditionalFormatting sqref="Q20">
    <cfRule type="cellIs" dxfId="2659" priority="120" operator="between">
      <formula>5%</formula>
      <formula>6.99%</formula>
    </cfRule>
    <cfRule type="cellIs" dxfId="2658" priority="121" operator="between">
      <formula>13.1%</formula>
      <formula>15%</formula>
    </cfRule>
  </conditionalFormatting>
  <conditionalFormatting sqref="Q6 Q8">
    <cfRule type="cellIs" dxfId="2657" priority="116" operator="between">
      <formula>60</formula>
      <formula>64.99</formula>
    </cfRule>
    <cfRule type="cellIs" dxfId="2656" priority="117" operator="between">
      <formula>75.1</formula>
      <formula>80</formula>
    </cfRule>
    <cfRule type="expression" dxfId="2655" priority="118">
      <formula>Q6&lt;60</formula>
    </cfRule>
    <cfRule type="expression" dxfId="2654" priority="119">
      <formula>Q6&gt;80</formula>
    </cfRule>
  </conditionalFormatting>
  <conditionalFormatting sqref="Q16">
    <cfRule type="cellIs" dxfId="2653" priority="113" operator="between">
      <formula>8.01</formula>
      <formula>10</formula>
    </cfRule>
    <cfRule type="expression" dxfId="2652" priority="114">
      <formula>Q16&lt;6</formula>
    </cfRule>
    <cfRule type="expression" dxfId="2651" priority="115">
      <formula>Q16&gt;10</formula>
    </cfRule>
  </conditionalFormatting>
  <conditionalFormatting sqref="Q18">
    <cfRule type="cellIs" dxfId="2650" priority="109" operator="between">
      <formula>30%</formula>
      <formula>39.99%</formula>
    </cfRule>
    <cfRule type="cellIs" dxfId="2649" priority="110" operator="between">
      <formula>50.01%</formula>
      <formula>60%</formula>
    </cfRule>
    <cfRule type="expression" dxfId="2648" priority="111">
      <formula>Q18&lt;30%</formula>
    </cfRule>
    <cfRule type="expression" dxfId="2647" priority="112">
      <formula>Q18&gt;60%</formula>
    </cfRule>
  </conditionalFormatting>
  <conditionalFormatting sqref="Q10">
    <cfRule type="expression" dxfId="2646" priority="107">
      <formula>Q10&lt;50</formula>
    </cfRule>
    <cfRule type="expression" dxfId="2645" priority="108">
      <formula>Q10&gt;70</formula>
    </cfRule>
  </conditionalFormatting>
  <conditionalFormatting sqref="Q12">
    <cfRule type="expression" dxfId="2644" priority="105">
      <formula>Q12&lt;50</formula>
    </cfRule>
    <cfRule type="expression" dxfId="2643" priority="106">
      <formula>Q12&gt;70</formula>
    </cfRule>
  </conditionalFormatting>
  <conditionalFormatting sqref="Q14">
    <cfRule type="cellIs" dxfId="2642" priority="101" operator="between">
      <formula>130</formula>
      <formula>132.99</formula>
    </cfRule>
    <cfRule type="cellIs" dxfId="2641" priority="102" operator="between">
      <formula>147.1</formula>
      <formula>150</formula>
    </cfRule>
    <cfRule type="expression" dxfId="2640" priority="103">
      <formula>Q14&lt;130</formula>
    </cfRule>
    <cfRule type="expression" dxfId="2639" priority="104">
      <formula>Q14&gt;150</formula>
    </cfRule>
  </conditionalFormatting>
  <conditionalFormatting sqref="Q21">
    <cfRule type="cellIs" dxfId="2638" priority="97" operator="between">
      <formula>0.5%</formula>
      <formula>0.599%</formula>
    </cfRule>
    <cfRule type="cellIs" dxfId="2637" priority="98" operator="between">
      <formula>1.41%</formula>
      <formula>1.5%</formula>
    </cfRule>
    <cfRule type="expression" dxfId="2636" priority="99">
      <formula>Q21&lt;0.5%</formula>
    </cfRule>
    <cfRule type="expression" dxfId="2635" priority="100">
      <formula>Q21&gt;1.5%</formula>
    </cfRule>
  </conditionalFormatting>
  <conditionalFormatting sqref="I23">
    <cfRule type="cellIs" dxfId="2634" priority="69" operator="between">
      <formula>1.8</formula>
      <formula>1.999</formula>
    </cfRule>
    <cfRule type="cellIs" dxfId="2633" priority="70" operator="between">
      <formula>2.21</formula>
      <formula>2.4</formula>
    </cfRule>
    <cfRule type="expression" dxfId="2632" priority="71">
      <formula>I23&lt;1.8</formula>
    </cfRule>
    <cfRule type="expression" dxfId="2631" priority="72">
      <formula>I23&gt;2.4</formula>
    </cfRule>
  </conditionalFormatting>
  <conditionalFormatting sqref="I22">
    <cfRule type="cellIs" dxfId="2630" priority="65" operator="between">
      <formula>5</formula>
      <formula>5.499</formula>
    </cfRule>
    <cfRule type="cellIs" dxfId="2629" priority="66" operator="between">
      <formula>6.51</formula>
      <formula>8</formula>
    </cfRule>
    <cfRule type="expression" dxfId="2628" priority="67">
      <formula>I22&lt;5</formula>
    </cfRule>
    <cfRule type="expression" dxfId="2627" priority="68">
      <formula>I22&gt;8</formula>
    </cfRule>
  </conditionalFormatting>
  <conditionalFormatting sqref="M23">
    <cfRule type="cellIs" dxfId="2626" priority="61" operator="between">
      <formula>1.8</formula>
      <formula>1.999</formula>
    </cfRule>
    <cfRule type="cellIs" dxfId="2625" priority="62" operator="between">
      <formula>2.21</formula>
      <formula>2.4</formula>
    </cfRule>
    <cfRule type="expression" dxfId="2624" priority="63">
      <formula>M23&lt;1.8</formula>
    </cfRule>
    <cfRule type="expression" dxfId="2623" priority="64">
      <formula>M23&gt;2.4</formula>
    </cfRule>
  </conditionalFormatting>
  <conditionalFormatting sqref="M22">
    <cfRule type="cellIs" dxfId="2622" priority="57" operator="between">
      <formula>5</formula>
      <formula>5.499</formula>
    </cfRule>
    <cfRule type="cellIs" dxfId="2621" priority="58" operator="between">
      <formula>6.51</formula>
      <formula>8</formula>
    </cfRule>
    <cfRule type="expression" dxfId="2620" priority="59">
      <formula>M22&lt;5</formula>
    </cfRule>
    <cfRule type="expression" dxfId="2619" priority="60">
      <formula>M22&gt;8</formula>
    </cfRule>
  </conditionalFormatting>
  <conditionalFormatting sqref="Q23">
    <cfRule type="cellIs" dxfId="2618" priority="53" operator="between">
      <formula>1.8</formula>
      <formula>1.999</formula>
    </cfRule>
    <cfRule type="cellIs" dxfId="2617" priority="54" operator="between">
      <formula>2.21</formula>
      <formula>2.4</formula>
    </cfRule>
    <cfRule type="expression" dxfId="2616" priority="55">
      <formula>Q23&lt;1.8</formula>
    </cfRule>
    <cfRule type="expression" dxfId="2615" priority="56">
      <formula>Q23&gt;2.4</formula>
    </cfRule>
  </conditionalFormatting>
  <conditionalFormatting sqref="Q22">
    <cfRule type="cellIs" dxfId="2614" priority="49" operator="between">
      <formula>5</formula>
      <formula>5.499</formula>
    </cfRule>
    <cfRule type="cellIs" dxfId="2613" priority="50" operator="between">
      <formula>6.51</formula>
      <formula>8</formula>
    </cfRule>
    <cfRule type="expression" dxfId="2612" priority="51">
      <formula>Q22&lt;5</formula>
    </cfRule>
    <cfRule type="expression" dxfId="2611" priority="52">
      <formula>Q22&gt;8</formula>
    </cfRule>
  </conditionalFormatting>
  <conditionalFormatting sqref="I28">
    <cfRule type="cellIs" dxfId="2610" priority="45" operator="between">
      <formula>40</formula>
      <formula>44.99</formula>
    </cfRule>
    <cfRule type="cellIs" dxfId="2609" priority="46" operator="between">
      <formula>55.1</formula>
      <formula>60</formula>
    </cfRule>
    <cfRule type="expression" dxfId="2608" priority="47">
      <formula>I28&lt;40</formula>
    </cfRule>
    <cfRule type="expression" dxfId="2607" priority="48">
      <formula>I28&gt;60</formula>
    </cfRule>
  </conditionalFormatting>
  <conditionalFormatting sqref="I29">
    <cfRule type="cellIs" dxfId="2606" priority="41" operator="between">
      <formula>40</formula>
      <formula>44.99</formula>
    </cfRule>
    <cfRule type="cellIs" dxfId="2605" priority="42" operator="between">
      <formula>55.1</formula>
      <formula>60</formula>
    </cfRule>
    <cfRule type="expression" dxfId="2604" priority="43">
      <formula>I29&lt;40</formula>
    </cfRule>
    <cfRule type="expression" dxfId="2603" priority="44">
      <formula>I29&gt;60</formula>
    </cfRule>
  </conditionalFormatting>
  <conditionalFormatting sqref="K28">
    <cfRule type="cellIs" dxfId="2602" priority="37" operator="between">
      <formula>40</formula>
      <formula>44.99</formula>
    </cfRule>
    <cfRule type="cellIs" dxfId="2601" priority="38" operator="between">
      <formula>55.1</formula>
      <formula>60</formula>
    </cfRule>
    <cfRule type="expression" dxfId="2600" priority="39">
      <formula>K28&lt;40</formula>
    </cfRule>
    <cfRule type="expression" dxfId="2599" priority="40">
      <formula>K28&gt;60</formula>
    </cfRule>
  </conditionalFormatting>
  <conditionalFormatting sqref="K29">
    <cfRule type="cellIs" dxfId="2598" priority="33" operator="between">
      <formula>40</formula>
      <formula>44.99</formula>
    </cfRule>
    <cfRule type="cellIs" dxfId="2597" priority="34" operator="between">
      <formula>55.1</formula>
      <formula>60</formula>
    </cfRule>
    <cfRule type="expression" dxfId="2596" priority="35">
      <formula>K29&lt;40</formula>
    </cfRule>
    <cfRule type="expression" dxfId="2595" priority="36">
      <formula>K29&gt;60</formula>
    </cfRule>
  </conditionalFormatting>
  <conditionalFormatting sqref="M28">
    <cfRule type="cellIs" dxfId="2594" priority="29" operator="between">
      <formula>40</formula>
      <formula>44.99</formula>
    </cfRule>
    <cfRule type="cellIs" dxfId="2593" priority="30" operator="between">
      <formula>55.1</formula>
      <formula>60</formula>
    </cfRule>
    <cfRule type="expression" dxfId="2592" priority="31">
      <formula>M28&lt;40</formula>
    </cfRule>
    <cfRule type="expression" dxfId="2591" priority="32">
      <formula>M28&gt;60</formula>
    </cfRule>
  </conditionalFormatting>
  <conditionalFormatting sqref="M29">
    <cfRule type="cellIs" dxfId="2590" priority="25" operator="between">
      <formula>40</formula>
      <formula>44.99</formula>
    </cfRule>
    <cfRule type="cellIs" dxfId="2589" priority="26" operator="between">
      <formula>55.1</formula>
      <formula>60</formula>
    </cfRule>
    <cfRule type="expression" dxfId="2588" priority="27">
      <formula>M29&lt;40</formula>
    </cfRule>
    <cfRule type="expression" dxfId="2587" priority="28">
      <formula>M29&gt;60</formula>
    </cfRule>
  </conditionalFormatting>
  <conditionalFormatting sqref="O28">
    <cfRule type="cellIs" dxfId="2586" priority="21" operator="between">
      <formula>40</formula>
      <formula>44.99</formula>
    </cfRule>
    <cfRule type="cellIs" dxfId="2585" priority="22" operator="between">
      <formula>55.1</formula>
      <formula>60</formula>
    </cfRule>
    <cfRule type="expression" dxfId="2584" priority="23">
      <formula>O28&lt;40</formula>
    </cfRule>
    <cfRule type="expression" dxfId="2583" priority="24">
      <formula>O28&gt;60</formula>
    </cfRule>
  </conditionalFormatting>
  <conditionalFormatting sqref="O29">
    <cfRule type="cellIs" dxfId="2582" priority="17" operator="between">
      <formula>40</formula>
      <formula>44.99</formula>
    </cfRule>
    <cfRule type="cellIs" dxfId="2581" priority="18" operator="between">
      <formula>55.1</formula>
      <formula>60</formula>
    </cfRule>
    <cfRule type="expression" dxfId="2580" priority="19">
      <formula>O29&lt;40</formula>
    </cfRule>
    <cfRule type="expression" dxfId="2579" priority="20">
      <formula>O29&gt;60</formula>
    </cfRule>
  </conditionalFormatting>
  <conditionalFormatting sqref="Q28">
    <cfRule type="cellIs" dxfId="2578" priority="13" operator="between">
      <formula>40</formula>
      <formula>44.99</formula>
    </cfRule>
    <cfRule type="cellIs" dxfId="2577" priority="14" operator="between">
      <formula>55.1</formula>
      <formula>60</formula>
    </cfRule>
    <cfRule type="expression" dxfId="2576" priority="15">
      <formula>Q28&lt;40</formula>
    </cfRule>
    <cfRule type="expression" dxfId="2575" priority="16">
      <formula>Q28&gt;60</formula>
    </cfRule>
  </conditionalFormatting>
  <conditionalFormatting sqref="Q29">
    <cfRule type="cellIs" dxfId="2574" priority="9" operator="between">
      <formula>40</formula>
      <formula>44.99</formula>
    </cfRule>
    <cfRule type="cellIs" dxfId="2573" priority="10" operator="between">
      <formula>55.1</formula>
      <formula>60</formula>
    </cfRule>
    <cfRule type="expression" dxfId="2572" priority="11">
      <formula>Q29&lt;40</formula>
    </cfRule>
    <cfRule type="expression" dxfId="2571" priority="12">
      <formula>Q29&gt;60</formula>
    </cfRule>
  </conditionalFormatting>
  <conditionalFormatting sqref="S28">
    <cfRule type="cellIs" dxfId="2570" priority="5" operator="between">
      <formula>40</formula>
      <formula>44.99</formula>
    </cfRule>
    <cfRule type="cellIs" dxfId="2569" priority="6" operator="between">
      <formula>55.1</formula>
      <formula>60</formula>
    </cfRule>
    <cfRule type="expression" dxfId="2568" priority="7">
      <formula>S28&lt;40</formula>
    </cfRule>
    <cfRule type="expression" dxfId="2567" priority="8">
      <formula>S28&gt;60</formula>
    </cfRule>
  </conditionalFormatting>
  <conditionalFormatting sqref="S29">
    <cfRule type="cellIs" dxfId="2566" priority="1" operator="between">
      <formula>40</formula>
      <formula>44.99</formula>
    </cfRule>
    <cfRule type="cellIs" dxfId="2565" priority="2" operator="between">
      <formula>55.1</formula>
      <formula>60</formula>
    </cfRule>
    <cfRule type="expression" dxfId="2564" priority="3">
      <formula>S29&lt;40</formula>
    </cfRule>
    <cfRule type="expression" dxfId="2563" priority="4">
      <formula>S29&gt;60</formula>
    </cfRule>
  </conditionalFormatting>
  <pageMargins left="0.4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19.xml><?xml version="1.0" encoding="utf-8"?>
<worksheet xmlns="http://schemas.openxmlformats.org/spreadsheetml/2006/main" xmlns:r="http://schemas.openxmlformats.org/officeDocument/2006/relationships">
  <sheetPr codeName="Sheet10">
    <tabColor rgb="FFFF0000"/>
  </sheetPr>
  <dimension ref="A1:AN46"/>
  <sheetViews>
    <sheetView topLeftCell="C1" zoomScale="55" zoomScaleNormal="55" workbookViewId="0">
      <selection activeCell="AL15" sqref="AL15"/>
    </sheetView>
  </sheetViews>
  <sheetFormatPr defaultRowHeight="16.5"/>
  <cols>
    <col min="1" max="1" width="5" style="8" customWidth="1"/>
    <col min="2" max="2" width="11.375" style="31" customWidth="1"/>
    <col min="3" max="3" width="6.75" style="31" customWidth="1"/>
    <col min="4" max="4" width="10.75" style="31" customWidth="1"/>
    <col min="5" max="5" width="2.75" style="31" customWidth="1"/>
    <col min="6" max="6" width="7.375" style="7" customWidth="1"/>
    <col min="7" max="7" width="14.375" style="7" customWidth="1"/>
    <col min="8" max="8" width="9.875" style="7" customWidth="1"/>
    <col min="9" max="9" width="8.5" style="7" customWidth="1"/>
    <col min="10" max="10" width="3.125" style="7" customWidth="1"/>
    <col min="11" max="11" width="8" style="7" customWidth="1"/>
    <col min="12" max="12" width="4" style="7" customWidth="1"/>
    <col min="13" max="13" width="8" style="7" customWidth="1"/>
    <col min="14" max="14" width="2.875" style="7" customWidth="1"/>
    <col min="15" max="15" width="7.5" style="7" customWidth="1"/>
    <col min="16" max="16" width="4.875" style="7" customWidth="1"/>
    <col min="17" max="17" width="8.5" style="7" customWidth="1"/>
    <col min="18" max="18" width="4.25" style="7" customWidth="1"/>
    <col min="19" max="19" width="7.875" style="7" customWidth="1"/>
    <col min="20" max="20" width="4.875" style="7" customWidth="1"/>
    <col min="21" max="21" width="12.75" style="8" customWidth="1"/>
    <col min="22" max="22" width="9" style="8"/>
    <col min="23" max="23" width="6.375" style="8" customWidth="1"/>
    <col min="24" max="24" width="12.75" style="31" customWidth="1"/>
    <col min="25" max="25" width="10" style="31" customWidth="1"/>
    <col min="26" max="26" width="9.75" style="31" customWidth="1"/>
    <col min="27" max="27" width="3.25" style="31" customWidth="1"/>
    <col min="28" max="28" width="13" style="8" customWidth="1"/>
    <col min="29" max="29" width="6.625" style="8" customWidth="1"/>
    <col min="30" max="30" width="11.875" style="8" customWidth="1"/>
    <col min="31" max="31" width="6.125" style="8" customWidth="1"/>
    <col min="32" max="32" width="12.125" style="8" customWidth="1"/>
    <col min="33" max="33" width="7.375" style="8" customWidth="1"/>
    <col min="34" max="34" width="11" style="8" customWidth="1"/>
    <col min="35" max="35" width="6.875" style="8" customWidth="1"/>
    <col min="36" max="36" width="11.375" style="8" customWidth="1"/>
    <col min="37" max="37" width="7.375" style="8" customWidth="1"/>
    <col min="38" max="38" width="11.875" style="8" customWidth="1"/>
    <col min="39" max="39" width="7.375" style="8" customWidth="1"/>
    <col min="40" max="16384" width="9" style="8"/>
  </cols>
  <sheetData>
    <row r="1" spans="1:39" ht="28.5" customHeight="1">
      <c r="A1" s="3329" t="s">
        <v>135</v>
      </c>
      <c r="B1" s="3329"/>
      <c r="C1" s="3329"/>
      <c r="D1" s="3329"/>
      <c r="E1" s="3329"/>
      <c r="F1" s="3329"/>
      <c r="G1" s="3329"/>
      <c r="H1" s="3329"/>
      <c r="I1" s="3329"/>
      <c r="J1" s="3329"/>
      <c r="K1" s="3329"/>
      <c r="L1" s="3329"/>
      <c r="M1" s="3329"/>
      <c r="N1" s="3329"/>
      <c r="O1" s="3329"/>
      <c r="P1" s="3329"/>
      <c r="Q1" s="3329"/>
      <c r="R1" s="3329"/>
      <c r="S1" s="1026"/>
      <c r="T1" s="1026"/>
      <c r="U1" s="1456" t="s">
        <v>1361</v>
      </c>
      <c r="W1" s="3329"/>
      <c r="X1" s="3329"/>
      <c r="Y1" s="3329"/>
      <c r="Z1" s="3329"/>
      <c r="AA1" s="3329"/>
      <c r="AM1" s="1457" t="s">
        <v>1362</v>
      </c>
    </row>
    <row r="2" spans="1:39" ht="48.75" customHeight="1">
      <c r="A2" s="3330" t="s">
        <v>136</v>
      </c>
      <c r="B2" s="3330"/>
      <c r="C2" s="3330"/>
      <c r="D2" s="3330"/>
      <c r="E2" s="3330"/>
      <c r="F2" s="3330"/>
      <c r="G2" s="3330"/>
      <c r="H2" s="3330"/>
      <c r="I2" s="3330"/>
      <c r="J2" s="3330"/>
      <c r="K2" s="3330"/>
      <c r="L2" s="3330"/>
      <c r="M2" s="3330"/>
      <c r="N2" s="3330"/>
      <c r="O2" s="3330"/>
      <c r="P2" s="3330"/>
      <c r="Q2" s="3330"/>
      <c r="R2" s="3340"/>
      <c r="S2" s="3285" t="s">
        <v>88</v>
      </c>
      <c r="T2" s="3063"/>
      <c r="U2" s="1449" t="s">
        <v>1356</v>
      </c>
      <c r="W2" s="3330"/>
      <c r="X2" s="3330"/>
      <c r="Y2" s="3330"/>
      <c r="Z2" s="3330"/>
      <c r="AA2" s="3330"/>
      <c r="AI2" s="1007"/>
      <c r="AJ2" s="1007"/>
      <c r="AK2" s="1007"/>
      <c r="AL2" s="1007"/>
      <c r="AM2" s="1007"/>
    </row>
    <row r="3" spans="1:39" ht="28.5" customHeight="1">
      <c r="A3" s="9"/>
      <c r="B3" s="1424" t="s">
        <v>127</v>
      </c>
      <c r="C3" s="1425"/>
      <c r="D3" s="1395"/>
      <c r="E3" s="1396"/>
      <c r="F3" s="2714" t="s">
        <v>1623</v>
      </c>
      <c r="G3" s="1819" t="str">
        <f>MENU!$AC$9</f>
        <v>Thứ 4,</v>
      </c>
      <c r="H3" s="3248" t="str">
        <f>MENU!$AD$9</f>
        <v>2024/05/22</v>
      </c>
      <c r="I3" s="3248"/>
      <c r="J3" s="1398"/>
      <c r="K3" s="1398"/>
      <c r="L3" s="29"/>
      <c r="M3" s="29"/>
      <c r="N3" s="29"/>
      <c r="O3" s="29"/>
      <c r="P3" s="29"/>
      <c r="Q3" s="29"/>
      <c r="R3" s="29"/>
      <c r="S3" s="3295" t="str">
        <f>'1. XL-1E kh'!$AD$3</f>
        <v>Mi</v>
      </c>
      <c r="T3" s="3296"/>
      <c r="U3" s="1434"/>
      <c r="W3" s="9"/>
      <c r="X3" s="1424" t="s">
        <v>127</v>
      </c>
      <c r="Y3" s="1425"/>
      <c r="Z3" s="1395"/>
      <c r="AA3" s="1396"/>
      <c r="AB3" s="1819" t="str">
        <f>MENU!$AC$9</f>
        <v>Thứ 4,</v>
      </c>
      <c r="AC3" s="3248" t="str">
        <f>MENU!$AD$9</f>
        <v>2024/05/22</v>
      </c>
      <c r="AD3" s="3248"/>
      <c r="AE3" s="1458"/>
      <c r="AF3" s="26"/>
      <c r="AG3" s="452"/>
      <c r="AH3" s="452"/>
    </row>
    <row r="4" spans="1:39" s="62" customFormat="1" ht="34.5" customHeight="1">
      <c r="A4" s="3331" t="s">
        <v>7</v>
      </c>
      <c r="B4" s="3083" t="s">
        <v>76</v>
      </c>
      <c r="C4" s="3084"/>
      <c r="D4" s="3084"/>
      <c r="E4" s="3085"/>
      <c r="F4" s="3278" t="s">
        <v>124</v>
      </c>
      <c r="G4" s="3059" t="s">
        <v>1310</v>
      </c>
      <c r="H4" s="3109" t="s">
        <v>1302</v>
      </c>
      <c r="I4" s="3061">
        <v>0.30208333333333331</v>
      </c>
      <c r="J4" s="3062"/>
      <c r="K4" s="3062"/>
      <c r="L4" s="3063"/>
      <c r="M4" s="3117">
        <v>0.46875</v>
      </c>
      <c r="N4" s="3062"/>
      <c r="O4" s="3062"/>
      <c r="P4" s="3063"/>
      <c r="Q4" s="3117">
        <v>0.63541666666666663</v>
      </c>
      <c r="R4" s="3062"/>
      <c r="S4" s="3062"/>
      <c r="T4" s="3063"/>
      <c r="U4" s="3148" t="s">
        <v>38</v>
      </c>
      <c r="W4" s="3331" t="s">
        <v>7</v>
      </c>
      <c r="X4" s="3083" t="s">
        <v>76</v>
      </c>
      <c r="Y4" s="3084"/>
      <c r="Z4" s="3084"/>
      <c r="AA4" s="3085"/>
      <c r="AB4" s="3117">
        <v>0.30208333333333331</v>
      </c>
      <c r="AC4" s="3061"/>
      <c r="AD4" s="3061"/>
      <c r="AE4" s="3284"/>
      <c r="AF4" s="3117">
        <v>0.46875</v>
      </c>
      <c r="AG4" s="3061"/>
      <c r="AH4" s="3061"/>
      <c r="AI4" s="3284"/>
      <c r="AJ4" s="3117">
        <v>0.63541666666666663</v>
      </c>
      <c r="AK4" s="3061"/>
      <c r="AL4" s="3061"/>
      <c r="AM4" s="3284"/>
    </row>
    <row r="5" spans="1:39" s="62" customFormat="1" ht="34.5" customHeight="1">
      <c r="A5" s="3331"/>
      <c r="B5" s="3086"/>
      <c r="C5" s="3087"/>
      <c r="D5" s="3087"/>
      <c r="E5" s="3088"/>
      <c r="F5" s="3279"/>
      <c r="G5" s="3060"/>
      <c r="H5" s="3110"/>
      <c r="I5" s="2240" t="s">
        <v>129</v>
      </c>
      <c r="J5" s="3067" t="s">
        <v>1</v>
      </c>
      <c r="K5" s="3068"/>
      <c r="L5" s="3069"/>
      <c r="M5" s="53" t="s">
        <v>129</v>
      </c>
      <c r="N5" s="3067" t="s">
        <v>1</v>
      </c>
      <c r="O5" s="3068"/>
      <c r="P5" s="3069"/>
      <c r="Q5" s="53" t="s">
        <v>129</v>
      </c>
      <c r="R5" s="3067" t="s">
        <v>1</v>
      </c>
      <c r="S5" s="3068"/>
      <c r="T5" s="3069"/>
      <c r="U5" s="3149"/>
      <c r="W5" s="3331"/>
      <c r="X5" s="3086"/>
      <c r="Y5" s="3087"/>
      <c r="Z5" s="3087"/>
      <c r="AA5" s="3088"/>
      <c r="AB5" s="3251" t="s">
        <v>1448</v>
      </c>
      <c r="AC5" s="3287"/>
      <c r="AD5" s="3286" t="s">
        <v>1481</v>
      </c>
      <c r="AE5" s="3063"/>
      <c r="AF5" s="3251" t="s">
        <v>1448</v>
      </c>
      <c r="AG5" s="3287"/>
      <c r="AH5" s="3286" t="s">
        <v>1481</v>
      </c>
      <c r="AI5" s="3063"/>
      <c r="AJ5" s="3251" t="s">
        <v>1448</v>
      </c>
      <c r="AK5" s="3287"/>
      <c r="AL5" s="3286" t="s">
        <v>1481</v>
      </c>
      <c r="AM5" s="3063"/>
    </row>
    <row r="6" spans="1:39" ht="36.75" customHeight="1">
      <c r="A6" s="3322">
        <v>1</v>
      </c>
      <c r="B6" s="3333" t="s">
        <v>138</v>
      </c>
      <c r="C6" s="3334"/>
      <c r="D6" s="3263" t="s">
        <v>230</v>
      </c>
      <c r="E6" s="3264"/>
      <c r="F6" s="1039" t="s">
        <v>4</v>
      </c>
      <c r="G6" s="898" t="str">
        <f>'XM.GUI MAIL'!$E$78</f>
        <v>40~60</v>
      </c>
      <c r="H6" s="2222" t="str">
        <f>'XM.GUI MAIL'!$F$78</f>
        <v>(50±5)</v>
      </c>
      <c r="I6" s="2225">
        <f>'XM.GUI MAIL'!I78</f>
        <v>47.701499999999996</v>
      </c>
      <c r="J6" s="55" t="s">
        <v>8</v>
      </c>
      <c r="K6" s="56">
        <f>'XM.GUI MAIL'!L78</f>
        <v>35.66582450000007</v>
      </c>
      <c r="L6" s="57" t="s">
        <v>9</v>
      </c>
      <c r="M6" s="1404">
        <f>'XM.GUI MAIL'!P78</f>
        <v>48.675000000000004</v>
      </c>
      <c r="N6" s="55" t="s">
        <v>8</v>
      </c>
      <c r="O6" s="56">
        <f>'XM.GUI MAIL'!S78</f>
        <v>20.560024999999932</v>
      </c>
      <c r="P6" s="57" t="s">
        <v>9</v>
      </c>
      <c r="Q6" s="1404">
        <f>'XM.GUI MAIL'!W78</f>
        <v>52.244500000000009</v>
      </c>
      <c r="R6" s="63" t="s">
        <v>8</v>
      </c>
      <c r="S6" s="64">
        <f>'XM.GUI MAIL'!Z78</f>
        <v>0</v>
      </c>
      <c r="T6" s="30" t="s">
        <v>9</v>
      </c>
      <c r="U6" s="1025" t="s">
        <v>39</v>
      </c>
      <c r="W6" s="3322">
        <v>1</v>
      </c>
      <c r="X6" s="3333" t="s">
        <v>138</v>
      </c>
      <c r="Y6" s="3334"/>
      <c r="Z6" s="3263" t="s">
        <v>230</v>
      </c>
      <c r="AA6" s="3264"/>
      <c r="AB6" s="2030"/>
      <c r="AC6" s="1811" t="s">
        <v>9</v>
      </c>
      <c r="AD6" s="1798"/>
      <c r="AE6" s="1753" t="s">
        <v>4</v>
      </c>
      <c r="AF6" s="2030">
        <v>25</v>
      </c>
      <c r="AG6" s="1811" t="s">
        <v>9</v>
      </c>
      <c r="AH6" s="2838">
        <f>Q6</f>
        <v>52.244500000000009</v>
      </c>
      <c r="AI6" s="1753" t="s">
        <v>4</v>
      </c>
      <c r="AJ6" s="2030"/>
      <c r="AK6" s="1811" t="s">
        <v>9</v>
      </c>
      <c r="AL6" s="1798"/>
      <c r="AM6" s="1753" t="s">
        <v>4</v>
      </c>
    </row>
    <row r="7" spans="1:39" ht="36.75" customHeight="1">
      <c r="A7" s="3332"/>
      <c r="B7" s="3335"/>
      <c r="C7" s="3336"/>
      <c r="D7" s="3263" t="s">
        <v>231</v>
      </c>
      <c r="E7" s="3264"/>
      <c r="F7" s="1008"/>
      <c r="G7" s="898" t="s">
        <v>1271</v>
      </c>
      <c r="H7" s="2222"/>
      <c r="I7" s="2211"/>
      <c r="J7" s="55"/>
      <c r="K7" s="58">
        <f>K6/25*8.5</f>
        <v>12.126380330000025</v>
      </c>
      <c r="L7" s="57" t="s">
        <v>10</v>
      </c>
      <c r="M7" s="1683"/>
      <c r="N7" s="55"/>
      <c r="O7" s="58">
        <f>O6/25*8.5</f>
        <v>6.9904084999999769</v>
      </c>
      <c r="P7" s="57" t="s">
        <v>10</v>
      </c>
      <c r="Q7" s="1683"/>
      <c r="R7" s="55"/>
      <c r="S7" s="58">
        <f>S6/25*8.5</f>
        <v>0</v>
      </c>
      <c r="T7" s="57" t="s">
        <v>10</v>
      </c>
      <c r="U7" s="1025"/>
      <c r="W7" s="3332"/>
      <c r="X7" s="3335"/>
      <c r="Y7" s="3336"/>
      <c r="Z7" s="3263" t="s">
        <v>231</v>
      </c>
      <c r="AA7" s="3264"/>
      <c r="AB7" s="2030"/>
      <c r="AC7" s="1811" t="s">
        <v>10</v>
      </c>
      <c r="AD7" s="1798"/>
      <c r="AE7" s="1812"/>
      <c r="AF7" s="2030"/>
      <c r="AG7" s="1811" t="s">
        <v>10</v>
      </c>
      <c r="AH7" s="1798"/>
      <c r="AI7" s="1812"/>
      <c r="AJ7" s="2030"/>
      <c r="AK7" s="1811" t="s">
        <v>10</v>
      </c>
      <c r="AL7" s="1798"/>
      <c r="AM7" s="1812"/>
    </row>
    <row r="8" spans="1:39" ht="36.75" customHeight="1">
      <c r="A8" s="3322">
        <v>2</v>
      </c>
      <c r="B8" s="3333" t="s">
        <v>139</v>
      </c>
      <c r="C8" s="3334"/>
      <c r="D8" s="3263" t="s">
        <v>230</v>
      </c>
      <c r="E8" s="3264"/>
      <c r="F8" s="1039" t="s">
        <v>4</v>
      </c>
      <c r="G8" s="898" t="str">
        <f>'XM.GUI MAIL'!$E$80</f>
        <v>40~60</v>
      </c>
      <c r="H8" s="2222" t="str">
        <f>'XM.GUI MAIL'!$F$80</f>
        <v>(50±5)</v>
      </c>
      <c r="I8" s="2225">
        <f>'XM.GUI MAIL'!I80</f>
        <v>46.403500000000001</v>
      </c>
      <c r="J8" s="55" t="s">
        <v>8</v>
      </c>
      <c r="K8" s="56">
        <f>'XM.GUI MAIL'!L80</f>
        <v>41.269837499999987</v>
      </c>
      <c r="L8" s="57" t="s">
        <v>9</v>
      </c>
      <c r="M8" s="1404">
        <f>'XM.GUI MAIL'!P80</f>
        <v>47.701499999999996</v>
      </c>
      <c r="N8" s="55" t="s">
        <v>8</v>
      </c>
      <c r="O8" s="56">
        <f>'XM.GUI MAIL'!S80</f>
        <v>26.375287500000049</v>
      </c>
      <c r="P8" s="57" t="s">
        <v>9</v>
      </c>
      <c r="Q8" s="1404">
        <f>'XM.GUI MAIL'!W80</f>
        <v>49.973000000000006</v>
      </c>
      <c r="R8" s="63" t="s">
        <v>8</v>
      </c>
      <c r="S8" s="64">
        <f>'XM.GUI MAIL'!Z80</f>
        <v>0.30982499999993018</v>
      </c>
      <c r="T8" s="30" t="s">
        <v>9</v>
      </c>
      <c r="U8" s="1025" t="s">
        <v>39</v>
      </c>
      <c r="W8" s="3322">
        <v>2</v>
      </c>
      <c r="X8" s="3333" t="s">
        <v>139</v>
      </c>
      <c r="Y8" s="3334"/>
      <c r="Z8" s="3263" t="s">
        <v>230</v>
      </c>
      <c r="AA8" s="3264"/>
      <c r="AB8" s="2030"/>
      <c r="AC8" s="1811" t="s">
        <v>9</v>
      </c>
      <c r="AD8" s="1798"/>
      <c r="AE8" s="1753" t="s">
        <v>4</v>
      </c>
      <c r="AF8" s="2030">
        <v>25</v>
      </c>
      <c r="AG8" s="1811" t="s">
        <v>9</v>
      </c>
      <c r="AH8" s="2838">
        <f>Q8</f>
        <v>49.973000000000006</v>
      </c>
      <c r="AI8" s="1753" t="s">
        <v>4</v>
      </c>
      <c r="AJ8" s="2030"/>
      <c r="AK8" s="1811" t="s">
        <v>9</v>
      </c>
      <c r="AL8" s="1798"/>
      <c r="AM8" s="1753" t="s">
        <v>4</v>
      </c>
    </row>
    <row r="9" spans="1:39" ht="36.75" customHeight="1">
      <c r="A9" s="3332"/>
      <c r="B9" s="3335"/>
      <c r="C9" s="3336"/>
      <c r="D9" s="3263" t="s">
        <v>231</v>
      </c>
      <c r="E9" s="3264"/>
      <c r="F9" s="1008"/>
      <c r="G9" s="898" t="s">
        <v>1271</v>
      </c>
      <c r="H9" s="2222"/>
      <c r="I9" s="2211"/>
      <c r="J9" s="55"/>
      <c r="K9" s="58">
        <f>K8/25*8.5</f>
        <v>14.031744749999996</v>
      </c>
      <c r="L9" s="57" t="s">
        <v>10</v>
      </c>
      <c r="M9" s="1683"/>
      <c r="N9" s="55"/>
      <c r="O9" s="58">
        <f>O8/25*8.5</f>
        <v>8.9675977500000172</v>
      </c>
      <c r="P9" s="57" t="s">
        <v>10</v>
      </c>
      <c r="Q9" s="1683"/>
      <c r="R9" s="55"/>
      <c r="S9" s="58">
        <f>S8/25*8.5</f>
        <v>0.10534049999997626</v>
      </c>
      <c r="T9" s="57" t="s">
        <v>10</v>
      </c>
      <c r="U9" s="1025"/>
      <c r="W9" s="3332"/>
      <c r="X9" s="3335"/>
      <c r="Y9" s="3336"/>
      <c r="Z9" s="3263" t="s">
        <v>231</v>
      </c>
      <c r="AA9" s="3264"/>
      <c r="AB9" s="2030"/>
      <c r="AC9" s="1811" t="s">
        <v>10</v>
      </c>
      <c r="AD9" s="1798"/>
      <c r="AE9" s="1812"/>
      <c r="AF9" s="2030"/>
      <c r="AG9" s="1811" t="s">
        <v>10</v>
      </c>
      <c r="AH9" s="1798"/>
      <c r="AI9" s="1812"/>
      <c r="AJ9" s="2030"/>
      <c r="AK9" s="1811" t="s">
        <v>10</v>
      </c>
      <c r="AL9" s="1798"/>
      <c r="AM9" s="1812"/>
    </row>
    <row r="10" spans="1:39" ht="36.75" customHeight="1">
      <c r="A10" s="3322">
        <v>3</v>
      </c>
      <c r="B10" s="3250" t="s">
        <v>140</v>
      </c>
      <c r="C10" s="3262"/>
      <c r="D10" s="3251" t="s">
        <v>232</v>
      </c>
      <c r="E10" s="3253" t="s">
        <v>232</v>
      </c>
      <c r="F10" s="1039" t="s">
        <v>4</v>
      </c>
      <c r="G10" s="898" t="str">
        <f>'XM.GUI MAIL'!$E$82</f>
        <v>50~70</v>
      </c>
      <c r="H10" s="2222" t="str">
        <f>'XM.GUI MAIL'!$F$82</f>
        <v>(60±5)</v>
      </c>
      <c r="I10" s="2225">
        <f>'XM.GUI MAIL'!I82</f>
        <v>58.443000000000005</v>
      </c>
      <c r="J10" s="55" t="s">
        <v>8</v>
      </c>
      <c r="K10" s="56">
        <f>'XM.GUI MAIL'!L82</f>
        <v>12.767399999999959</v>
      </c>
      <c r="L10" s="57" t="s">
        <v>9</v>
      </c>
      <c r="M10" s="1404">
        <f>'XM.GUI MAIL'!P82</f>
        <v>58.211999999999996</v>
      </c>
      <c r="N10" s="55" t="s">
        <v>8</v>
      </c>
      <c r="O10" s="56">
        <f>'XM.GUI MAIL'!S82</f>
        <v>14.661600000000032</v>
      </c>
      <c r="P10" s="57" t="s">
        <v>9</v>
      </c>
      <c r="Q10" s="1404">
        <f>'XM.GUI MAIL'!W82</f>
        <v>64.680000000000007</v>
      </c>
      <c r="R10" s="55" t="s">
        <v>8</v>
      </c>
      <c r="S10" s="56">
        <f>'XM.GUI MAIL'!Z82</f>
        <v>0</v>
      </c>
      <c r="T10" s="57" t="s">
        <v>9</v>
      </c>
      <c r="U10" s="1025" t="s">
        <v>39</v>
      </c>
      <c r="W10" s="3322">
        <v>3</v>
      </c>
      <c r="X10" s="3250" t="s">
        <v>140</v>
      </c>
      <c r="Y10" s="3262"/>
      <c r="Z10" s="3251" t="s">
        <v>232</v>
      </c>
      <c r="AA10" s="3253" t="s">
        <v>232</v>
      </c>
      <c r="AB10" s="2030"/>
      <c r="AC10" s="1811" t="s">
        <v>9</v>
      </c>
      <c r="AD10" s="1798"/>
      <c r="AE10" s="1753" t="s">
        <v>4</v>
      </c>
      <c r="AF10" s="2030">
        <v>15</v>
      </c>
      <c r="AG10" s="1811" t="s">
        <v>9</v>
      </c>
      <c r="AH10" s="2838">
        <f>Q10</f>
        <v>64.680000000000007</v>
      </c>
      <c r="AI10" s="1753" t="s">
        <v>4</v>
      </c>
      <c r="AJ10" s="2030"/>
      <c r="AK10" s="1811" t="s">
        <v>9</v>
      </c>
      <c r="AL10" s="1798"/>
      <c r="AM10" s="1753" t="s">
        <v>4</v>
      </c>
    </row>
    <row r="11" spans="1:39" ht="36.75" customHeight="1">
      <c r="A11" s="3323"/>
      <c r="B11" s="3262"/>
      <c r="C11" s="3262"/>
      <c r="D11" s="3251" t="s">
        <v>233</v>
      </c>
      <c r="E11" s="3253" t="s">
        <v>233</v>
      </c>
      <c r="F11" s="1008"/>
      <c r="G11" s="898" t="s">
        <v>1272</v>
      </c>
      <c r="H11" s="2222"/>
      <c r="I11" s="2211"/>
      <c r="J11" s="55"/>
      <c r="K11" s="58">
        <f>K10/25*8</f>
        <v>4.085567999999987</v>
      </c>
      <c r="L11" s="57" t="s">
        <v>10</v>
      </c>
      <c r="M11" s="1683"/>
      <c r="N11" s="55"/>
      <c r="O11" s="58">
        <f>O10/25*8</f>
        <v>4.6917120000000105</v>
      </c>
      <c r="P11" s="57" t="s">
        <v>10</v>
      </c>
      <c r="Q11" s="1683"/>
      <c r="R11" s="55"/>
      <c r="S11" s="58">
        <f>S10/25*8</f>
        <v>0</v>
      </c>
      <c r="T11" s="57" t="s">
        <v>10</v>
      </c>
      <c r="U11" s="1025"/>
      <c r="W11" s="3323"/>
      <c r="X11" s="3262"/>
      <c r="Y11" s="3262"/>
      <c r="Z11" s="3251" t="s">
        <v>233</v>
      </c>
      <c r="AA11" s="3253" t="s">
        <v>233</v>
      </c>
      <c r="AB11" s="2030"/>
      <c r="AC11" s="1811" t="s">
        <v>10</v>
      </c>
      <c r="AD11" s="1798"/>
      <c r="AE11" s="1812"/>
      <c r="AF11" s="2030"/>
      <c r="AG11" s="1811" t="s">
        <v>10</v>
      </c>
      <c r="AH11" s="1798"/>
      <c r="AI11" s="1812"/>
      <c r="AJ11" s="2030"/>
      <c r="AK11" s="1811" t="s">
        <v>10</v>
      </c>
      <c r="AL11" s="1798"/>
      <c r="AM11" s="1812"/>
    </row>
    <row r="12" spans="1:39" ht="36.75" customHeight="1">
      <c r="A12" s="3322">
        <v>4</v>
      </c>
      <c r="B12" s="3250" t="s">
        <v>141</v>
      </c>
      <c r="C12" s="3262"/>
      <c r="D12" s="3251" t="s">
        <v>232</v>
      </c>
      <c r="E12" s="3253" t="s">
        <v>232</v>
      </c>
      <c r="F12" s="1039" t="s">
        <v>4</v>
      </c>
      <c r="G12" s="898" t="str">
        <f>'XM.GUI MAIL'!$E$84</f>
        <v>50~70</v>
      </c>
      <c r="H12" s="2222" t="str">
        <f>'XM.GUI MAIL'!$F$84</f>
        <v>(60±5)</v>
      </c>
      <c r="I12" s="2225">
        <f>'XM.GUI MAIL'!I84</f>
        <v>60.06</v>
      </c>
      <c r="J12" s="55" t="s">
        <v>8</v>
      </c>
      <c r="K12" s="56">
        <f>'XM.GUI MAIL'!L84</f>
        <v>0</v>
      </c>
      <c r="L12" s="57" t="s">
        <v>9</v>
      </c>
      <c r="M12" s="1404">
        <f>'XM.GUI MAIL'!P84</f>
        <v>59.598000000000006</v>
      </c>
      <c r="N12" s="55" t="s">
        <v>8</v>
      </c>
      <c r="O12" s="56">
        <f>'XM.GUI MAIL'!S84</f>
        <v>3.4845359999999475</v>
      </c>
      <c r="P12" s="57" t="s">
        <v>9</v>
      </c>
      <c r="Q12" s="1404">
        <f>'XM.GUI MAIL'!W84</f>
        <v>60.983999999999995</v>
      </c>
      <c r="R12" s="55" t="s">
        <v>8</v>
      </c>
      <c r="S12" s="56">
        <f>'XM.GUI MAIL'!Z84</f>
        <v>0</v>
      </c>
      <c r="T12" s="57" t="s">
        <v>9</v>
      </c>
      <c r="U12" s="1025" t="s">
        <v>39</v>
      </c>
      <c r="W12" s="3322">
        <v>4</v>
      </c>
      <c r="X12" s="3250" t="s">
        <v>141</v>
      </c>
      <c r="Y12" s="3262"/>
      <c r="Z12" s="3251" t="s">
        <v>232</v>
      </c>
      <c r="AA12" s="3253" t="s">
        <v>232</v>
      </c>
      <c r="AB12" s="2030"/>
      <c r="AC12" s="1811" t="s">
        <v>9</v>
      </c>
      <c r="AD12" s="1798"/>
      <c r="AE12" s="1753" t="s">
        <v>4</v>
      </c>
      <c r="AF12" s="2030">
        <v>10</v>
      </c>
      <c r="AG12" s="1811" t="s">
        <v>9</v>
      </c>
      <c r="AH12" s="2838">
        <f>Q12</f>
        <v>60.983999999999995</v>
      </c>
      <c r="AI12" s="1753" t="s">
        <v>4</v>
      </c>
      <c r="AJ12" s="2030"/>
      <c r="AK12" s="1811" t="s">
        <v>9</v>
      </c>
      <c r="AL12" s="1798"/>
      <c r="AM12" s="1753" t="s">
        <v>4</v>
      </c>
    </row>
    <row r="13" spans="1:39" ht="36.75" customHeight="1">
      <c r="A13" s="3323"/>
      <c r="B13" s="3262"/>
      <c r="C13" s="3262"/>
      <c r="D13" s="3251" t="s">
        <v>233</v>
      </c>
      <c r="E13" s="3253" t="s">
        <v>233</v>
      </c>
      <c r="F13" s="1008"/>
      <c r="G13" s="898" t="s">
        <v>1272</v>
      </c>
      <c r="H13" s="2222"/>
      <c r="I13" s="2211"/>
      <c r="J13" s="55"/>
      <c r="K13" s="58">
        <f>K12/25*8</f>
        <v>0</v>
      </c>
      <c r="L13" s="57" t="s">
        <v>10</v>
      </c>
      <c r="M13" s="1683"/>
      <c r="N13" s="55"/>
      <c r="O13" s="58">
        <f>O12/25*8</f>
        <v>1.1150515199999831</v>
      </c>
      <c r="P13" s="57" t="s">
        <v>10</v>
      </c>
      <c r="Q13" s="1683"/>
      <c r="R13" s="55"/>
      <c r="S13" s="58">
        <f>S12/25*8</f>
        <v>0</v>
      </c>
      <c r="T13" s="57" t="s">
        <v>10</v>
      </c>
      <c r="U13" s="1025"/>
      <c r="W13" s="3323"/>
      <c r="X13" s="3262"/>
      <c r="Y13" s="3262"/>
      <c r="Z13" s="3251" t="s">
        <v>233</v>
      </c>
      <c r="AA13" s="3253" t="s">
        <v>233</v>
      </c>
      <c r="AB13" s="2030"/>
      <c r="AC13" s="1811" t="s">
        <v>10</v>
      </c>
      <c r="AD13" s="1798"/>
      <c r="AE13" s="1812"/>
      <c r="AF13" s="2030"/>
      <c r="AG13" s="1811" t="s">
        <v>10</v>
      </c>
      <c r="AH13" s="1798"/>
      <c r="AI13" s="1812"/>
      <c r="AJ13" s="2030"/>
      <c r="AK13" s="1811" t="s">
        <v>10</v>
      </c>
      <c r="AL13" s="1798"/>
      <c r="AM13" s="1812"/>
    </row>
    <row r="14" spans="1:39" ht="36.75" customHeight="1">
      <c r="A14" s="3322">
        <v>5</v>
      </c>
      <c r="B14" s="3324" t="s">
        <v>113</v>
      </c>
      <c r="C14" s="3326" t="s">
        <v>19</v>
      </c>
      <c r="D14" s="3327"/>
      <c r="E14" s="3328"/>
      <c r="F14" s="1039" t="s">
        <v>4</v>
      </c>
      <c r="G14" s="1360" t="str">
        <f>'XM.GUI MAIL'!$E$86</f>
        <v>135~ 145</v>
      </c>
      <c r="H14" s="2241" t="str">
        <f>'XM.GUI MAIL'!$F$86</f>
        <v>(140±5)</v>
      </c>
      <c r="I14" s="2227">
        <f>'XM.GUI MAIL'!I86</f>
        <v>138</v>
      </c>
      <c r="J14" s="55" t="s">
        <v>8</v>
      </c>
      <c r="K14" s="56">
        <f>'XM.GUI MAIL'!L86</f>
        <v>106.13200000000001</v>
      </c>
      <c r="L14" s="57" t="s">
        <v>9</v>
      </c>
      <c r="M14" s="78">
        <f>'XM.GUI MAIL'!P86</f>
        <v>140</v>
      </c>
      <c r="N14" s="1059" t="s">
        <v>8</v>
      </c>
      <c r="O14" s="56">
        <f>'XM.GUI MAIL'!S86</f>
        <v>0</v>
      </c>
      <c r="P14" s="57" t="s">
        <v>9</v>
      </c>
      <c r="Q14" s="78">
        <f>'XM.GUI MAIL'!W86</f>
        <v>137.6</v>
      </c>
      <c r="R14" s="1059" t="s">
        <v>8</v>
      </c>
      <c r="S14" s="56">
        <f>'XM.GUI MAIL'!Z86</f>
        <v>127.3584000000003</v>
      </c>
      <c r="T14" s="57" t="s">
        <v>9</v>
      </c>
      <c r="U14" s="1060" t="s">
        <v>40</v>
      </c>
      <c r="W14" s="3322">
        <v>5</v>
      </c>
      <c r="X14" s="3324" t="s">
        <v>113</v>
      </c>
      <c r="Y14" s="3326" t="s">
        <v>19</v>
      </c>
      <c r="Z14" s="3327"/>
      <c r="AA14" s="3328"/>
      <c r="AB14" s="2030"/>
      <c r="AC14" s="1811" t="s">
        <v>9</v>
      </c>
      <c r="AD14" s="1798"/>
      <c r="AE14" s="1753" t="s">
        <v>4</v>
      </c>
      <c r="AF14" s="2030"/>
      <c r="AG14" s="1811" t="s">
        <v>9</v>
      </c>
      <c r="AH14" s="1798"/>
      <c r="AI14" s="1753" t="s">
        <v>4</v>
      </c>
      <c r="AJ14" s="2030">
        <v>75</v>
      </c>
      <c r="AK14" s="1811" t="s">
        <v>9</v>
      </c>
      <c r="AL14" s="1798">
        <v>138.19999999999999</v>
      </c>
      <c r="AM14" s="1753" t="s">
        <v>4</v>
      </c>
    </row>
    <row r="15" spans="1:39" ht="36.75" customHeight="1">
      <c r="A15" s="3323"/>
      <c r="B15" s="3325"/>
      <c r="C15" s="3326" t="s">
        <v>20</v>
      </c>
      <c r="D15" s="3327"/>
      <c r="E15" s="3328"/>
      <c r="F15" s="1008"/>
      <c r="G15" s="1360" t="str">
        <f>'XM.GUI MAIL'!$E$87</f>
        <v>7~10</v>
      </c>
      <c r="H15" s="2241" t="str">
        <f>'XM.GUI MAIL'!$F$87</f>
        <v>(8.5±1)</v>
      </c>
      <c r="I15" s="2228">
        <f>'XM.GUI MAIL'!I87</f>
        <v>8.4500000000000011</v>
      </c>
      <c r="J15" s="63" t="s">
        <v>8</v>
      </c>
      <c r="K15" s="818">
        <f>'XM.GUI MAIL'!L87</f>
        <v>2.6532999999999434</v>
      </c>
      <c r="L15" s="1061" t="s">
        <v>9</v>
      </c>
      <c r="M15" s="1930">
        <f>'XM.GUI MAIL'!P87</f>
        <v>8.4500000000000011</v>
      </c>
      <c r="N15" s="817" t="s">
        <v>8</v>
      </c>
      <c r="O15" s="818">
        <f>'XM.GUI MAIL'!S87</f>
        <v>2.6532999999999434</v>
      </c>
      <c r="P15" s="1061" t="s">
        <v>9</v>
      </c>
      <c r="Q15" s="1930">
        <f>'XM.GUI MAIL'!W87</f>
        <v>8.3849999999999998</v>
      </c>
      <c r="R15" s="817" t="s">
        <v>8</v>
      </c>
      <c r="S15" s="818">
        <f>'XM.GUI MAIL'!Z87</f>
        <v>6.1025900000000108</v>
      </c>
      <c r="T15" s="1061" t="s">
        <v>9</v>
      </c>
      <c r="U15" s="1060" t="s">
        <v>41</v>
      </c>
      <c r="W15" s="3323"/>
      <c r="X15" s="3325"/>
      <c r="Y15" s="3326" t="s">
        <v>20</v>
      </c>
      <c r="Z15" s="3327"/>
      <c r="AA15" s="3328"/>
      <c r="AB15" s="2030"/>
      <c r="AC15" s="1811" t="s">
        <v>9</v>
      </c>
      <c r="AD15" s="1798"/>
      <c r="AE15" s="1812"/>
      <c r="AF15" s="2030"/>
      <c r="AG15" s="1811" t="s">
        <v>9</v>
      </c>
      <c r="AH15" s="1798"/>
      <c r="AI15" s="1812"/>
      <c r="AJ15" s="2030"/>
      <c r="AK15" s="1811" t="s">
        <v>9</v>
      </c>
      <c r="AL15" s="1798"/>
      <c r="AM15" s="1812"/>
    </row>
    <row r="16" spans="1:39" s="7" customFormat="1" ht="36.75" customHeight="1">
      <c r="A16" s="3322">
        <v>6</v>
      </c>
      <c r="B16" s="3310" t="s">
        <v>1153</v>
      </c>
      <c r="C16" s="3311"/>
      <c r="D16" s="3311"/>
      <c r="E16" s="3314"/>
      <c r="F16" s="77" t="s">
        <v>3</v>
      </c>
      <c r="G16" s="1360" t="str">
        <f>'XM.GUI MAIL'!$E$88</f>
        <v>5~8</v>
      </c>
      <c r="H16" s="2241" t="str">
        <f>'XM.GUI MAIL'!$F$88</f>
        <v>(6±1)</v>
      </c>
      <c r="I16" s="2229">
        <f>'XM.GUI MAIL'!I88</f>
        <v>6.4957600000000006</v>
      </c>
      <c r="J16" s="55" t="s">
        <v>8</v>
      </c>
      <c r="K16" s="56">
        <f>'XM.GUI MAIL'!L88</f>
        <v>0</v>
      </c>
      <c r="L16" s="57" t="s">
        <v>10</v>
      </c>
      <c r="M16" s="595">
        <f>'XM.GUI MAIL'!P88</f>
        <v>6.4745750000000006</v>
      </c>
      <c r="N16" s="1059" t="s">
        <v>8</v>
      </c>
      <c r="O16" s="56">
        <f>'XM.GUI MAIL'!S88</f>
        <v>0</v>
      </c>
      <c r="P16" s="57" t="s">
        <v>10</v>
      </c>
      <c r="Q16" s="595">
        <f>'XM.GUI MAIL'!W88</f>
        <v>6.1568000000000005</v>
      </c>
      <c r="R16" s="817" t="s">
        <v>8</v>
      </c>
      <c r="S16" s="818">
        <f>'XM.GUI MAIL'!Z88</f>
        <v>0</v>
      </c>
      <c r="T16" s="1062" t="s">
        <v>10</v>
      </c>
      <c r="U16" s="1060" t="s">
        <v>42</v>
      </c>
      <c r="V16" s="8"/>
      <c r="W16" s="3322">
        <v>6</v>
      </c>
      <c r="X16" s="3310" t="s">
        <v>1153</v>
      </c>
      <c r="Y16" s="3311"/>
      <c r="Z16" s="3311"/>
      <c r="AA16" s="3314"/>
      <c r="AB16" s="2030"/>
      <c r="AC16" s="1811" t="s">
        <v>10</v>
      </c>
      <c r="AD16" s="1798"/>
      <c r="AE16" s="1813" t="s">
        <v>3</v>
      </c>
      <c r="AF16" s="2030"/>
      <c r="AG16" s="1811" t="s">
        <v>10</v>
      </c>
      <c r="AH16" s="1798"/>
      <c r="AI16" s="1813" t="s">
        <v>3</v>
      </c>
      <c r="AJ16" s="2030"/>
      <c r="AK16" s="1811" t="s">
        <v>10</v>
      </c>
      <c r="AL16" s="1798"/>
      <c r="AM16" s="1813" t="s">
        <v>3</v>
      </c>
    </row>
    <row r="17" spans="1:39" ht="36.75" customHeight="1">
      <c r="A17" s="3323"/>
      <c r="B17" s="3312"/>
      <c r="C17" s="3313"/>
      <c r="D17" s="3313"/>
      <c r="E17" s="3315"/>
      <c r="F17" s="77" t="s">
        <v>5</v>
      </c>
      <c r="G17" s="1360" t="str">
        <f>'XM.GUI MAIL'!$E$89</f>
        <v>2.0~2.4</v>
      </c>
      <c r="H17" s="2241" t="str">
        <f>'XM.GUI MAIL'!$F$89</f>
        <v>(2.2±0.1)</v>
      </c>
      <c r="I17" s="2250">
        <f>'XM.GUI MAIL'!I89</f>
        <v>2.2000000000000002</v>
      </c>
      <c r="J17" s="817"/>
      <c r="K17" s="818"/>
      <c r="L17" s="1062"/>
      <c r="M17" s="2248">
        <f>'XM.GUI MAIL'!P89</f>
        <v>2.1800000000000002</v>
      </c>
      <c r="N17" s="817"/>
      <c r="O17" s="818"/>
      <c r="P17" s="1062"/>
      <c r="Q17" s="2248">
        <f>'XM.GUI MAIL'!W89</f>
        <v>2.2000000000000002</v>
      </c>
      <c r="R17" s="817"/>
      <c r="S17" s="818"/>
      <c r="T17" s="1062"/>
      <c r="U17" s="94"/>
      <c r="W17" s="3323"/>
      <c r="X17" s="3312"/>
      <c r="Y17" s="3313"/>
      <c r="Z17" s="3313"/>
      <c r="AA17" s="3315"/>
      <c r="AB17" s="2030"/>
      <c r="AC17" s="1811"/>
      <c r="AD17" s="1798"/>
      <c r="AE17" s="1813" t="s">
        <v>5</v>
      </c>
      <c r="AF17" s="2030"/>
      <c r="AG17" s="1811"/>
      <c r="AH17" s="1798"/>
      <c r="AI17" s="1813" t="s">
        <v>5</v>
      </c>
      <c r="AJ17" s="2030"/>
      <c r="AK17" s="1811"/>
      <c r="AL17" s="1798"/>
      <c r="AM17" s="1813" t="s">
        <v>5</v>
      </c>
    </row>
    <row r="18" spans="1:39" ht="36.75" customHeight="1">
      <c r="A18" s="2478">
        <v>10</v>
      </c>
      <c r="B18" s="3213" t="s">
        <v>1621</v>
      </c>
      <c r="C18" s="3214"/>
      <c r="D18" s="3214"/>
      <c r="E18" s="3215"/>
      <c r="F18" s="77" t="s">
        <v>6</v>
      </c>
      <c r="G18" s="1010" t="str">
        <f>'XM.GUI MAIL'!E90</f>
        <v>40~50</v>
      </c>
      <c r="H18" s="2242" t="str">
        <f>'XM.GUI MAIL'!F90</f>
        <v>(45±5)</v>
      </c>
      <c r="I18" s="1754">
        <f>'XM.GUI MAIL'!I90</f>
        <v>0.41062500000000002</v>
      </c>
      <c r="J18" s="63" t="s">
        <v>8</v>
      </c>
      <c r="K18" s="64">
        <f>'XM.GUI MAIL'!L90</f>
        <v>127.33874999999998</v>
      </c>
      <c r="L18" s="30" t="s">
        <v>10</v>
      </c>
      <c r="M18" s="1754">
        <f>'XM.GUI MAIL'!P90</f>
        <v>0.40606249999999994</v>
      </c>
      <c r="N18" s="63" t="s">
        <v>8</v>
      </c>
      <c r="O18" s="64">
        <f>'XM.GUI MAIL'!S90</f>
        <v>142.09387500000022</v>
      </c>
      <c r="P18" s="30" t="s">
        <v>10</v>
      </c>
      <c r="Q18" s="1754">
        <f>'XM.GUI MAIL'!W90</f>
        <v>0.41062500000000002</v>
      </c>
      <c r="R18" s="63" t="s">
        <v>8</v>
      </c>
      <c r="S18" s="64">
        <f>'XM.GUI MAIL'!Z90</f>
        <v>127.33874999999998</v>
      </c>
      <c r="T18" s="30" t="s">
        <v>10</v>
      </c>
      <c r="U18" s="2474" t="s">
        <v>44</v>
      </c>
      <c r="W18" s="2478">
        <v>9</v>
      </c>
      <c r="X18" s="3213" t="s">
        <v>1621</v>
      </c>
      <c r="Y18" s="3214"/>
      <c r="Z18" s="3214"/>
      <c r="AA18" s="3215"/>
      <c r="AB18" s="2030"/>
      <c r="AC18" s="1811" t="s">
        <v>10</v>
      </c>
      <c r="AD18" s="1798"/>
      <c r="AE18" s="1813" t="s">
        <v>6</v>
      </c>
      <c r="AF18" s="2030"/>
      <c r="AG18" s="1811" t="s">
        <v>10</v>
      </c>
      <c r="AH18" s="1798"/>
      <c r="AI18" s="1813" t="s">
        <v>6</v>
      </c>
      <c r="AJ18" s="2030"/>
      <c r="AK18" s="1811" t="s">
        <v>10</v>
      </c>
      <c r="AL18" s="1798"/>
      <c r="AM18" s="1813" t="s">
        <v>6</v>
      </c>
    </row>
    <row r="19" spans="1:39" ht="36.75" hidden="1" customHeight="1">
      <c r="A19" s="1027">
        <v>7</v>
      </c>
      <c r="B19" s="3200" t="s">
        <v>1615</v>
      </c>
      <c r="C19" s="3201"/>
      <c r="D19" s="3201"/>
      <c r="E19" s="3202"/>
      <c r="F19" s="77" t="s">
        <v>6</v>
      </c>
      <c r="G19" s="1010" t="str">
        <f>'XM.GUI MAIL'!E91</f>
        <v>15~25</v>
      </c>
      <c r="H19" s="2242" t="str">
        <f>'XM.GUI MAIL'!F91</f>
        <v>(18±2)</v>
      </c>
      <c r="I19" s="1743">
        <f>'XM.GUI MAIL'!I91</f>
        <v>0</v>
      </c>
      <c r="J19" s="63" t="s">
        <v>8</v>
      </c>
      <c r="K19" s="64">
        <f>'XM.GUI MAIL'!L91</f>
        <v>0</v>
      </c>
      <c r="L19" s="30" t="s">
        <v>10</v>
      </c>
      <c r="M19" s="1743">
        <f>'XM.GUI MAIL'!P91</f>
        <v>0</v>
      </c>
      <c r="N19" s="63"/>
      <c r="O19" s="64">
        <f>'XM.GUI MAIL'!S91</f>
        <v>0</v>
      </c>
      <c r="P19" s="30" t="s">
        <v>10</v>
      </c>
      <c r="Q19" s="1743">
        <f>'XM.GUI MAIL'!W91</f>
        <v>0</v>
      </c>
      <c r="R19" s="63"/>
      <c r="S19" s="64">
        <f>'XM.GUI MAIL'!Z91</f>
        <v>0</v>
      </c>
      <c r="T19" s="30" t="s">
        <v>10</v>
      </c>
      <c r="U19" s="1025"/>
      <c r="W19" s="1446">
        <v>7</v>
      </c>
      <c r="X19" s="3200" t="s">
        <v>1615</v>
      </c>
      <c r="Y19" s="3201"/>
      <c r="Z19" s="3201"/>
      <c r="AA19" s="3202"/>
      <c r="AB19" s="2030"/>
      <c r="AC19" s="1811"/>
      <c r="AD19" s="1798"/>
      <c r="AE19" s="1813" t="s">
        <v>6</v>
      </c>
      <c r="AF19" s="2030"/>
      <c r="AG19" s="1811"/>
      <c r="AH19" s="1798"/>
      <c r="AI19" s="1813" t="s">
        <v>6</v>
      </c>
      <c r="AJ19" s="2030"/>
      <c r="AK19" s="1811"/>
      <c r="AL19" s="1798"/>
      <c r="AM19" s="1813" t="s">
        <v>6</v>
      </c>
    </row>
    <row r="20" spans="1:39" ht="36.75" customHeight="1">
      <c r="A20" s="2284">
        <v>8</v>
      </c>
      <c r="B20" s="3213" t="s">
        <v>1613</v>
      </c>
      <c r="C20" s="3214"/>
      <c r="D20" s="3214"/>
      <c r="E20" s="3215"/>
      <c r="F20" s="77" t="s">
        <v>6</v>
      </c>
      <c r="G20" s="1010" t="str">
        <f>'XM.GUI MAIL'!E92</f>
        <v>40~50</v>
      </c>
      <c r="H20" s="2242" t="str">
        <f>'XM.GUI MAIL'!F92</f>
        <v>(45±5)</v>
      </c>
      <c r="I20" s="1754">
        <f>'XM.GUI MAIL'!I92</f>
        <v>0.46081249999999996</v>
      </c>
      <c r="J20" s="1410"/>
      <c r="K20" s="1411">
        <f>'XM.GUI MAIL'!L92</f>
        <v>0</v>
      </c>
      <c r="L20" s="30" t="s">
        <v>10</v>
      </c>
      <c r="M20" s="1754">
        <f>'XM.GUI MAIL'!P92</f>
        <v>0.45624999999999999</v>
      </c>
      <c r="N20" s="1410"/>
      <c r="O20" s="1411">
        <f>'XM.GUI MAIL'!S92</f>
        <v>0</v>
      </c>
      <c r="P20" s="30" t="s">
        <v>10</v>
      </c>
      <c r="Q20" s="1754">
        <f>'XM.GUI MAIL'!W92</f>
        <v>0.46993750000000001</v>
      </c>
      <c r="R20" s="63"/>
      <c r="S20" s="64">
        <f>'XM.GUI MAIL'!Z92</f>
        <v>0</v>
      </c>
      <c r="T20" s="30" t="s">
        <v>10</v>
      </c>
      <c r="U20" s="2283"/>
      <c r="W20" s="2284">
        <v>7</v>
      </c>
      <c r="X20" s="3213" t="s">
        <v>1613</v>
      </c>
      <c r="Y20" s="3214"/>
      <c r="Z20" s="3214"/>
      <c r="AA20" s="3215"/>
      <c r="AB20" s="2030"/>
      <c r="AC20" s="1811"/>
      <c r="AD20" s="1798"/>
      <c r="AE20" s="1813" t="s">
        <v>6</v>
      </c>
      <c r="AF20" s="2030"/>
      <c r="AG20" s="1811"/>
      <c r="AH20" s="1798"/>
      <c r="AI20" s="1813" t="s">
        <v>6</v>
      </c>
      <c r="AJ20" s="2030"/>
      <c r="AK20" s="1811"/>
      <c r="AL20" s="1798"/>
      <c r="AM20" s="1813" t="s">
        <v>6</v>
      </c>
    </row>
    <row r="21" spans="1:39" ht="36.75" customHeight="1">
      <c r="A21" s="1027">
        <v>9</v>
      </c>
      <c r="B21" s="3213" t="s">
        <v>1614</v>
      </c>
      <c r="C21" s="3214"/>
      <c r="D21" s="3214"/>
      <c r="E21" s="3215"/>
      <c r="F21" s="77" t="s">
        <v>6</v>
      </c>
      <c r="G21" s="1010" t="str">
        <f>'XM.GUI MAIL'!E93</f>
        <v>40~50</v>
      </c>
      <c r="H21" s="2242" t="str">
        <f>'XM.GUI MAIL'!F93</f>
        <v>(45±5)</v>
      </c>
      <c r="I21" s="1754">
        <f>'XM.GUI MAIL'!I93</f>
        <v>0.46993750000000001</v>
      </c>
      <c r="J21" s="1410" t="s">
        <v>8</v>
      </c>
      <c r="K21" s="1411">
        <f>'XM.GUI MAIL'!L93</f>
        <v>0</v>
      </c>
      <c r="L21" s="1412" t="s">
        <v>10</v>
      </c>
      <c r="M21" s="1754">
        <f>'XM.GUI MAIL'!P93</f>
        <v>0.46993750000000001</v>
      </c>
      <c r="N21" s="1410" t="s">
        <v>8</v>
      </c>
      <c r="O21" s="1411">
        <f>'XM.GUI MAIL'!S93</f>
        <v>0</v>
      </c>
      <c r="P21" s="1412" t="s">
        <v>10</v>
      </c>
      <c r="Q21" s="1754">
        <f>'XM.GUI MAIL'!W93</f>
        <v>0.47906250000000006</v>
      </c>
      <c r="R21" s="63" t="s">
        <v>8</v>
      </c>
      <c r="S21" s="64">
        <f>'XM.GUI MAIL'!Z93</f>
        <v>0</v>
      </c>
      <c r="T21" s="30" t="s">
        <v>10</v>
      </c>
      <c r="U21" s="1011" t="s">
        <v>43</v>
      </c>
      <c r="W21" s="1446">
        <v>8</v>
      </c>
      <c r="X21" s="3316" t="s">
        <v>979</v>
      </c>
      <c r="Y21" s="3317"/>
      <c r="Z21" s="3317"/>
      <c r="AA21" s="3318"/>
      <c r="AB21" s="2030"/>
      <c r="AC21" s="1811" t="s">
        <v>10</v>
      </c>
      <c r="AD21" s="1798"/>
      <c r="AE21" s="1813" t="s">
        <v>6</v>
      </c>
      <c r="AF21" s="2030"/>
      <c r="AG21" s="1811" t="s">
        <v>10</v>
      </c>
      <c r="AH21" s="1798"/>
      <c r="AI21" s="1813" t="s">
        <v>6</v>
      </c>
      <c r="AJ21" s="2030"/>
      <c r="AK21" s="1811" t="s">
        <v>10</v>
      </c>
      <c r="AL21" s="1798"/>
      <c r="AM21" s="1813" t="s">
        <v>6</v>
      </c>
    </row>
    <row r="22" spans="1:39" ht="36.75" customHeight="1">
      <c r="A22" s="1027">
        <v>11</v>
      </c>
      <c r="B22" s="3319" t="s">
        <v>980</v>
      </c>
      <c r="C22" s="3320" t="s">
        <v>980</v>
      </c>
      <c r="D22" s="3320" t="s">
        <v>980</v>
      </c>
      <c r="E22" s="3321" t="s">
        <v>980</v>
      </c>
      <c r="F22" s="77" t="s">
        <v>6</v>
      </c>
      <c r="G22" s="1010" t="str">
        <f>'XM.GUI MAIL'!$E$94</f>
        <v>(1±0.4)=0.6~1.4</v>
      </c>
      <c r="H22" s="2242" t="str">
        <f>'XM.GUI MAIL'!$F$94</f>
        <v>(1±0.4)</v>
      </c>
      <c r="I22" s="2230">
        <f>'XM.GUI MAIL'!I94</f>
        <v>6.6779999999999999E-3</v>
      </c>
      <c r="J22" s="1410" t="s">
        <v>8</v>
      </c>
      <c r="K22" s="1415">
        <f>'XM.GUI MAIL'!L94</f>
        <v>9.5040000000000013</v>
      </c>
      <c r="L22" s="1412" t="s">
        <v>10</v>
      </c>
      <c r="M22" s="2186">
        <f>'XM.GUI MAIL'!P94</f>
        <v>6.5519999999999997E-3</v>
      </c>
      <c r="N22" s="1410" t="s">
        <v>8</v>
      </c>
      <c r="O22" s="1415">
        <f>'XM.GUI MAIL'!S94</f>
        <v>9.8644768211920546</v>
      </c>
      <c r="P22" s="1412" t="s">
        <v>10</v>
      </c>
      <c r="Q22" s="2186">
        <f>'XM.GUI MAIL'!W94</f>
        <v>7.6859999999999993E-3</v>
      </c>
      <c r="R22" s="63" t="s">
        <v>8</v>
      </c>
      <c r="S22" s="66">
        <f>'XM.GUI MAIL'!Z94</f>
        <v>6.6201854304635788</v>
      </c>
      <c r="T22" s="68" t="s">
        <v>10</v>
      </c>
      <c r="U22" s="1025" t="s">
        <v>44</v>
      </c>
      <c r="W22" s="1446">
        <v>10</v>
      </c>
      <c r="X22" s="3319" t="s">
        <v>980</v>
      </c>
      <c r="Y22" s="3320" t="s">
        <v>980</v>
      </c>
      <c r="Z22" s="3320" t="s">
        <v>980</v>
      </c>
      <c r="AA22" s="3321" t="s">
        <v>980</v>
      </c>
      <c r="AB22" s="2030"/>
      <c r="AC22" s="1811" t="s">
        <v>10</v>
      </c>
      <c r="AD22" s="1798"/>
      <c r="AE22" s="1813" t="s">
        <v>6</v>
      </c>
      <c r="AF22" s="2030"/>
      <c r="AG22" s="1811" t="s">
        <v>10</v>
      </c>
      <c r="AH22" s="1798"/>
      <c r="AI22" s="1813" t="s">
        <v>6</v>
      </c>
      <c r="AJ22" s="2030"/>
      <c r="AK22" s="1811" t="s">
        <v>10</v>
      </c>
      <c r="AL22" s="1798"/>
      <c r="AM22" s="1813" t="s">
        <v>6</v>
      </c>
    </row>
    <row r="23" spans="1:39" s="19" customFormat="1" ht="30" customHeight="1">
      <c r="A23" s="3260">
        <v>12</v>
      </c>
      <c r="B23" s="3083" t="str">
        <f>'[6]XM.GUI MAIL'!$C$94</f>
        <v>Nồng độ   Cr2O3 （K) 三價鉻 
FINIDIP 124  (49)</v>
      </c>
      <c r="C23" s="3084"/>
      <c r="D23" s="3084"/>
      <c r="E23" s="3085"/>
      <c r="F23" s="2" t="s">
        <v>3</v>
      </c>
      <c r="G23" s="898" t="str">
        <f>'XM.GUI MAIL'!$E$95</f>
        <v>5~8</v>
      </c>
      <c r="H23" s="2222" t="str">
        <f>'XM.GUI MAIL'!$F$95</f>
        <v>(6±0.5)</v>
      </c>
      <c r="I23" s="2194">
        <f>'XM.GUI MAIL'!I95</f>
        <v>5.76</v>
      </c>
      <c r="J23" s="63" t="s">
        <v>8</v>
      </c>
      <c r="K23" s="66">
        <f>'XM.GUI MAIL'!L95</f>
        <v>8.9860042105263229</v>
      </c>
      <c r="L23" s="68" t="s">
        <v>10</v>
      </c>
      <c r="M23" s="2194">
        <f>'XM.GUI MAIL'!P95</f>
        <v>5.7200000000000006</v>
      </c>
      <c r="N23" s="63" t="s">
        <v>8</v>
      </c>
      <c r="O23" s="66">
        <f>'XM.GUI MAIL'!S95</f>
        <v>10.483671578947346</v>
      </c>
      <c r="P23" s="68" t="s">
        <v>10</v>
      </c>
      <c r="Q23" s="2194">
        <f>'XM.GUI MAIL'!W95</f>
        <v>5.7200000000000006</v>
      </c>
      <c r="R23" s="63" t="s">
        <v>8</v>
      </c>
      <c r="S23" s="66">
        <f>'XM.GUI MAIL'!Z95</f>
        <v>10.483671578947346</v>
      </c>
      <c r="T23" s="68" t="s">
        <v>10</v>
      </c>
      <c r="U23" s="271"/>
      <c r="V23" s="8"/>
      <c r="W23" s="3260">
        <v>11</v>
      </c>
      <c r="X23" s="3083" t="s">
        <v>74</v>
      </c>
      <c r="Y23" s="3084"/>
      <c r="Z23" s="3084"/>
      <c r="AA23" s="3085"/>
      <c r="AB23" s="2030"/>
      <c r="AC23" s="1811" t="s">
        <v>10</v>
      </c>
      <c r="AD23" s="1798"/>
      <c r="AE23" s="1814" t="s">
        <v>3</v>
      </c>
      <c r="AF23" s="2030"/>
      <c r="AG23" s="1811" t="s">
        <v>10</v>
      </c>
      <c r="AH23" s="1798"/>
      <c r="AI23" s="1814" t="s">
        <v>3</v>
      </c>
      <c r="AJ23" s="2030"/>
      <c r="AK23" s="1811" t="s">
        <v>10</v>
      </c>
      <c r="AL23" s="1798"/>
      <c r="AM23" s="1814" t="s">
        <v>3</v>
      </c>
    </row>
    <row r="24" spans="1:39" s="19" customFormat="1" ht="30" customHeight="1">
      <c r="A24" s="3261"/>
      <c r="B24" s="3341"/>
      <c r="C24" s="3291"/>
      <c r="D24" s="3291"/>
      <c r="E24" s="3292"/>
      <c r="F24" s="2" t="s">
        <v>5</v>
      </c>
      <c r="G24" s="898" t="str">
        <f>'XM.GUI MAIL'!$E$96</f>
        <v>1.8~2.4</v>
      </c>
      <c r="H24" s="2222" t="str">
        <f>'XM.GUI MAIL'!$F$96</f>
        <v>(2.1±0.1)</v>
      </c>
      <c r="I24" s="1768">
        <f>'XM.GUI MAIL'!I96</f>
        <v>2.2000000000000002</v>
      </c>
      <c r="J24" s="63" t="s">
        <v>8</v>
      </c>
      <c r="K24" s="66"/>
      <c r="L24" s="68"/>
      <c r="M24" s="1768">
        <f>'XM.GUI MAIL'!P96</f>
        <v>2.1800000000000002</v>
      </c>
      <c r="N24" s="63" t="s">
        <v>8</v>
      </c>
      <c r="O24" s="66"/>
      <c r="P24" s="68"/>
      <c r="Q24" s="1768">
        <f>'XM.GUI MAIL'!W96</f>
        <v>2.12</v>
      </c>
      <c r="R24" s="63" t="s">
        <v>8</v>
      </c>
      <c r="S24" s="66"/>
      <c r="T24" s="68"/>
      <c r="U24" s="271"/>
      <c r="W24" s="3261"/>
      <c r="X24" s="3086"/>
      <c r="Y24" s="3087"/>
      <c r="Z24" s="3087"/>
      <c r="AA24" s="3088"/>
      <c r="AB24" s="2031"/>
      <c r="AC24" s="1811"/>
      <c r="AD24" s="1802"/>
      <c r="AE24" s="1753"/>
      <c r="AF24" s="2031"/>
      <c r="AG24" s="1811"/>
      <c r="AH24" s="1802"/>
      <c r="AI24" s="1753"/>
      <c r="AJ24" s="2031"/>
      <c r="AK24" s="1811"/>
      <c r="AL24" s="1802"/>
      <c r="AM24" s="1753"/>
    </row>
    <row r="25" spans="1:39" s="19" customFormat="1" ht="33.75" hidden="1" customHeight="1">
      <c r="A25" s="1194"/>
      <c r="B25" s="3304" t="s">
        <v>1154</v>
      </c>
      <c r="C25" s="3305"/>
      <c r="D25" s="3305"/>
      <c r="E25" s="3306"/>
      <c r="F25" s="1193" t="s">
        <v>3</v>
      </c>
      <c r="G25" s="1333" t="str">
        <f>'XM.GUI MAIL'!$E$97</f>
        <v>8~16 %</v>
      </c>
      <c r="H25" s="1333"/>
      <c r="I25" s="1184" t="str">
        <f>'XM.GUI MAIL'!I97</f>
        <v/>
      </c>
      <c r="J25" s="1195" t="s">
        <v>8</v>
      </c>
      <c r="K25" s="1196" t="str">
        <f>'XM.GUI MAIL'!L97</f>
        <v/>
      </c>
      <c r="L25" s="1197"/>
      <c r="M25" s="1184" t="str">
        <f>'XM.GUI MAIL'!P97</f>
        <v/>
      </c>
      <c r="N25" s="1195" t="s">
        <v>8</v>
      </c>
      <c r="O25" s="1196" t="str">
        <f>'XM.GUI MAIL'!S97</f>
        <v/>
      </c>
      <c r="P25" s="1197"/>
      <c r="Q25" s="1184" t="str">
        <f>'XM.GUI MAIL'!W97</f>
        <v/>
      </c>
      <c r="R25" s="1195" t="s">
        <v>8</v>
      </c>
      <c r="S25" s="1196" t="str">
        <f>'XM.GUI MAIL'!Z97</f>
        <v/>
      </c>
      <c r="T25" s="1062"/>
      <c r="U25" s="94"/>
      <c r="W25" s="1194"/>
      <c r="X25" s="3304" t="s">
        <v>1154</v>
      </c>
      <c r="Y25" s="3305"/>
      <c r="Z25" s="3305"/>
      <c r="AA25" s="3306"/>
      <c r="AB25" s="1453"/>
      <c r="AC25" s="1453"/>
      <c r="AD25" s="1453"/>
      <c r="AE25" s="1453"/>
      <c r="AF25" s="1453"/>
      <c r="AG25" s="699"/>
      <c r="AH25" s="699"/>
    </row>
    <row r="26" spans="1:39" s="19" customFormat="1" ht="33.75" hidden="1" customHeight="1">
      <c r="A26" s="1194"/>
      <c r="B26" s="3307"/>
      <c r="C26" s="3308"/>
      <c r="D26" s="3308"/>
      <c r="E26" s="3309"/>
      <c r="F26" s="1193" t="s">
        <v>5</v>
      </c>
      <c r="G26" s="1333" t="str">
        <f>'XM.GUI MAIL'!$E$98</f>
        <v>1.8~2.4</v>
      </c>
      <c r="H26" s="1333"/>
      <c r="I26" s="1201">
        <f>'XM.GUI MAIL'!I98</f>
        <v>0</v>
      </c>
      <c r="J26" s="1195" t="s">
        <v>8</v>
      </c>
      <c r="K26" s="1198">
        <f>'XM.GUI MAIL'!L98</f>
        <v>0</v>
      </c>
      <c r="L26" s="1197"/>
      <c r="M26" s="1201">
        <f>'XM.GUI MAIL'!P98</f>
        <v>0</v>
      </c>
      <c r="N26" s="1195" t="s">
        <v>8</v>
      </c>
      <c r="O26" s="1198">
        <f>'XM.GUI MAIL'!S98</f>
        <v>0</v>
      </c>
      <c r="P26" s="1197"/>
      <c r="Q26" s="1201">
        <f>'XM.GUI MAIL'!W98</f>
        <v>0</v>
      </c>
      <c r="R26" s="1195" t="s">
        <v>8</v>
      </c>
      <c r="S26" s="1199"/>
      <c r="T26" s="1062"/>
      <c r="U26" s="94"/>
      <c r="W26" s="1194"/>
      <c r="X26" s="3307"/>
      <c r="Y26" s="3308"/>
      <c r="Z26" s="3308"/>
      <c r="AA26" s="3309"/>
      <c r="AB26" s="1453"/>
      <c r="AC26" s="1453"/>
      <c r="AD26" s="1453"/>
      <c r="AE26" s="1453"/>
      <c r="AF26" s="1453"/>
      <c r="AG26" s="699"/>
      <c r="AH26" s="699"/>
    </row>
    <row r="27" spans="1:39" ht="30" customHeight="1">
      <c r="A27" s="1027"/>
      <c r="B27" s="251"/>
      <c r="C27" s="252"/>
      <c r="D27" s="252"/>
      <c r="E27" s="252"/>
      <c r="F27" s="252"/>
      <c r="G27" s="2171" t="s">
        <v>2</v>
      </c>
      <c r="H27" s="990"/>
      <c r="I27" s="254"/>
      <c r="J27" s="252"/>
      <c r="K27" s="252"/>
      <c r="L27" s="252"/>
      <c r="M27" s="252"/>
      <c r="N27" s="252"/>
      <c r="O27" s="252"/>
      <c r="P27" s="252"/>
      <c r="Q27" s="252"/>
      <c r="R27" s="252"/>
      <c r="S27" s="252"/>
      <c r="T27" s="252"/>
      <c r="U27" s="253"/>
      <c r="W27" s="1446"/>
      <c r="X27" s="251"/>
      <c r="Y27" s="252"/>
      <c r="Z27" s="252"/>
      <c r="AA27" s="252"/>
      <c r="AB27" s="252"/>
      <c r="AC27" s="252"/>
      <c r="AD27" s="252"/>
      <c r="AE27" s="252"/>
      <c r="AF27" s="252"/>
      <c r="AG27" s="166"/>
      <c r="AH27" s="166"/>
    </row>
    <row r="28" spans="1:39" ht="36.75" customHeight="1">
      <c r="A28" s="1027" t="s">
        <v>7</v>
      </c>
      <c r="B28" s="3195" t="s">
        <v>21</v>
      </c>
      <c r="C28" s="3196"/>
      <c r="D28" s="3196"/>
      <c r="E28" s="3197"/>
      <c r="F28" s="75" t="s">
        <v>22</v>
      </c>
      <c r="G28" s="978" t="s">
        <v>1310</v>
      </c>
      <c r="H28" s="2224" t="s">
        <v>1302</v>
      </c>
      <c r="I28" s="3338" t="s">
        <v>24</v>
      </c>
      <c r="J28" s="3339"/>
      <c r="K28" s="3337" t="s">
        <v>25</v>
      </c>
      <c r="L28" s="3339"/>
      <c r="M28" s="3337" t="s">
        <v>24</v>
      </c>
      <c r="N28" s="3339"/>
      <c r="O28" s="3337" t="s">
        <v>25</v>
      </c>
      <c r="P28" s="3339"/>
      <c r="Q28" s="3337" t="s">
        <v>24</v>
      </c>
      <c r="R28" s="3339"/>
      <c r="S28" s="3337" t="s">
        <v>25</v>
      </c>
      <c r="T28" s="3339"/>
      <c r="U28" s="10"/>
      <c r="W28" s="1446" t="s">
        <v>7</v>
      </c>
      <c r="X28" s="3195" t="s">
        <v>21</v>
      </c>
      <c r="Y28" s="3196"/>
      <c r="Z28" s="3196"/>
      <c r="AA28" s="3197"/>
      <c r="AB28" s="3285" t="s">
        <v>1360</v>
      </c>
      <c r="AC28" s="3062"/>
      <c r="AD28" s="3062"/>
      <c r="AE28" s="3063"/>
      <c r="AF28" s="3285" t="s">
        <v>1360</v>
      </c>
      <c r="AG28" s="3062"/>
      <c r="AH28" s="3062"/>
      <c r="AI28" s="3063"/>
      <c r="AJ28" s="3285" t="s">
        <v>1360</v>
      </c>
      <c r="AK28" s="3062"/>
      <c r="AL28" s="3062"/>
      <c r="AM28" s="3063"/>
    </row>
    <row r="29" spans="1:39" ht="32.25" customHeight="1">
      <c r="A29" s="1027">
        <v>1</v>
      </c>
      <c r="B29" s="3195" t="s">
        <v>34</v>
      </c>
      <c r="C29" s="3196"/>
      <c r="D29" s="3196"/>
      <c r="E29" s="3197"/>
      <c r="F29" s="11" t="s">
        <v>26</v>
      </c>
      <c r="G29" s="1012" t="str">
        <f>'XM.GUI MAIL'!$E$105</f>
        <v>50~70</v>
      </c>
      <c r="H29" s="2226" t="str">
        <f>'XM.GUI MAIL'!$F$105</f>
        <v>(60±5)</v>
      </c>
      <c r="I29" s="3113">
        <f>'XM.GUI MAIL'!I105</f>
        <v>60</v>
      </c>
      <c r="J29" s="3112"/>
      <c r="K29" s="3112">
        <f>'XM.GUI MAIL'!L105</f>
        <v>60</v>
      </c>
      <c r="L29" s="3112"/>
      <c r="M29" s="3112">
        <f>'XM.GUI MAIL'!P105</f>
        <v>60</v>
      </c>
      <c r="N29" s="3112"/>
      <c r="O29" s="3112">
        <f>'XM.GUI MAIL'!S105</f>
        <v>60</v>
      </c>
      <c r="P29" s="3112"/>
      <c r="Q29" s="3112">
        <f>'XM.GUI MAIL'!W105</f>
        <v>60</v>
      </c>
      <c r="R29" s="3112"/>
      <c r="S29" s="3112">
        <f>'XM.GUI MAIL'!Z105</f>
        <v>60</v>
      </c>
      <c r="T29" s="3112"/>
      <c r="U29" s="1027"/>
      <c r="W29" s="1446">
        <v>1</v>
      </c>
      <c r="X29" s="3195" t="s">
        <v>34</v>
      </c>
      <c r="Y29" s="3196"/>
      <c r="Z29" s="3196"/>
      <c r="AA29" s="3197"/>
      <c r="AB29" s="1511"/>
      <c r="AC29" s="1794"/>
      <c r="AD29" s="1794"/>
      <c r="AE29" s="1512"/>
      <c r="AF29" s="1511"/>
      <c r="AG29" s="1794"/>
      <c r="AH29" s="1794"/>
      <c r="AI29" s="1512"/>
      <c r="AJ29" s="1511"/>
      <c r="AK29" s="1794"/>
      <c r="AL29" s="1794"/>
      <c r="AM29" s="1512"/>
    </row>
    <row r="30" spans="1:39" ht="32.25" customHeight="1">
      <c r="A30" s="1027">
        <v>2</v>
      </c>
      <c r="B30" s="3195" t="s">
        <v>35</v>
      </c>
      <c r="C30" s="3196"/>
      <c r="D30" s="3196"/>
      <c r="E30" s="3197"/>
      <c r="F30" s="11" t="s">
        <v>26</v>
      </c>
      <c r="G30" s="1012" t="str">
        <f>'XM.GUI MAIL'!$E$106</f>
        <v>50~70</v>
      </c>
      <c r="H30" s="2226" t="str">
        <f>'XM.GUI MAIL'!$F$106</f>
        <v>(60±5)</v>
      </c>
      <c r="I30" s="3113">
        <f>'XM.GUI MAIL'!I106</f>
        <v>61</v>
      </c>
      <c r="J30" s="3112"/>
      <c r="K30" s="3112">
        <f>'XM.GUI MAIL'!L106</f>
        <v>60</v>
      </c>
      <c r="L30" s="3112"/>
      <c r="M30" s="3112">
        <f>'XM.GUI MAIL'!P106</f>
        <v>60</v>
      </c>
      <c r="N30" s="3112"/>
      <c r="O30" s="3112">
        <f>'XM.GUI MAIL'!S106</f>
        <v>60</v>
      </c>
      <c r="P30" s="3112"/>
      <c r="Q30" s="3112">
        <f>'XM.GUI MAIL'!W106</f>
        <v>62</v>
      </c>
      <c r="R30" s="3112"/>
      <c r="S30" s="3112">
        <f>'XM.GUI MAIL'!Z106</f>
        <v>61</v>
      </c>
      <c r="T30" s="3112"/>
      <c r="U30" s="1027"/>
      <c r="W30" s="1446">
        <v>2</v>
      </c>
      <c r="X30" s="3195" t="s">
        <v>35</v>
      </c>
      <c r="Y30" s="3196"/>
      <c r="Z30" s="3196"/>
      <c r="AA30" s="3197"/>
      <c r="AB30" s="1511"/>
      <c r="AC30" s="1794"/>
      <c r="AD30" s="1794"/>
      <c r="AE30" s="1512"/>
      <c r="AF30" s="1511"/>
      <c r="AG30" s="1794"/>
      <c r="AH30" s="1794"/>
      <c r="AI30" s="1512"/>
      <c r="AJ30" s="1511"/>
      <c r="AK30" s="1794"/>
      <c r="AL30" s="1794"/>
      <c r="AM30" s="1512"/>
    </row>
    <row r="31" spans="1:39" ht="32.25" customHeight="1">
      <c r="A31" s="1027">
        <v>3</v>
      </c>
      <c r="B31" s="3195" t="s">
        <v>27</v>
      </c>
      <c r="C31" s="3196"/>
      <c r="D31" s="3196"/>
      <c r="E31" s="3197"/>
      <c r="F31" s="11" t="s">
        <v>26</v>
      </c>
      <c r="G31" s="1012" t="str">
        <f>'XM.GUI MAIL'!$E$107</f>
        <v>50~70</v>
      </c>
      <c r="H31" s="2226" t="str">
        <f>'XM.GUI MAIL'!$F$107</f>
        <v>(60±5)</v>
      </c>
      <c r="I31" s="3113">
        <f>'XM.GUI MAIL'!I107</f>
        <v>60</v>
      </c>
      <c r="J31" s="3112"/>
      <c r="K31" s="3112">
        <f>'XM.GUI MAIL'!L107</f>
        <v>60</v>
      </c>
      <c r="L31" s="3112"/>
      <c r="M31" s="3112">
        <f>'XM.GUI MAIL'!P107</f>
        <v>60</v>
      </c>
      <c r="N31" s="3112"/>
      <c r="O31" s="3112">
        <f>'XM.GUI MAIL'!S107</f>
        <v>61</v>
      </c>
      <c r="P31" s="3112"/>
      <c r="Q31" s="3112">
        <f>'XM.GUI MAIL'!W107</f>
        <v>60</v>
      </c>
      <c r="R31" s="3112"/>
      <c r="S31" s="3112">
        <f>'XM.GUI MAIL'!Z107</f>
        <v>60</v>
      </c>
      <c r="T31" s="3112"/>
      <c r="U31" s="1027"/>
      <c r="W31" s="1446">
        <v>3</v>
      </c>
      <c r="X31" s="3195" t="s">
        <v>27</v>
      </c>
      <c r="Y31" s="3196"/>
      <c r="Z31" s="3196"/>
      <c r="AA31" s="3197"/>
      <c r="AB31" s="1511"/>
      <c r="AC31" s="1794"/>
      <c r="AD31" s="1794"/>
      <c r="AE31" s="1512"/>
      <c r="AF31" s="1511"/>
      <c r="AG31" s="1794"/>
      <c r="AH31" s="1794"/>
      <c r="AI31" s="1512"/>
      <c r="AJ31" s="1511"/>
      <c r="AK31" s="1794"/>
      <c r="AL31" s="1794"/>
      <c r="AM31" s="1512"/>
    </row>
    <row r="32" spans="1:39" ht="32.25" customHeight="1">
      <c r="A32" s="1027">
        <v>4</v>
      </c>
      <c r="B32" s="3195" t="s">
        <v>28</v>
      </c>
      <c r="C32" s="3196"/>
      <c r="D32" s="3196"/>
      <c r="E32" s="3197"/>
      <c r="F32" s="11" t="s">
        <v>26</v>
      </c>
      <c r="G32" s="1012" t="str">
        <f>'XM.GUI MAIL'!$E$108</f>
        <v>50~70</v>
      </c>
      <c r="H32" s="2226" t="str">
        <f>'XM.GUI MAIL'!$F$108</f>
        <v>(60±5)</v>
      </c>
      <c r="I32" s="3113">
        <f>'XM.GUI MAIL'!I108</f>
        <v>61</v>
      </c>
      <c r="J32" s="3112"/>
      <c r="K32" s="3112">
        <f>'XM.GUI MAIL'!L108</f>
        <v>60</v>
      </c>
      <c r="L32" s="3112"/>
      <c r="M32" s="3112">
        <f>'XM.GUI MAIL'!P108</f>
        <v>59</v>
      </c>
      <c r="N32" s="3112"/>
      <c r="O32" s="3112">
        <f>'XM.GUI MAIL'!S108</f>
        <v>60</v>
      </c>
      <c r="P32" s="3112"/>
      <c r="Q32" s="3112">
        <f>'XM.GUI MAIL'!W108</f>
        <v>60</v>
      </c>
      <c r="R32" s="3112"/>
      <c r="S32" s="3112">
        <f>'XM.GUI MAIL'!Z108</f>
        <v>60</v>
      </c>
      <c r="T32" s="3112"/>
      <c r="U32" s="1027"/>
      <c r="W32" s="1446">
        <v>4</v>
      </c>
      <c r="X32" s="3195" t="s">
        <v>28</v>
      </c>
      <c r="Y32" s="3196"/>
      <c r="Z32" s="3196"/>
      <c r="AA32" s="3197"/>
      <c r="AB32" s="1511"/>
      <c r="AC32" s="1794"/>
      <c r="AD32" s="1794"/>
      <c r="AE32" s="1512"/>
      <c r="AF32" s="1511"/>
      <c r="AG32" s="1794"/>
      <c r="AH32" s="1794"/>
      <c r="AI32" s="1512"/>
      <c r="AJ32" s="1511"/>
      <c r="AK32" s="1794"/>
      <c r="AL32" s="1794"/>
      <c r="AM32" s="1512"/>
    </row>
    <row r="33" spans="1:40" ht="32.25" customHeight="1">
      <c r="A33" s="1027">
        <v>5</v>
      </c>
      <c r="B33" s="3195" t="s">
        <v>29</v>
      </c>
      <c r="C33" s="3196"/>
      <c r="D33" s="3196"/>
      <c r="E33" s="3197"/>
      <c r="F33" s="11" t="s">
        <v>26</v>
      </c>
      <c r="G33" s="1012" t="str">
        <f>'XM.GUI MAIL'!$E$109</f>
        <v>22~28</v>
      </c>
      <c r="H33" s="2226" t="str">
        <f>'XM.GUI MAIL'!$F$109</f>
        <v>(25±3)</v>
      </c>
      <c r="I33" s="3199">
        <f>'XM.GUI MAIL'!I109</f>
        <v>26</v>
      </c>
      <c r="J33" s="3166"/>
      <c r="K33" s="3166">
        <f>'XM.GUI MAIL'!L109</f>
        <v>26</v>
      </c>
      <c r="L33" s="3166"/>
      <c r="M33" s="3166">
        <f>'XM.GUI MAIL'!P109</f>
        <v>26</v>
      </c>
      <c r="N33" s="3166"/>
      <c r="O33" s="3166">
        <f>'XM.GUI MAIL'!S109</f>
        <v>26</v>
      </c>
      <c r="P33" s="3166"/>
      <c r="Q33" s="3166">
        <f>'XM.GUI MAIL'!W109</f>
        <v>26</v>
      </c>
      <c r="R33" s="3166"/>
      <c r="S33" s="3166">
        <f>'XM.GUI MAIL'!Z109</f>
        <v>26</v>
      </c>
      <c r="T33" s="3166"/>
      <c r="U33" s="1027"/>
      <c r="W33" s="1446">
        <v>5</v>
      </c>
      <c r="X33" s="3195" t="s">
        <v>29</v>
      </c>
      <c r="Y33" s="3196"/>
      <c r="Z33" s="3196"/>
      <c r="AA33" s="3197"/>
      <c r="AB33" s="1511"/>
      <c r="AC33" s="1794"/>
      <c r="AD33" s="1794"/>
      <c r="AE33" s="1512"/>
      <c r="AF33" s="1511"/>
      <c r="AG33" s="1794"/>
      <c r="AH33" s="1794"/>
      <c r="AI33" s="1512"/>
      <c r="AJ33" s="1511"/>
      <c r="AK33" s="1794"/>
      <c r="AL33" s="1794"/>
      <c r="AM33" s="1512"/>
    </row>
    <row r="34" spans="1:40" ht="32.25" customHeight="1">
      <c r="A34" s="1027">
        <v>6</v>
      </c>
      <c r="B34" s="3195" t="s">
        <v>1276</v>
      </c>
      <c r="C34" s="3196"/>
      <c r="D34" s="3196"/>
      <c r="E34" s="3197"/>
      <c r="F34" s="11" t="s">
        <v>26</v>
      </c>
      <c r="G34" s="1012" t="str">
        <f>'XM.GUI MAIL'!$E$110</f>
        <v>30~40</v>
      </c>
      <c r="H34" s="2226" t="str">
        <f>'XM.GUI MAIL'!$F$110</f>
        <v>(34±3)</v>
      </c>
      <c r="I34" s="3113">
        <f>'XM.GUI MAIL'!I110</f>
        <v>32</v>
      </c>
      <c r="J34" s="3112"/>
      <c r="K34" s="3112">
        <f>'XM.GUI MAIL'!L110</f>
        <v>33</v>
      </c>
      <c r="L34" s="3112"/>
      <c r="M34" s="3112">
        <f>'XM.GUI MAIL'!P110</f>
        <v>33</v>
      </c>
      <c r="N34" s="3112"/>
      <c r="O34" s="3112">
        <f>'XM.GUI MAIL'!S110</f>
        <v>33</v>
      </c>
      <c r="P34" s="3112"/>
      <c r="Q34" s="3112">
        <f>'XM.GUI MAIL'!W110</f>
        <v>33</v>
      </c>
      <c r="R34" s="3112"/>
      <c r="S34" s="3112">
        <f>'XM.GUI MAIL'!Z110</f>
        <v>32</v>
      </c>
      <c r="T34" s="3112"/>
      <c r="U34" s="1027"/>
      <c r="W34" s="1446">
        <v>6</v>
      </c>
      <c r="X34" s="3195" t="s">
        <v>1276</v>
      </c>
      <c r="Y34" s="3196"/>
      <c r="Z34" s="3196"/>
      <c r="AA34" s="3197"/>
      <c r="AB34" s="1511"/>
      <c r="AC34" s="1794"/>
      <c r="AD34" s="1794"/>
      <c r="AE34" s="1512"/>
      <c r="AF34" s="1511"/>
      <c r="AG34" s="1794"/>
      <c r="AH34" s="1794"/>
      <c r="AI34" s="1512"/>
      <c r="AJ34" s="1511"/>
      <c r="AK34" s="1794"/>
      <c r="AL34" s="1794"/>
      <c r="AM34" s="1512"/>
    </row>
    <row r="35" spans="1:40" ht="32.25" customHeight="1">
      <c r="A35" s="1027">
        <v>7</v>
      </c>
      <c r="B35" s="3195" t="s">
        <v>31</v>
      </c>
      <c r="C35" s="3196"/>
      <c r="D35" s="3196"/>
      <c r="E35" s="3197"/>
      <c r="F35" s="11" t="s">
        <v>26</v>
      </c>
      <c r="G35" s="1012" t="str">
        <f>'XM.GUI MAIL'!$E$111</f>
        <v>55~65</v>
      </c>
      <c r="H35" s="2226" t="str">
        <f>'XM.GUI MAIL'!$F$111</f>
        <v>(60±5)</v>
      </c>
      <c r="I35" s="3113">
        <f>'XM.GUI MAIL'!I111</f>
        <v>55</v>
      </c>
      <c r="J35" s="3112"/>
      <c r="K35" s="3112">
        <f>'XM.GUI MAIL'!L111</f>
        <v>56</v>
      </c>
      <c r="L35" s="3112"/>
      <c r="M35" s="3112">
        <f>'XM.GUI MAIL'!P111</f>
        <v>55</v>
      </c>
      <c r="N35" s="3112"/>
      <c r="O35" s="3112">
        <f>'XM.GUI MAIL'!S111</f>
        <v>56</v>
      </c>
      <c r="P35" s="3112"/>
      <c r="Q35" s="3112">
        <f>'XM.GUI MAIL'!W111</f>
        <v>56</v>
      </c>
      <c r="R35" s="3112"/>
      <c r="S35" s="3112">
        <f>'XM.GUI MAIL'!Z111</f>
        <v>55</v>
      </c>
      <c r="T35" s="3112"/>
      <c r="U35" s="1027"/>
      <c r="W35" s="1446">
        <v>7</v>
      </c>
      <c r="X35" s="3195" t="s">
        <v>31</v>
      </c>
      <c r="Y35" s="3196"/>
      <c r="Z35" s="3196"/>
      <c r="AA35" s="3197"/>
      <c r="AB35" s="1511"/>
      <c r="AC35" s="1794"/>
      <c r="AD35" s="1794"/>
      <c r="AE35" s="1512"/>
      <c r="AF35" s="1511"/>
      <c r="AG35" s="1794"/>
      <c r="AH35" s="1794"/>
      <c r="AI35" s="1512"/>
      <c r="AJ35" s="1511"/>
      <c r="AK35" s="1794"/>
      <c r="AL35" s="1794"/>
      <c r="AM35" s="1512"/>
    </row>
    <row r="36" spans="1:40" ht="32.25" customHeight="1">
      <c r="A36" s="1027">
        <v>8</v>
      </c>
      <c r="B36" s="3195" t="s">
        <v>32</v>
      </c>
      <c r="C36" s="3196"/>
      <c r="D36" s="3196"/>
      <c r="E36" s="3197"/>
      <c r="F36" s="11" t="s">
        <v>26</v>
      </c>
      <c r="G36" s="1012" t="str">
        <f>'XM.GUI MAIL'!$E$112</f>
        <v>80~100</v>
      </c>
      <c r="H36" s="2226" t="str">
        <f>'XM.GUI MAIL'!$F$112</f>
        <v>(90±5)</v>
      </c>
      <c r="I36" s="3159" t="s">
        <v>47</v>
      </c>
      <c r="J36" s="3191"/>
      <c r="K36" s="3112">
        <f>'XM.GUI MAIL'!L112</f>
        <v>90</v>
      </c>
      <c r="L36" s="3112"/>
      <c r="M36" s="3191" t="s">
        <v>47</v>
      </c>
      <c r="N36" s="3191"/>
      <c r="O36" s="3112">
        <f>'XM.GUI MAIL'!S112</f>
        <v>91</v>
      </c>
      <c r="P36" s="3112"/>
      <c r="Q36" s="3191" t="s">
        <v>47</v>
      </c>
      <c r="R36" s="3191"/>
      <c r="S36" s="3112">
        <f>'XM.GUI MAIL'!Z112</f>
        <v>90</v>
      </c>
      <c r="T36" s="3112"/>
      <c r="U36" s="1027"/>
      <c r="W36" s="1446">
        <v>8</v>
      </c>
      <c r="X36" s="3195" t="s">
        <v>32</v>
      </c>
      <c r="Y36" s="3196"/>
      <c r="Z36" s="3196"/>
      <c r="AA36" s="3197"/>
      <c r="AB36" s="1511"/>
      <c r="AC36" s="1794"/>
      <c r="AD36" s="1794"/>
      <c r="AE36" s="1512"/>
      <c r="AF36" s="1511"/>
      <c r="AG36" s="1794"/>
      <c r="AH36" s="1794"/>
      <c r="AI36" s="1512"/>
      <c r="AJ36" s="1511"/>
      <c r="AK36" s="1794"/>
      <c r="AL36" s="1794"/>
      <c r="AM36" s="1512"/>
    </row>
    <row r="37" spans="1:40" ht="32.25" customHeight="1">
      <c r="A37" s="2165"/>
      <c r="B37" s="3195" t="s">
        <v>1287</v>
      </c>
      <c r="C37" s="3196"/>
      <c r="D37" s="3196"/>
      <c r="E37" s="3197"/>
      <c r="F37" s="11" t="s">
        <v>26</v>
      </c>
      <c r="G37" s="1012" t="str">
        <f>'XM.GUI MAIL'!$E$113</f>
        <v>40~60</v>
      </c>
      <c r="H37" s="2226" t="str">
        <f>'XM.GUI MAIL'!$F$113</f>
        <v>(50±10)</v>
      </c>
      <c r="I37" s="3190">
        <f>'XM.GUI MAIL'!I113</f>
        <v>58</v>
      </c>
      <c r="J37" s="3188"/>
      <c r="K37" s="3188">
        <f>'XM.GUI MAIL'!L113</f>
        <v>58</v>
      </c>
      <c r="L37" s="3188"/>
      <c r="M37" s="3188">
        <f>'XM.GUI MAIL'!P113</f>
        <v>60</v>
      </c>
      <c r="N37" s="3188"/>
      <c r="O37" s="3188">
        <f>'XM.GUI MAIL'!S113</f>
        <v>59</v>
      </c>
      <c r="P37" s="3188"/>
      <c r="Q37" s="3188">
        <f>'XM.GUI MAIL'!W113</f>
        <v>59</v>
      </c>
      <c r="R37" s="3188"/>
      <c r="S37" s="3188">
        <f>'XM.GUI MAIL'!Z113</f>
        <v>60</v>
      </c>
      <c r="T37" s="3188"/>
      <c r="U37" s="896"/>
      <c r="W37" s="2165"/>
      <c r="X37" s="3195" t="s">
        <v>1287</v>
      </c>
      <c r="Y37" s="3196"/>
      <c r="Z37" s="3196"/>
      <c r="AA37" s="3197"/>
      <c r="AB37" s="2166"/>
      <c r="AC37" s="2167"/>
      <c r="AD37" s="2167"/>
      <c r="AE37" s="1512"/>
      <c r="AF37" s="2463"/>
      <c r="AG37" s="2464"/>
      <c r="AH37" s="2464"/>
      <c r="AI37" s="1512"/>
      <c r="AJ37" s="2463"/>
      <c r="AK37" s="2464"/>
      <c r="AL37" s="2464"/>
      <c r="AM37" s="1512"/>
    </row>
    <row r="38" spans="1:40" ht="32.25" customHeight="1">
      <c r="A38" s="2165"/>
      <c r="B38" s="3192" t="s">
        <v>1290</v>
      </c>
      <c r="C38" s="3193"/>
      <c r="D38" s="3193"/>
      <c r="E38" s="3194"/>
      <c r="F38" s="11" t="s">
        <v>26</v>
      </c>
      <c r="G38" s="1012" t="str">
        <f>'XM.GUI MAIL'!$E$114</f>
        <v>50~70</v>
      </c>
      <c r="H38" s="2226" t="str">
        <f>'XM.GUI MAIL'!$F$114</f>
        <v>(60±10)</v>
      </c>
      <c r="I38" s="3190">
        <f>'XM.GUI MAIL'!I114</f>
        <v>57</v>
      </c>
      <c r="J38" s="3188"/>
      <c r="K38" s="3188">
        <f>'XM.GUI MAIL'!L114</f>
        <v>58</v>
      </c>
      <c r="L38" s="3188"/>
      <c r="M38" s="3188">
        <f>'XM.GUI MAIL'!P114</f>
        <v>58</v>
      </c>
      <c r="N38" s="3188"/>
      <c r="O38" s="3188">
        <f>'XM.GUI MAIL'!S114</f>
        <v>58</v>
      </c>
      <c r="P38" s="3188"/>
      <c r="Q38" s="3188">
        <f>'XM.GUI MAIL'!W114</f>
        <v>59</v>
      </c>
      <c r="R38" s="3188"/>
      <c r="S38" s="3188">
        <f>'XM.GUI MAIL'!Z114</f>
        <v>59</v>
      </c>
      <c r="T38" s="3188"/>
      <c r="U38" s="896"/>
      <c r="W38" s="2165"/>
      <c r="X38" s="2162"/>
      <c r="Y38" s="2163"/>
      <c r="Z38" s="2163"/>
      <c r="AA38" s="2164"/>
      <c r="AB38" s="2166"/>
      <c r="AC38" s="2167"/>
      <c r="AD38" s="2167"/>
      <c r="AE38" s="1512"/>
      <c r="AF38" s="2459"/>
      <c r="AG38" s="2454"/>
      <c r="AH38" s="2454"/>
      <c r="AI38" s="2462"/>
      <c r="AJ38" s="2459"/>
      <c r="AK38" s="2454"/>
      <c r="AL38" s="2454"/>
      <c r="AM38" s="2462"/>
    </row>
    <row r="39" spans="1:40" ht="32.25" hidden="1" customHeight="1">
      <c r="A39" s="1027">
        <v>9</v>
      </c>
      <c r="B39" s="3195" t="s">
        <v>989</v>
      </c>
      <c r="C39" s="3196"/>
      <c r="D39" s="3196"/>
      <c r="E39" s="3197"/>
      <c r="F39" s="11" t="s">
        <v>26</v>
      </c>
      <c r="G39" s="1012" t="str">
        <f>'XM.GUI MAIL'!$E$115</f>
        <v>20~30</v>
      </c>
      <c r="H39" s="2226" t="str">
        <f>'XM.GUI MAIL'!$F$115</f>
        <v>20~30</v>
      </c>
      <c r="I39" s="3187">
        <f>'XM.GUI MAIL'!I115</f>
        <v>0</v>
      </c>
      <c r="J39" s="3022"/>
      <c r="K39" s="3035">
        <f>'XM.GUI MAIL'!L115</f>
        <v>0</v>
      </c>
      <c r="L39" s="3022"/>
      <c r="M39" s="3035">
        <f>'XM.GUI MAIL'!P115</f>
        <v>0</v>
      </c>
      <c r="N39" s="3022"/>
      <c r="O39" s="3035">
        <f>'XM.GUI MAIL'!S115</f>
        <v>0</v>
      </c>
      <c r="P39" s="3022"/>
      <c r="Q39" s="3035">
        <f>'XM.GUI MAIL'!W115</f>
        <v>0</v>
      </c>
      <c r="R39" s="3022"/>
      <c r="S39" s="3035">
        <f>'XM.GUI MAIL'!Z115</f>
        <v>0</v>
      </c>
      <c r="T39" s="3022"/>
      <c r="U39" s="896"/>
      <c r="W39" s="1446">
        <v>9</v>
      </c>
      <c r="X39" s="3195" t="s">
        <v>989</v>
      </c>
      <c r="Y39" s="3196"/>
      <c r="Z39" s="3196"/>
      <c r="AA39" s="3197"/>
      <c r="AB39" s="1511"/>
      <c r="AC39" s="1794"/>
      <c r="AD39" s="1794"/>
      <c r="AE39" s="1512"/>
      <c r="AF39" s="2161"/>
      <c r="AG39" s="2160"/>
      <c r="AH39" s="1810"/>
      <c r="AI39" s="1513"/>
      <c r="AJ39" s="1507"/>
      <c r="AK39" s="1791"/>
      <c r="AL39" s="1791"/>
      <c r="AM39" s="1513"/>
    </row>
    <row r="40" spans="1:40" ht="33.75" hidden="1" customHeight="1">
      <c r="A40" s="1355"/>
      <c r="B40" s="3301" t="s">
        <v>1280</v>
      </c>
      <c r="C40" s="3302"/>
      <c r="D40" s="3302"/>
      <c r="E40" s="3303"/>
      <c r="F40" s="11" t="s">
        <v>26</v>
      </c>
      <c r="G40" s="1012" t="str">
        <f>'XM.GUI MAIL'!$E$116</f>
        <v>35~45</v>
      </c>
      <c r="H40" s="1401"/>
      <c r="I40" s="3046">
        <f>'XM.GUI MAIL'!I116</f>
        <v>0</v>
      </c>
      <c r="J40" s="3047"/>
      <c r="K40" s="3046">
        <f>'XM.GUI MAIL'!L116</f>
        <v>0</v>
      </c>
      <c r="L40" s="3047"/>
      <c r="M40" s="3046">
        <f>'XM.GUI MAIL'!P116</f>
        <v>0</v>
      </c>
      <c r="N40" s="3047"/>
      <c r="O40" s="3046">
        <f>'XM.GUI MAIL'!S116</f>
        <v>0</v>
      </c>
      <c r="P40" s="3047"/>
      <c r="Q40" s="3046">
        <f>'XM.GUI MAIL'!W116</f>
        <v>0</v>
      </c>
      <c r="R40" s="3047"/>
      <c r="S40" s="3046">
        <f>'XM.GUI MAIL'!Z116</f>
        <v>0</v>
      </c>
      <c r="T40" s="3047"/>
      <c r="U40" s="896"/>
      <c r="W40" s="1446"/>
      <c r="X40" s="3301" t="s">
        <v>1279</v>
      </c>
      <c r="Y40" s="3302"/>
      <c r="Z40" s="3302"/>
      <c r="AA40" s="3303"/>
      <c r="AB40" s="1453"/>
      <c r="AC40" s="1453"/>
      <c r="AD40" s="1453"/>
      <c r="AE40" s="1453"/>
      <c r="AF40" s="2170"/>
      <c r="AG40" s="699"/>
      <c r="AH40" s="699"/>
    </row>
    <row r="41" spans="1:40" ht="34.5" customHeight="1">
      <c r="A41" s="1027"/>
      <c r="B41" s="251"/>
      <c r="C41" s="252"/>
      <c r="D41" s="252"/>
      <c r="E41" s="252"/>
      <c r="F41" s="252"/>
      <c r="G41" s="2171" t="s">
        <v>224</v>
      </c>
      <c r="H41" s="990"/>
      <c r="I41" s="254"/>
      <c r="J41" s="252"/>
      <c r="K41" s="252"/>
      <c r="L41" s="252"/>
      <c r="M41" s="252"/>
      <c r="N41" s="252"/>
      <c r="O41" s="252"/>
      <c r="P41" s="252"/>
      <c r="Q41" s="252"/>
      <c r="R41" s="252"/>
      <c r="S41" s="252"/>
      <c r="T41" s="252"/>
      <c r="U41" s="253"/>
      <c r="W41" s="1446"/>
      <c r="X41" s="251"/>
      <c r="Y41" s="252"/>
      <c r="Z41" s="252"/>
      <c r="AA41" s="252"/>
      <c r="AB41" s="252"/>
      <c r="AC41" s="252"/>
      <c r="AD41" s="252"/>
      <c r="AE41" s="252"/>
      <c r="AF41" s="252"/>
      <c r="AG41" s="166"/>
      <c r="AH41" s="166"/>
    </row>
    <row r="42" spans="1:40" ht="44.25" customHeight="1">
      <c r="A42" s="1027" t="s">
        <v>7</v>
      </c>
      <c r="B42" s="3195" t="s">
        <v>33</v>
      </c>
      <c r="C42" s="3196"/>
      <c r="D42" s="3196"/>
      <c r="E42" s="3197"/>
      <c r="F42" s="75" t="s">
        <v>18</v>
      </c>
      <c r="G42" s="978" t="s">
        <v>1310</v>
      </c>
      <c r="H42" s="2224" t="s">
        <v>1302</v>
      </c>
      <c r="I42" s="3338" t="s">
        <v>142</v>
      </c>
      <c r="J42" s="3338"/>
      <c r="K42" s="3338"/>
      <c r="L42" s="3339"/>
      <c r="M42" s="3337" t="s">
        <v>142</v>
      </c>
      <c r="N42" s="3338"/>
      <c r="O42" s="3338"/>
      <c r="P42" s="3339"/>
      <c r="Q42" s="3337" t="s">
        <v>142</v>
      </c>
      <c r="R42" s="3338"/>
      <c r="S42" s="3338"/>
      <c r="T42" s="3339"/>
      <c r="U42" s="10"/>
      <c r="W42" s="1446" t="s">
        <v>7</v>
      </c>
      <c r="X42" s="3195" t="s">
        <v>33</v>
      </c>
      <c r="Y42" s="3196"/>
      <c r="Z42" s="3196"/>
      <c r="AA42" s="3197"/>
      <c r="AB42" s="3285" t="s">
        <v>1360</v>
      </c>
      <c r="AC42" s="3062"/>
      <c r="AD42" s="3062"/>
      <c r="AE42" s="3063"/>
      <c r="AF42" s="3285" t="s">
        <v>1360</v>
      </c>
      <c r="AG42" s="3062"/>
      <c r="AH42" s="3062"/>
      <c r="AI42" s="3063"/>
      <c r="AJ42" s="3285" t="s">
        <v>1360</v>
      </c>
      <c r="AK42" s="3062"/>
      <c r="AL42" s="3062"/>
      <c r="AM42" s="3063"/>
    </row>
    <row r="43" spans="1:40" ht="44.25" customHeight="1">
      <c r="A43" s="1027">
        <v>1</v>
      </c>
      <c r="B43" s="3200" t="s">
        <v>1109</v>
      </c>
      <c r="C43" s="3201"/>
      <c r="D43" s="3201"/>
      <c r="E43" s="3202"/>
      <c r="F43" s="77" t="s">
        <v>48</v>
      </c>
      <c r="G43" s="1360" t="str">
        <f>'XM.GUI MAIL'!$E$120</f>
        <v>30~50 
(40)</v>
      </c>
      <c r="H43" s="2241" t="str">
        <f>'XM.GUI MAIL'!$F$120</f>
        <v>30~50 
(40)</v>
      </c>
      <c r="I43" s="3230">
        <f>'XM.GUI MAIL'!I120</f>
        <v>42</v>
      </c>
      <c r="J43" s="3230"/>
      <c r="K43" s="3230"/>
      <c r="L43" s="3230"/>
      <c r="M43" s="3198">
        <f>'XM.GUI MAIL'!P120</f>
        <v>40</v>
      </c>
      <c r="N43" s="3230"/>
      <c r="O43" s="3230"/>
      <c r="P43" s="3230"/>
      <c r="Q43" s="3198">
        <f>'XM.GUI MAIL'!W120</f>
        <v>42</v>
      </c>
      <c r="R43" s="3230"/>
      <c r="S43" s="3230"/>
      <c r="T43" s="3230"/>
      <c r="U43" s="1027"/>
      <c r="W43" s="1446">
        <v>1</v>
      </c>
      <c r="X43" s="3200" t="s">
        <v>1109</v>
      </c>
      <c r="Y43" s="3201"/>
      <c r="Z43" s="3201"/>
      <c r="AA43" s="3202"/>
      <c r="AB43" s="1511"/>
      <c r="AC43" s="1794"/>
      <c r="AD43" s="1794"/>
      <c r="AE43" s="1512"/>
      <c r="AF43" s="1511"/>
      <c r="AG43" s="1794"/>
      <c r="AH43" s="1794"/>
      <c r="AI43" s="1512"/>
      <c r="AJ43" s="1511"/>
      <c r="AK43" s="1794"/>
      <c r="AL43" s="1794"/>
      <c r="AM43" s="1512"/>
    </row>
    <row r="44" spans="1:40" ht="44.25" customHeight="1">
      <c r="A44" s="1027">
        <v>2</v>
      </c>
      <c r="B44" s="3200" t="s">
        <v>226</v>
      </c>
      <c r="C44" s="3201"/>
      <c r="D44" s="3201"/>
      <c r="E44" s="3202"/>
      <c r="F44" s="77" t="s">
        <v>48</v>
      </c>
      <c r="G44" s="1360" t="str">
        <f>'XM.GUI MAIL'!$E$121</f>
        <v>160~220
(180)</v>
      </c>
      <c r="H44" s="2241" t="str">
        <f>'XM.GUI MAIL'!$F$121</f>
        <v>160~220
(180)</v>
      </c>
      <c r="I44" s="3230">
        <f>'XM.GUI MAIL'!I121</f>
        <v>170</v>
      </c>
      <c r="J44" s="3230"/>
      <c r="K44" s="3230"/>
      <c r="L44" s="3230"/>
      <c r="M44" s="3198">
        <f>'XM.GUI MAIL'!P121</f>
        <v>172</v>
      </c>
      <c r="N44" s="3230"/>
      <c r="O44" s="3230"/>
      <c r="P44" s="3230"/>
      <c r="Q44" s="3198">
        <f>'XM.GUI MAIL'!W121</f>
        <v>172</v>
      </c>
      <c r="R44" s="3230"/>
      <c r="S44" s="3230"/>
      <c r="T44" s="3230"/>
      <c r="U44" s="1027"/>
      <c r="W44" s="1446">
        <v>2</v>
      </c>
      <c r="X44" s="3200" t="s">
        <v>226</v>
      </c>
      <c r="Y44" s="3201"/>
      <c r="Z44" s="3201"/>
      <c r="AA44" s="3202"/>
      <c r="AB44" s="1507"/>
      <c r="AC44" s="1791"/>
      <c r="AD44" s="1791"/>
      <c r="AE44" s="1513"/>
      <c r="AF44" s="1507"/>
      <c r="AG44" s="1791"/>
      <c r="AH44" s="1791"/>
      <c r="AI44" s="1513"/>
      <c r="AJ44" s="1507"/>
      <c r="AK44" s="1791"/>
      <c r="AL44" s="1791"/>
      <c r="AM44" s="1513"/>
    </row>
    <row r="45" spans="1:40">
      <c r="AB45" s="31"/>
      <c r="AC45" s="31"/>
      <c r="AD45" s="31"/>
      <c r="AE45" s="31"/>
      <c r="AF45" s="31"/>
      <c r="AG45" s="31"/>
      <c r="AH45" s="31"/>
      <c r="AI45" s="31"/>
      <c r="AJ45" s="31"/>
      <c r="AK45" s="31"/>
      <c r="AL45" s="31"/>
      <c r="AM45" s="31"/>
      <c r="AN45" s="31"/>
    </row>
    <row r="46" spans="1:40">
      <c r="AB46" s="31"/>
      <c r="AC46" s="31"/>
      <c r="AD46" s="31"/>
      <c r="AE46" s="31"/>
      <c r="AF46" s="31"/>
      <c r="AG46" s="31"/>
      <c r="AH46" s="31"/>
      <c r="AI46" s="31"/>
      <c r="AJ46" s="31"/>
      <c r="AK46" s="31"/>
      <c r="AL46" s="31"/>
      <c r="AM46" s="31"/>
      <c r="AN46" s="31"/>
    </row>
  </sheetData>
  <sheetProtection selectLockedCells="1"/>
  <mergeCells count="217">
    <mergeCell ref="AF4:AI4"/>
    <mergeCell ref="AJ4:AM4"/>
    <mergeCell ref="AB28:AE28"/>
    <mergeCell ref="AF28:AI28"/>
    <mergeCell ref="AJ28:AM28"/>
    <mergeCell ref="AB42:AE42"/>
    <mergeCell ref="AF42:AI42"/>
    <mergeCell ref="AJ42:AM42"/>
    <mergeCell ref="AB5:AC5"/>
    <mergeCell ref="AD5:AE5"/>
    <mergeCell ref="AF5:AG5"/>
    <mergeCell ref="AH5:AI5"/>
    <mergeCell ref="AJ5:AK5"/>
    <mergeCell ref="AL5:AM5"/>
    <mergeCell ref="Q33:R33"/>
    <mergeCell ref="S33:T33"/>
    <mergeCell ref="Q43:T43"/>
    <mergeCell ref="M31:N31"/>
    <mergeCell ref="O31:P31"/>
    <mergeCell ref="I33:J33"/>
    <mergeCell ref="K33:L33"/>
    <mergeCell ref="A23:A24"/>
    <mergeCell ref="B23:E24"/>
    <mergeCell ref="B43:E43"/>
    <mergeCell ref="I43:L43"/>
    <mergeCell ref="I36:J36"/>
    <mergeCell ref="K32:L32"/>
    <mergeCell ref="B37:E37"/>
    <mergeCell ref="I37:J37"/>
    <mergeCell ref="K37:L37"/>
    <mergeCell ref="B38:E38"/>
    <mergeCell ref="I38:J38"/>
    <mergeCell ref="K38:L38"/>
    <mergeCell ref="B40:E40"/>
    <mergeCell ref="I40:J40"/>
    <mergeCell ref="K40:L40"/>
    <mergeCell ref="B25:E26"/>
    <mergeCell ref="B30:E30"/>
    <mergeCell ref="S2:T2"/>
    <mergeCell ref="S3:T3"/>
    <mergeCell ref="O30:P30"/>
    <mergeCell ref="H3:I3"/>
    <mergeCell ref="A12:A13"/>
    <mergeCell ref="B12:C13"/>
    <mergeCell ref="A14:A15"/>
    <mergeCell ref="B44:E44"/>
    <mergeCell ref="I44:L44"/>
    <mergeCell ref="B36:E36"/>
    <mergeCell ref="B42:E42"/>
    <mergeCell ref="I42:L42"/>
    <mergeCell ref="S39:T39"/>
    <mergeCell ref="Q31:R31"/>
    <mergeCell ref="Q44:T44"/>
    <mergeCell ref="M39:N39"/>
    <mergeCell ref="O39:P39"/>
    <mergeCell ref="S31:T31"/>
    <mergeCell ref="Q32:R32"/>
    <mergeCell ref="S32:T32"/>
    <mergeCell ref="M36:N36"/>
    <mergeCell ref="O36:P36"/>
    <mergeCell ref="Q34:R34"/>
    <mergeCell ref="S34:T34"/>
    <mergeCell ref="D6:E6"/>
    <mergeCell ref="D7:E7"/>
    <mergeCell ref="A4:A5"/>
    <mergeCell ref="B4:E5"/>
    <mergeCell ref="F4:F5"/>
    <mergeCell ref="G4:G5"/>
    <mergeCell ref="I4:L4"/>
    <mergeCell ref="R5:T5"/>
    <mergeCell ref="I30:J30"/>
    <mergeCell ref="K30:L30"/>
    <mergeCell ref="B22:E22"/>
    <mergeCell ref="B19:E19"/>
    <mergeCell ref="B21:E21"/>
    <mergeCell ref="A16:A17"/>
    <mergeCell ref="B16:D17"/>
    <mergeCell ref="E16:E17"/>
    <mergeCell ref="B20:E20"/>
    <mergeCell ref="C14:E14"/>
    <mergeCell ref="C15:E15"/>
    <mergeCell ref="M4:P4"/>
    <mergeCell ref="N5:P5"/>
    <mergeCell ref="Q4:T4"/>
    <mergeCell ref="B14:B15"/>
    <mergeCell ref="B18:E18"/>
    <mergeCell ref="M34:N34"/>
    <mergeCell ref="O34:P34"/>
    <mergeCell ref="M33:N33"/>
    <mergeCell ref="O33:P33"/>
    <mergeCell ref="B33:E33"/>
    <mergeCell ref="O32:P32"/>
    <mergeCell ref="Q35:R35"/>
    <mergeCell ref="A1:R1"/>
    <mergeCell ref="A2:R2"/>
    <mergeCell ref="H4:H5"/>
    <mergeCell ref="A10:A11"/>
    <mergeCell ref="B10:C11"/>
    <mergeCell ref="D10:E10"/>
    <mergeCell ref="D11:E11"/>
    <mergeCell ref="D12:E12"/>
    <mergeCell ref="D13:E13"/>
    <mergeCell ref="A8:A9"/>
    <mergeCell ref="B8:C9"/>
    <mergeCell ref="D8:E8"/>
    <mergeCell ref="D9:E9"/>
    <mergeCell ref="J5:L5"/>
    <mergeCell ref="A6:A7"/>
    <mergeCell ref="B6:C7"/>
    <mergeCell ref="I31:J31"/>
    <mergeCell ref="B39:E39"/>
    <mergeCell ref="I39:J39"/>
    <mergeCell ref="K39:L39"/>
    <mergeCell ref="I28:J28"/>
    <mergeCell ref="K28:L28"/>
    <mergeCell ref="I29:J29"/>
    <mergeCell ref="K29:L29"/>
    <mergeCell ref="O29:P29"/>
    <mergeCell ref="U4:U5"/>
    <mergeCell ref="Q30:R30"/>
    <mergeCell ref="S30:T30"/>
    <mergeCell ref="M32:N32"/>
    <mergeCell ref="B35:E35"/>
    <mergeCell ref="I34:J34"/>
    <mergeCell ref="K34:L34"/>
    <mergeCell ref="I35:J35"/>
    <mergeCell ref="B34:E34"/>
    <mergeCell ref="B32:E32"/>
    <mergeCell ref="M35:N35"/>
    <mergeCell ref="O35:P35"/>
    <mergeCell ref="Q28:R28"/>
    <mergeCell ref="S28:T28"/>
    <mergeCell ref="Q29:R29"/>
    <mergeCell ref="S29:T29"/>
    <mergeCell ref="K31:L31"/>
    <mergeCell ref="M28:N28"/>
    <mergeCell ref="O28:P28"/>
    <mergeCell ref="M29:N29"/>
    <mergeCell ref="B28:E28"/>
    <mergeCell ref="B29:E29"/>
    <mergeCell ref="I32:J32"/>
    <mergeCell ref="M30:N30"/>
    <mergeCell ref="B31:E31"/>
    <mergeCell ref="S35:T35"/>
    <mergeCell ref="Q36:R36"/>
    <mergeCell ref="S36:T36"/>
    <mergeCell ref="K36:L36"/>
    <mergeCell ref="M42:P42"/>
    <mergeCell ref="M43:P43"/>
    <mergeCell ref="M44:P44"/>
    <mergeCell ref="Q42:T42"/>
    <mergeCell ref="Q40:R40"/>
    <mergeCell ref="S40:T40"/>
    <mergeCell ref="Q39:R39"/>
    <mergeCell ref="M37:N37"/>
    <mergeCell ref="O37:P37"/>
    <mergeCell ref="Q37:R37"/>
    <mergeCell ref="S37:T37"/>
    <mergeCell ref="M38:N38"/>
    <mergeCell ref="O38:P38"/>
    <mergeCell ref="Q38:R38"/>
    <mergeCell ref="S38:T38"/>
    <mergeCell ref="M40:N40"/>
    <mergeCell ref="O40:P40"/>
    <mergeCell ref="K35:L35"/>
    <mergeCell ref="W1:AA1"/>
    <mergeCell ref="W2:AA2"/>
    <mergeCell ref="W4:W5"/>
    <mergeCell ref="X4:AA5"/>
    <mergeCell ref="W6:W7"/>
    <mergeCell ref="X6:Y7"/>
    <mergeCell ref="Z6:AA6"/>
    <mergeCell ref="Z7:AA7"/>
    <mergeCell ref="W8:W9"/>
    <mergeCell ref="X8:Y9"/>
    <mergeCell ref="Z8:AA8"/>
    <mergeCell ref="Z9:AA9"/>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16:W17"/>
    <mergeCell ref="X20:AA20"/>
    <mergeCell ref="X18:AA18"/>
    <mergeCell ref="AC3:AD3"/>
    <mergeCell ref="X36:AA36"/>
    <mergeCell ref="X39:AA39"/>
    <mergeCell ref="X40:AA40"/>
    <mergeCell ref="X42:AA42"/>
    <mergeCell ref="X43:AA43"/>
    <mergeCell ref="X44:AA44"/>
    <mergeCell ref="X25:AA26"/>
    <mergeCell ref="X28:AA28"/>
    <mergeCell ref="X29:AA29"/>
    <mergeCell ref="X30:AA30"/>
    <mergeCell ref="X31:AA31"/>
    <mergeCell ref="X32:AA32"/>
    <mergeCell ref="X33:AA33"/>
    <mergeCell ref="X34:AA34"/>
    <mergeCell ref="X35:AA35"/>
    <mergeCell ref="X16:Z17"/>
    <mergeCell ref="AA16:AA17"/>
    <mergeCell ref="X19:AA19"/>
    <mergeCell ref="X21:AA21"/>
    <mergeCell ref="X22:AA22"/>
    <mergeCell ref="AB4:AE4"/>
    <mergeCell ref="X37:AA37"/>
  </mergeCells>
  <phoneticPr fontId="7" type="noConversion"/>
  <conditionalFormatting sqref="I26 Q26 M26">
    <cfRule type="expression" dxfId="2562" priority="1746">
      <formula>I26&lt;1.8</formula>
    </cfRule>
    <cfRule type="expression" dxfId="2561" priority="1747">
      <formula>I26&gt;2.4</formula>
    </cfRule>
  </conditionalFormatting>
  <conditionalFormatting sqref="I25 Q25 M25">
    <cfRule type="expression" dxfId="2560" priority="1744">
      <formula>I25&lt;8</formula>
    </cfRule>
    <cfRule type="expression" dxfId="2559" priority="1745">
      <formula>I25&gt;16</formula>
    </cfRule>
  </conditionalFormatting>
  <conditionalFormatting sqref="I43 M43 Q43">
    <cfRule type="expression" dxfId="2558" priority="1686">
      <formula>I43&lt;30</formula>
    </cfRule>
    <cfRule type="expression" dxfId="2557" priority="1687">
      <formula>I43&gt;50</formula>
    </cfRule>
  </conditionalFormatting>
  <conditionalFormatting sqref="I44 M44 Q44">
    <cfRule type="expression" dxfId="2556" priority="1684">
      <formula>I44&lt;160</formula>
    </cfRule>
    <cfRule type="expression" dxfId="2555" priority="1685">
      <formula>I44&gt;220</formula>
    </cfRule>
  </conditionalFormatting>
  <conditionalFormatting sqref="I40 K40 M40 O40 Q40 S40">
    <cfRule type="expression" dxfId="2554" priority="1596">
      <formula>I40&lt;35</formula>
    </cfRule>
    <cfRule type="expression" dxfId="2553" priority="1597">
      <formula>I40&gt;45</formula>
    </cfRule>
  </conditionalFormatting>
  <conditionalFormatting sqref="I14 M14 Q14">
    <cfRule type="expression" dxfId="2552" priority="321" stopIfTrue="1">
      <formula>I14&lt;135</formula>
    </cfRule>
  </conditionalFormatting>
  <conditionalFormatting sqref="I14 M14 Q14">
    <cfRule type="expression" dxfId="2551" priority="320" stopIfTrue="1">
      <formula>I14&gt;145</formula>
    </cfRule>
  </conditionalFormatting>
  <conditionalFormatting sqref="I16 M16 Q16">
    <cfRule type="cellIs" dxfId="2550" priority="315" operator="between">
      <formula>7.01</formula>
      <formula>8</formula>
    </cfRule>
    <cfRule type="expression" dxfId="2549" priority="316">
      <formula>I16&lt;5</formula>
    </cfRule>
    <cfRule type="expression" dxfId="2548" priority="317">
      <formula>I16&gt;8</formula>
    </cfRule>
  </conditionalFormatting>
  <conditionalFormatting sqref="I10 I12 M10 M12 Q10 Q12">
    <cfRule type="cellIs" dxfId="2547" priority="307" operator="between">
      <formula>50</formula>
      <formula>54.99</formula>
    </cfRule>
    <cfRule type="cellIs" dxfId="2546" priority="308" operator="between">
      <formula>65.01</formula>
      <formula>70</formula>
    </cfRule>
    <cfRule type="expression" dxfId="2545" priority="309">
      <formula>I10&lt;50</formula>
    </cfRule>
    <cfRule type="expression" dxfId="2544" priority="310">
      <formula>I10&gt;70</formula>
    </cfRule>
  </conditionalFormatting>
  <conditionalFormatting sqref="I6 I8 M6 M8 Q6 Q8">
    <cfRule type="cellIs" dxfId="2543" priority="303" operator="between">
      <formula>40</formula>
      <formula>44.99</formula>
    </cfRule>
    <cfRule type="cellIs" dxfId="2542" priority="304" operator="between">
      <formula>55.1</formula>
      <formula>60</formula>
    </cfRule>
    <cfRule type="expression" dxfId="2541" priority="305">
      <formula>I6&lt;40</formula>
    </cfRule>
    <cfRule type="expression" dxfId="2540" priority="306">
      <formula>I6&gt;60</formula>
    </cfRule>
  </conditionalFormatting>
  <conditionalFormatting sqref="I22">
    <cfRule type="expression" dxfId="2539" priority="299">
      <formula>I22&lt;0.6%</formula>
    </cfRule>
    <cfRule type="expression" dxfId="2538" priority="300">
      <formula>I22&gt;1.4%</formula>
    </cfRule>
  </conditionalFormatting>
  <conditionalFormatting sqref="M22">
    <cfRule type="expression" dxfId="2537" priority="276">
      <formula>M22&lt;0.6%</formula>
    </cfRule>
    <cfRule type="expression" dxfId="2536" priority="277">
      <formula>M22&gt;1.4%</formula>
    </cfRule>
  </conditionalFormatting>
  <conditionalFormatting sqref="Q22">
    <cfRule type="expression" dxfId="2535" priority="253">
      <formula>Q22&lt;0.6%</formula>
    </cfRule>
    <cfRule type="expression" dxfId="2534" priority="254">
      <formula>Q22&gt;1.4%</formula>
    </cfRule>
  </conditionalFormatting>
  <conditionalFormatting sqref="K33:L33">
    <cfRule type="expression" dxfId="2533" priority="251">
      <formula>K33&lt;22</formula>
    </cfRule>
    <cfRule type="expression" dxfId="2532" priority="252">
      <formula>K33&gt;28</formula>
    </cfRule>
  </conditionalFormatting>
  <conditionalFormatting sqref="K29:L31">
    <cfRule type="cellIs" dxfId="2531" priority="247" operator="between">
      <formula>50</formula>
      <formula>54.9</formula>
    </cfRule>
    <cfRule type="cellIs" dxfId="2530" priority="248" operator="between">
      <formula>65.1</formula>
      <formula>70</formula>
    </cfRule>
    <cfRule type="expression" dxfId="2529" priority="249">
      <formula>K29&lt;50</formula>
    </cfRule>
    <cfRule type="expression" dxfId="2528" priority="250">
      <formula>K29&gt;70</formula>
    </cfRule>
  </conditionalFormatting>
  <conditionalFormatting sqref="K34">
    <cfRule type="cellIs" dxfId="2527" priority="243" operator="between">
      <formula>30</formula>
      <formula>30.9</formula>
    </cfRule>
    <cfRule type="cellIs" dxfId="2526" priority="244" operator="between">
      <formula>37.1</formula>
      <formula>40</formula>
    </cfRule>
    <cfRule type="expression" dxfId="2525" priority="245">
      <formula>K34&lt;30</formula>
    </cfRule>
    <cfRule type="expression" dxfId="2524" priority="246">
      <formula>K34&gt;40</formula>
    </cfRule>
  </conditionalFormatting>
  <conditionalFormatting sqref="K35">
    <cfRule type="expression" dxfId="2523" priority="241">
      <formula>K35&lt;55</formula>
    </cfRule>
    <cfRule type="expression" dxfId="2522" priority="242">
      <formula>K35&gt;65</formula>
    </cfRule>
  </conditionalFormatting>
  <conditionalFormatting sqref="K36">
    <cfRule type="cellIs" dxfId="2521" priority="237" operator="between">
      <formula>80</formula>
      <formula>84.9</formula>
    </cfRule>
    <cfRule type="cellIs" dxfId="2520" priority="238" operator="between">
      <formula>95.1</formula>
      <formula>100</formula>
    </cfRule>
    <cfRule type="expression" dxfId="2519" priority="239">
      <formula>K36&lt;80</formula>
    </cfRule>
    <cfRule type="expression" dxfId="2518" priority="240">
      <formula>K36&gt;100</formula>
    </cfRule>
  </conditionalFormatting>
  <conditionalFormatting sqref="K37">
    <cfRule type="expression" dxfId="2517" priority="235">
      <formula>K37&lt;40</formula>
    </cfRule>
    <cfRule type="expression" dxfId="2516" priority="236">
      <formula>K37&gt;60</formula>
    </cfRule>
  </conditionalFormatting>
  <conditionalFormatting sqref="K38">
    <cfRule type="expression" dxfId="2515" priority="233">
      <formula>K38&lt;50</formula>
    </cfRule>
    <cfRule type="expression" dxfId="2514" priority="234">
      <formula>K38&gt;70</formula>
    </cfRule>
  </conditionalFormatting>
  <conditionalFormatting sqref="K32:L32">
    <cfRule type="cellIs" dxfId="2513" priority="229" operator="between">
      <formula>50</formula>
      <formula>54.9</formula>
    </cfRule>
    <cfRule type="cellIs" dxfId="2512" priority="230" operator="between">
      <formula>65.1</formula>
      <formula>70</formula>
    </cfRule>
    <cfRule type="expression" dxfId="2511" priority="231">
      <formula>K32&lt;50</formula>
    </cfRule>
    <cfRule type="expression" dxfId="2510" priority="232">
      <formula>K32&gt;70</formula>
    </cfRule>
  </conditionalFormatting>
  <conditionalFormatting sqref="I33:J33">
    <cfRule type="expression" dxfId="2509" priority="227">
      <formula>I33&lt;22</formula>
    </cfRule>
    <cfRule type="expression" dxfId="2508" priority="228">
      <formula>I33&gt;28</formula>
    </cfRule>
  </conditionalFormatting>
  <conditionalFormatting sqref="I29:J31">
    <cfRule type="cellIs" dxfId="2507" priority="223" operator="between">
      <formula>50</formula>
      <formula>54.9</formula>
    </cfRule>
    <cfRule type="cellIs" dxfId="2506" priority="224" operator="between">
      <formula>65.1</formula>
      <formula>70</formula>
    </cfRule>
    <cfRule type="expression" dxfId="2505" priority="225">
      <formula>I29&lt;50</formula>
    </cfRule>
    <cfRule type="expression" dxfId="2504" priority="226">
      <formula>I29&gt;70</formula>
    </cfRule>
  </conditionalFormatting>
  <conditionalFormatting sqref="I34">
    <cfRule type="cellIs" dxfId="2503" priority="219" operator="between">
      <formula>30</formula>
      <formula>30.9</formula>
    </cfRule>
    <cfRule type="cellIs" dxfId="2502" priority="220" operator="between">
      <formula>37.1</formula>
      <formula>40</formula>
    </cfRule>
    <cfRule type="expression" dxfId="2501" priority="221">
      <formula>I34&lt;30</formula>
    </cfRule>
    <cfRule type="expression" dxfId="2500" priority="222">
      <formula>I34&gt;40</formula>
    </cfRule>
  </conditionalFormatting>
  <conditionalFormatting sqref="I35">
    <cfRule type="expression" dxfId="2499" priority="217">
      <formula>I35&lt;55</formula>
    </cfRule>
    <cfRule type="expression" dxfId="2498" priority="218">
      <formula>I35&gt;65</formula>
    </cfRule>
  </conditionalFormatting>
  <conditionalFormatting sqref="I37">
    <cfRule type="expression" dxfId="2497" priority="215">
      <formula>I37&lt;40</formula>
    </cfRule>
    <cfRule type="expression" dxfId="2496" priority="216">
      <formula>I37&gt;60</formula>
    </cfRule>
  </conditionalFormatting>
  <conditionalFormatting sqref="I38">
    <cfRule type="expression" dxfId="2495" priority="213">
      <formula>I38&lt;50</formula>
    </cfRule>
    <cfRule type="expression" dxfId="2494" priority="214">
      <formula>I38&gt;70</formula>
    </cfRule>
  </conditionalFormatting>
  <conditionalFormatting sqref="I32:J32">
    <cfRule type="cellIs" dxfId="2493" priority="209" operator="between">
      <formula>50</formula>
      <formula>54.9</formula>
    </cfRule>
    <cfRule type="cellIs" dxfId="2492" priority="210" operator="between">
      <formula>65.1</formula>
      <formula>70</formula>
    </cfRule>
    <cfRule type="expression" dxfId="2491" priority="211">
      <formula>I32&lt;50</formula>
    </cfRule>
    <cfRule type="expression" dxfId="2490" priority="212">
      <formula>I32&gt;70</formula>
    </cfRule>
  </conditionalFormatting>
  <conditionalFormatting sqref="O33:P33">
    <cfRule type="expression" dxfId="2489" priority="207">
      <formula>O33&lt;22</formula>
    </cfRule>
    <cfRule type="expression" dxfId="2488" priority="208">
      <formula>O33&gt;28</formula>
    </cfRule>
  </conditionalFormatting>
  <conditionalFormatting sqref="O29:P31">
    <cfRule type="cellIs" dxfId="2487" priority="203" operator="between">
      <formula>50</formula>
      <formula>54.9</formula>
    </cfRule>
    <cfRule type="cellIs" dxfId="2486" priority="204" operator="between">
      <formula>65.1</formula>
      <formula>70</formula>
    </cfRule>
    <cfRule type="expression" dxfId="2485" priority="205">
      <formula>O29&lt;50</formula>
    </cfRule>
    <cfRule type="expression" dxfId="2484" priority="206">
      <formula>O29&gt;70</formula>
    </cfRule>
  </conditionalFormatting>
  <conditionalFormatting sqref="O34">
    <cfRule type="cellIs" dxfId="2483" priority="199" operator="between">
      <formula>30</formula>
      <formula>30.9</formula>
    </cfRule>
    <cfRule type="cellIs" dxfId="2482" priority="200" operator="between">
      <formula>37.1</formula>
      <formula>40</formula>
    </cfRule>
    <cfRule type="expression" dxfId="2481" priority="201">
      <formula>O34&lt;30</formula>
    </cfRule>
    <cfRule type="expression" dxfId="2480" priority="202">
      <formula>O34&gt;40</formula>
    </cfRule>
  </conditionalFormatting>
  <conditionalFormatting sqref="O35">
    <cfRule type="expression" dxfId="2479" priority="197">
      <formula>O35&lt;55</formula>
    </cfRule>
    <cfRule type="expression" dxfId="2478" priority="198">
      <formula>O35&gt;65</formula>
    </cfRule>
  </conditionalFormatting>
  <conditionalFormatting sqref="O36">
    <cfRule type="cellIs" dxfId="2477" priority="193" operator="between">
      <formula>80</formula>
      <formula>84.9</formula>
    </cfRule>
    <cfRule type="cellIs" dxfId="2476" priority="194" operator="between">
      <formula>95.1</formula>
      <formula>100</formula>
    </cfRule>
    <cfRule type="expression" dxfId="2475" priority="195">
      <formula>O36&lt;80</formula>
    </cfRule>
    <cfRule type="expression" dxfId="2474" priority="196">
      <formula>O36&gt;100</formula>
    </cfRule>
  </conditionalFormatting>
  <conditionalFormatting sqref="O37">
    <cfRule type="expression" dxfId="2473" priority="191">
      <formula>O37&lt;40</formula>
    </cfRule>
    <cfRule type="expression" dxfId="2472" priority="192">
      <formula>O37&gt;60</formula>
    </cfRule>
  </conditionalFormatting>
  <conditionalFormatting sqref="O38">
    <cfRule type="expression" dxfId="2471" priority="189">
      <formula>O38&lt;50</formula>
    </cfRule>
    <cfRule type="expression" dxfId="2470" priority="190">
      <formula>O38&gt;70</formula>
    </cfRule>
  </conditionalFormatting>
  <conditionalFormatting sqref="O32:P32">
    <cfRule type="cellIs" dxfId="2469" priority="185" operator="between">
      <formula>50</formula>
      <formula>54.9</formula>
    </cfRule>
    <cfRule type="cellIs" dxfId="2468" priority="186" operator="between">
      <formula>65.1</formula>
      <formula>70</formula>
    </cfRule>
    <cfRule type="expression" dxfId="2467" priority="187">
      <formula>O32&lt;50</formula>
    </cfRule>
    <cfRule type="expression" dxfId="2466" priority="188">
      <formula>O32&gt;70</formula>
    </cfRule>
  </conditionalFormatting>
  <conditionalFormatting sqref="M33:N33">
    <cfRule type="expression" dxfId="2465" priority="183">
      <formula>M33&lt;22</formula>
    </cfRule>
    <cfRule type="expression" dxfId="2464" priority="184">
      <formula>M33&gt;28</formula>
    </cfRule>
  </conditionalFormatting>
  <conditionalFormatting sqref="M29:N31">
    <cfRule type="cellIs" dxfId="2463" priority="179" operator="between">
      <formula>50</formula>
      <formula>54.9</formula>
    </cfRule>
    <cfRule type="cellIs" dxfId="2462" priority="180" operator="between">
      <formula>65.1</formula>
      <formula>70</formula>
    </cfRule>
    <cfRule type="expression" dxfId="2461" priority="181">
      <formula>M29&lt;50</formula>
    </cfRule>
    <cfRule type="expression" dxfId="2460" priority="182">
      <formula>M29&gt;70</formula>
    </cfRule>
  </conditionalFormatting>
  <conditionalFormatting sqref="M34">
    <cfRule type="cellIs" dxfId="2459" priority="175" operator="between">
      <formula>30</formula>
      <formula>30.9</formula>
    </cfRule>
    <cfRule type="cellIs" dxfId="2458" priority="176" operator="between">
      <formula>37.1</formula>
      <formula>40</formula>
    </cfRule>
    <cfRule type="expression" dxfId="2457" priority="177">
      <formula>M34&lt;30</formula>
    </cfRule>
    <cfRule type="expression" dxfId="2456" priority="178">
      <formula>M34&gt;40</formula>
    </cfRule>
  </conditionalFormatting>
  <conditionalFormatting sqref="M35">
    <cfRule type="expression" dxfId="2455" priority="173">
      <formula>M35&lt;55</formula>
    </cfRule>
    <cfRule type="expression" dxfId="2454" priority="174">
      <formula>M35&gt;65</formula>
    </cfRule>
  </conditionalFormatting>
  <conditionalFormatting sqref="M37">
    <cfRule type="expression" dxfId="2453" priority="171">
      <formula>M37&lt;40</formula>
    </cfRule>
    <cfRule type="expression" dxfId="2452" priority="172">
      <formula>M37&gt;60</formula>
    </cfRule>
  </conditionalFormatting>
  <conditionalFormatting sqref="M38">
    <cfRule type="expression" dxfId="2451" priority="169">
      <formula>M38&lt;50</formula>
    </cfRule>
    <cfRule type="expression" dxfId="2450" priority="170">
      <formula>M38&gt;70</formula>
    </cfRule>
  </conditionalFormatting>
  <conditionalFormatting sqref="M32:N32">
    <cfRule type="cellIs" dxfId="2449" priority="165" operator="between">
      <formula>50</formula>
      <formula>54.9</formula>
    </cfRule>
    <cfRule type="cellIs" dxfId="2448" priority="166" operator="between">
      <formula>65.1</formula>
      <formula>70</formula>
    </cfRule>
    <cfRule type="expression" dxfId="2447" priority="167">
      <formula>M32&lt;50</formula>
    </cfRule>
    <cfRule type="expression" dxfId="2446" priority="168">
      <formula>M32&gt;70</formula>
    </cfRule>
  </conditionalFormatting>
  <conditionalFormatting sqref="S33:T33">
    <cfRule type="expression" dxfId="2445" priority="163">
      <formula>S33&lt;22</formula>
    </cfRule>
    <cfRule type="expression" dxfId="2444" priority="164">
      <formula>S33&gt;28</formula>
    </cfRule>
  </conditionalFormatting>
  <conditionalFormatting sqref="S29:T31">
    <cfRule type="cellIs" dxfId="2443" priority="159" operator="between">
      <formula>50</formula>
      <formula>54.9</formula>
    </cfRule>
    <cfRule type="cellIs" dxfId="2442" priority="160" operator="between">
      <formula>65.1</formula>
      <formula>70</formula>
    </cfRule>
    <cfRule type="expression" dxfId="2441" priority="161">
      <formula>S29&lt;50</formula>
    </cfRule>
    <cfRule type="expression" dxfId="2440" priority="162">
      <formula>S29&gt;70</formula>
    </cfRule>
  </conditionalFormatting>
  <conditionalFormatting sqref="S34">
    <cfRule type="cellIs" dxfId="2439" priority="155" operator="between">
      <formula>30</formula>
      <formula>30.9</formula>
    </cfRule>
    <cfRule type="cellIs" dxfId="2438" priority="156" operator="between">
      <formula>37.1</formula>
      <formula>40</formula>
    </cfRule>
    <cfRule type="expression" dxfId="2437" priority="157">
      <formula>S34&lt;30</formula>
    </cfRule>
    <cfRule type="expression" dxfId="2436" priority="158">
      <formula>S34&gt;40</formula>
    </cfRule>
  </conditionalFormatting>
  <conditionalFormatting sqref="S35">
    <cfRule type="expression" dxfId="2435" priority="153">
      <formula>S35&lt;55</formula>
    </cfRule>
    <cfRule type="expression" dxfId="2434" priority="154">
      <formula>S35&gt;65</formula>
    </cfRule>
  </conditionalFormatting>
  <conditionalFormatting sqref="S36">
    <cfRule type="cellIs" dxfId="2433" priority="149" operator="between">
      <formula>80</formula>
      <formula>84.9</formula>
    </cfRule>
    <cfRule type="cellIs" dxfId="2432" priority="150" operator="between">
      <formula>95.1</formula>
      <formula>100</formula>
    </cfRule>
    <cfRule type="expression" dxfId="2431" priority="151">
      <formula>S36&lt;80</formula>
    </cfRule>
    <cfRule type="expression" dxfId="2430" priority="152">
      <formula>S36&gt;100</formula>
    </cfRule>
  </conditionalFormatting>
  <conditionalFormatting sqref="S37">
    <cfRule type="expression" dxfId="2429" priority="147">
      <formula>S37&lt;40</formula>
    </cfRule>
    <cfRule type="expression" dxfId="2428" priority="148">
      <formula>S37&gt;60</formula>
    </cfRule>
  </conditionalFormatting>
  <conditionalFormatting sqref="S38">
    <cfRule type="expression" dxfId="2427" priority="145">
      <formula>S38&lt;50</formula>
    </cfRule>
    <cfRule type="expression" dxfId="2426" priority="146">
      <formula>S38&gt;70</formula>
    </cfRule>
  </conditionalFormatting>
  <conditionalFormatting sqref="S32:T32">
    <cfRule type="cellIs" dxfId="2425" priority="141" operator="between">
      <formula>50</formula>
      <formula>54.9</formula>
    </cfRule>
    <cfRule type="cellIs" dxfId="2424" priority="142" operator="between">
      <formula>65.1</formula>
      <formula>70</formula>
    </cfRule>
    <cfRule type="expression" dxfId="2423" priority="143">
      <formula>S32&lt;50</formula>
    </cfRule>
    <cfRule type="expression" dxfId="2422" priority="144">
      <formula>S32&gt;70</formula>
    </cfRule>
  </conditionalFormatting>
  <conditionalFormatting sqref="Q33:R33">
    <cfRule type="expression" dxfId="2421" priority="139">
      <formula>Q33&lt;22</formula>
    </cfRule>
    <cfRule type="expression" dxfId="2420" priority="140">
      <formula>Q33&gt;28</formula>
    </cfRule>
  </conditionalFormatting>
  <conditionalFormatting sqref="Q29:R31">
    <cfRule type="cellIs" dxfId="2419" priority="135" operator="between">
      <formula>50</formula>
      <formula>54.9</formula>
    </cfRule>
    <cfRule type="cellIs" dxfId="2418" priority="136" operator="between">
      <formula>65.1</formula>
      <formula>70</formula>
    </cfRule>
    <cfRule type="expression" dxfId="2417" priority="137">
      <formula>Q29&lt;50</formula>
    </cfRule>
    <cfRule type="expression" dxfId="2416" priority="138">
      <formula>Q29&gt;70</formula>
    </cfRule>
  </conditionalFormatting>
  <conditionalFormatting sqref="Q34">
    <cfRule type="cellIs" dxfId="2415" priority="131" operator="between">
      <formula>30</formula>
      <formula>30.9</formula>
    </cfRule>
    <cfRule type="cellIs" dxfId="2414" priority="132" operator="between">
      <formula>37.1</formula>
      <formula>40</formula>
    </cfRule>
    <cfRule type="expression" dxfId="2413" priority="133">
      <formula>Q34&lt;30</formula>
    </cfRule>
    <cfRule type="expression" dxfId="2412" priority="134">
      <formula>Q34&gt;40</formula>
    </cfRule>
  </conditionalFormatting>
  <conditionalFormatting sqref="Q35">
    <cfRule type="expression" dxfId="2411" priority="129">
      <formula>Q35&lt;55</formula>
    </cfRule>
    <cfRule type="expression" dxfId="2410" priority="130">
      <formula>Q35&gt;65</formula>
    </cfRule>
  </conditionalFormatting>
  <conditionalFormatting sqref="Q37">
    <cfRule type="expression" dxfId="2409" priority="127">
      <formula>Q37&lt;40</formula>
    </cfRule>
    <cfRule type="expression" dxfId="2408" priority="128">
      <formula>Q37&gt;60</formula>
    </cfRule>
  </conditionalFormatting>
  <conditionalFormatting sqref="Q38">
    <cfRule type="expression" dxfId="2407" priority="125">
      <formula>Q38&lt;50</formula>
    </cfRule>
    <cfRule type="expression" dxfId="2406" priority="126">
      <formula>Q38&gt;70</formula>
    </cfRule>
  </conditionalFormatting>
  <conditionalFormatting sqref="Q32:R32">
    <cfRule type="cellIs" dxfId="2405" priority="121" operator="between">
      <formula>50</formula>
      <formula>54.9</formula>
    </cfRule>
    <cfRule type="cellIs" dxfId="2404" priority="122" operator="between">
      <formula>65.1</formula>
      <formula>70</formula>
    </cfRule>
    <cfRule type="expression" dxfId="2403" priority="123">
      <formula>Q32&lt;50</formula>
    </cfRule>
    <cfRule type="expression" dxfId="2402" priority="124">
      <formula>Q32&gt;70</formula>
    </cfRule>
  </conditionalFormatting>
  <conditionalFormatting sqref="I39 M39 Q39">
    <cfRule type="expression" dxfId="2401" priority="119">
      <formula>I39&lt;20</formula>
    </cfRule>
    <cfRule type="expression" dxfId="2400" priority="120">
      <formula>I39&gt;30</formula>
    </cfRule>
  </conditionalFormatting>
  <conditionalFormatting sqref="K39 O39 S39">
    <cfRule type="expression" dxfId="2399" priority="117">
      <formula>K39&lt;20</formula>
    </cfRule>
    <cfRule type="expression" dxfId="2398" priority="118">
      <formula>K39&gt;30</formula>
    </cfRule>
  </conditionalFormatting>
  <conditionalFormatting sqref="I15 M15 Q15">
    <cfRule type="cellIs" dxfId="2397" priority="113" operator="between">
      <formula>7</formula>
      <formula>7.499</formula>
    </cfRule>
    <cfRule type="cellIs" dxfId="2396" priority="114" operator="between">
      <formula>9.51</formula>
      <formula>10</formula>
    </cfRule>
    <cfRule type="expression" dxfId="2395" priority="115">
      <formula>I15&lt;7</formula>
    </cfRule>
    <cfRule type="expression" dxfId="2394" priority="116">
      <formula>I15&gt;10</formula>
    </cfRule>
  </conditionalFormatting>
  <conditionalFormatting sqref="I17 M17 Q17">
    <cfRule type="cellIs" dxfId="2393" priority="77" operator="between">
      <formula>2</formula>
      <formula>2.099</formula>
    </cfRule>
    <cfRule type="cellIs" dxfId="2392" priority="78" operator="between">
      <formula>2.31</formula>
      <formula>2.4</formula>
    </cfRule>
    <cfRule type="expression" dxfId="2391" priority="79">
      <formula>I17&lt;2</formula>
    </cfRule>
    <cfRule type="expression" dxfId="2390" priority="80">
      <formula>I17&gt;2.4</formula>
    </cfRule>
  </conditionalFormatting>
  <conditionalFormatting sqref="I23">
    <cfRule type="cellIs" dxfId="2389" priority="65" operator="between">
      <formula>5</formula>
      <formula>5.499</formula>
    </cfRule>
    <cfRule type="cellIs" dxfId="2388" priority="66" operator="between">
      <formula>6.51</formula>
      <formula>8</formula>
    </cfRule>
    <cfRule type="expression" dxfId="2387" priority="67">
      <formula>I23&lt;5</formula>
    </cfRule>
    <cfRule type="expression" dxfId="2386" priority="68">
      <formula>I23&gt;8</formula>
    </cfRule>
  </conditionalFormatting>
  <conditionalFormatting sqref="I24">
    <cfRule type="cellIs" dxfId="2385" priority="61" operator="between">
      <formula>1.8</formula>
      <formula>1.999</formula>
    </cfRule>
    <cfRule type="cellIs" dxfId="2384" priority="62" operator="between">
      <formula>2.21</formula>
      <formula>2.4</formula>
    </cfRule>
    <cfRule type="expression" dxfId="2383" priority="63">
      <formula>I24&lt;1.8</formula>
    </cfRule>
    <cfRule type="expression" dxfId="2382" priority="64">
      <formula>I24&gt;2.4</formula>
    </cfRule>
  </conditionalFormatting>
  <conditionalFormatting sqref="M23">
    <cfRule type="cellIs" dxfId="2381" priority="57" operator="between">
      <formula>5</formula>
      <formula>5.499</formula>
    </cfRule>
    <cfRule type="cellIs" dxfId="2380" priority="58" operator="between">
      <formula>6.51</formula>
      <formula>8</formula>
    </cfRule>
    <cfRule type="expression" dxfId="2379" priority="59">
      <formula>M23&lt;5</formula>
    </cfRule>
    <cfRule type="expression" dxfId="2378" priority="60">
      <formula>M23&gt;8</formula>
    </cfRule>
  </conditionalFormatting>
  <conditionalFormatting sqref="M24">
    <cfRule type="cellIs" dxfId="2377" priority="53" operator="between">
      <formula>1.8</formula>
      <formula>1.999</formula>
    </cfRule>
    <cfRule type="cellIs" dxfId="2376" priority="54" operator="between">
      <formula>2.21</formula>
      <formula>2.4</formula>
    </cfRule>
    <cfRule type="expression" dxfId="2375" priority="55">
      <formula>M24&lt;1.8</formula>
    </cfRule>
    <cfRule type="expression" dxfId="2374" priority="56">
      <formula>M24&gt;2.4</formula>
    </cfRule>
  </conditionalFormatting>
  <conditionalFormatting sqref="Q23">
    <cfRule type="cellIs" dxfId="2373" priority="49" operator="between">
      <formula>5</formula>
      <formula>5.499</formula>
    </cfRule>
    <cfRule type="cellIs" dxfId="2372" priority="50" operator="between">
      <formula>6.51</formula>
      <formula>8</formula>
    </cfRule>
    <cfRule type="expression" dxfId="2371" priority="51">
      <formula>Q23&lt;5</formula>
    </cfRule>
    <cfRule type="expression" dxfId="2370" priority="52">
      <formula>Q23&gt;8</formula>
    </cfRule>
  </conditionalFormatting>
  <conditionalFormatting sqref="Q24">
    <cfRule type="cellIs" dxfId="2369" priority="45" operator="between">
      <formula>1.8</formula>
      <formula>1.999</formula>
    </cfRule>
    <cfRule type="cellIs" dxfId="2368" priority="46" operator="between">
      <formula>2.21</formula>
      <formula>2.4</formula>
    </cfRule>
    <cfRule type="expression" dxfId="2367" priority="47">
      <formula>Q24&lt;1.8</formula>
    </cfRule>
    <cfRule type="expression" dxfId="2366" priority="48">
      <formula>Q24&gt;2.4</formula>
    </cfRule>
  </conditionalFormatting>
  <conditionalFormatting sqref="I18">
    <cfRule type="expression" dxfId="2365" priority="35">
      <formula>I18&lt;40%</formula>
    </cfRule>
    <cfRule type="expression" dxfId="2364" priority="36">
      <formula>I18&gt;50%</formula>
    </cfRule>
  </conditionalFormatting>
  <conditionalFormatting sqref="I20:I21">
    <cfRule type="expression" dxfId="2363" priority="33">
      <formula>I20&lt;40%</formula>
    </cfRule>
    <cfRule type="expression" dxfId="2362" priority="34">
      <formula>I20&gt;50%</formula>
    </cfRule>
  </conditionalFormatting>
  <conditionalFormatting sqref="M18">
    <cfRule type="expression" dxfId="2361" priority="29">
      <formula>M18&lt;40%</formula>
    </cfRule>
    <cfRule type="expression" dxfId="2360" priority="30">
      <formula>M18&gt;50%</formula>
    </cfRule>
  </conditionalFormatting>
  <conditionalFormatting sqref="M20:M21">
    <cfRule type="expression" dxfId="2359" priority="27">
      <formula>M20&lt;40%</formula>
    </cfRule>
    <cfRule type="expression" dxfId="2358" priority="28">
      <formula>M20&gt;50%</formula>
    </cfRule>
  </conditionalFormatting>
  <conditionalFormatting sqref="Q18">
    <cfRule type="expression" dxfId="2357" priority="23">
      <formula>Q18&lt;40%</formula>
    </cfRule>
    <cfRule type="expression" dxfId="2356" priority="24">
      <formula>Q18&gt;50%</formula>
    </cfRule>
  </conditionalFormatting>
  <conditionalFormatting sqref="Q20:Q21">
    <cfRule type="expression" dxfId="2355" priority="21">
      <formula>Q20&lt;40%</formula>
    </cfRule>
    <cfRule type="expression" dxfId="2354" priority="22">
      <formula>Q20&gt;50%</formula>
    </cfRule>
  </conditionalFormatting>
  <conditionalFormatting sqref="I19">
    <cfRule type="cellIs" dxfId="2353" priority="9" operator="between">
      <formula>15%</formula>
      <formula>15.99%</formula>
    </cfRule>
    <cfRule type="cellIs" dxfId="2352" priority="10" operator="between">
      <formula>20.01%</formula>
      <formula>25%</formula>
    </cfRule>
    <cfRule type="expression" dxfId="2351" priority="11">
      <formula>I19&lt;15%</formula>
    </cfRule>
    <cfRule type="expression" dxfId="2350" priority="12">
      <formula>I19&gt;25%</formula>
    </cfRule>
  </conditionalFormatting>
  <conditionalFormatting sqref="M19">
    <cfRule type="cellIs" dxfId="2349" priority="5" operator="between">
      <formula>15%</formula>
      <formula>15.99%</formula>
    </cfRule>
    <cfRule type="cellIs" dxfId="2348" priority="6" operator="between">
      <formula>20.01%</formula>
      <formula>25%</formula>
    </cfRule>
    <cfRule type="expression" dxfId="2347" priority="7">
      <formula>M19&lt;15%</formula>
    </cfRule>
    <cfRule type="expression" dxfId="2346" priority="8">
      <formula>M19&gt;25%</formula>
    </cfRule>
  </conditionalFormatting>
  <conditionalFormatting sqref="Q19">
    <cfRule type="cellIs" dxfId="2345" priority="1" operator="between">
      <formula>15%</formula>
      <formula>15.99%</formula>
    </cfRule>
    <cfRule type="cellIs" dxfId="2344" priority="2" operator="between">
      <formula>20.01%</formula>
      <formula>25%</formula>
    </cfRule>
    <cfRule type="expression" dxfId="2343" priority="3">
      <formula>Q19&lt;15%</formula>
    </cfRule>
    <cfRule type="expression" dxfId="2342" priority="4">
      <formula>Q19&gt;25%</formula>
    </cfRule>
  </conditionalFormatting>
  <pageMargins left="0.39"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0.xml><?xml version="1.0" encoding="utf-8"?>
<worksheet xmlns="http://schemas.openxmlformats.org/spreadsheetml/2006/main" xmlns:r="http://schemas.openxmlformats.org/officeDocument/2006/relationships">
  <sheetPr>
    <tabColor rgb="FFFF0000"/>
  </sheetPr>
  <dimension ref="A1:T22"/>
  <sheetViews>
    <sheetView view="pageBreakPreview" topLeftCell="A7" zoomScale="70" zoomScaleNormal="70" zoomScaleSheetLayoutView="70" workbookViewId="0">
      <selection activeCell="S21" sqref="S21"/>
    </sheetView>
  </sheetViews>
  <sheetFormatPr defaultRowHeight="16.5"/>
  <cols>
    <col min="1" max="1" width="5" style="8" customWidth="1"/>
    <col min="2" max="2" width="13.875" style="31" customWidth="1"/>
    <col min="3" max="3" width="4.375" style="31" customWidth="1"/>
    <col min="4" max="4" width="6.75" style="31" customWidth="1"/>
    <col min="5" max="5" width="2.75" style="31" customWidth="1"/>
    <col min="6" max="6" width="6.625" style="7" customWidth="1"/>
    <col min="7" max="7" width="9" style="7" customWidth="1"/>
    <col min="8" max="8" width="9.75" style="7" customWidth="1"/>
    <col min="9" max="9" width="10.625" style="7" customWidth="1"/>
    <col min="10" max="10" width="3.125" style="7" customWidth="1"/>
    <col min="11" max="11" width="7.875" style="7" customWidth="1"/>
    <col min="12" max="12" width="4" style="7" customWidth="1"/>
    <col min="13" max="13" width="9" style="7" customWidth="1"/>
    <col min="14" max="14" width="4.875" style="7" customWidth="1"/>
    <col min="15" max="15" width="7.25" style="7" customWidth="1"/>
    <col min="16" max="16" width="5.625" style="7" customWidth="1"/>
    <col min="17" max="17" width="9.25" style="7" customWidth="1"/>
    <col min="18" max="18" width="4.25" style="7" customWidth="1"/>
    <col min="19" max="19" width="7.375" style="7" customWidth="1"/>
    <col min="20" max="20" width="6.125" style="7" customWidth="1"/>
    <col min="21" max="21" width="14.375" style="8" customWidth="1"/>
    <col min="22" max="16384" width="9" style="8"/>
  </cols>
  <sheetData>
    <row r="1" spans="1:20" ht="28.5" customHeight="1">
      <c r="A1" s="3329" t="s">
        <v>135</v>
      </c>
      <c r="B1" s="3329"/>
      <c r="C1" s="3329"/>
      <c r="D1" s="3329"/>
      <c r="E1" s="3329"/>
      <c r="F1" s="3329"/>
      <c r="G1" s="3329"/>
      <c r="H1" s="3329"/>
      <c r="I1" s="3329"/>
      <c r="J1" s="3329"/>
      <c r="K1" s="3329"/>
      <c r="L1" s="3329"/>
      <c r="M1" s="3329"/>
      <c r="N1" s="3329"/>
      <c r="O1" s="3329"/>
      <c r="P1" s="3329"/>
      <c r="Q1" s="1642" t="s">
        <v>1509</v>
      </c>
      <c r="R1" s="1642"/>
      <c r="S1" s="1642"/>
      <c r="T1" s="1642"/>
    </row>
    <row r="2" spans="1:20" ht="51.75" customHeight="1">
      <c r="A2" s="3343" t="s">
        <v>1453</v>
      </c>
      <c r="B2" s="3343"/>
      <c r="C2" s="3343"/>
      <c r="D2" s="3343"/>
      <c r="E2" s="3343"/>
      <c r="F2" s="3343"/>
      <c r="G2" s="3343"/>
      <c r="H2" s="3343"/>
      <c r="I2" s="3343"/>
      <c r="J2" s="3343"/>
      <c r="K2" s="3343"/>
      <c r="L2" s="3343"/>
      <c r="M2" s="3343"/>
      <c r="N2" s="3343"/>
      <c r="O2" s="3343"/>
      <c r="P2" s="3344"/>
      <c r="Q2" s="3278" t="s">
        <v>88</v>
      </c>
      <c r="R2" s="3278"/>
      <c r="S2" s="3359" t="s">
        <v>1356</v>
      </c>
      <c r="T2" s="3359"/>
    </row>
    <row r="3" spans="1:20" ht="34.5" customHeight="1">
      <c r="A3" s="9"/>
      <c r="B3" s="3345" t="s">
        <v>1510</v>
      </c>
      <c r="C3" s="3345"/>
      <c r="D3" s="2714" t="s">
        <v>1623</v>
      </c>
      <c r="E3" s="1819"/>
      <c r="F3" s="1821" t="str">
        <f>MENU!$AC$9</f>
        <v>Thứ 4,</v>
      </c>
      <c r="G3" s="1822" t="str">
        <f>MENU!$AD$9</f>
        <v>2024/05/22</v>
      </c>
      <c r="H3" s="1822"/>
      <c r="I3" s="28"/>
      <c r="J3" s="28"/>
      <c r="K3" s="28"/>
      <c r="L3" s="29"/>
      <c r="M3" s="29"/>
      <c r="N3" s="29"/>
      <c r="O3" s="29"/>
      <c r="P3" s="29"/>
      <c r="Q3" s="3358" t="str">
        <f>'3.XT-C TT'!S3</f>
        <v>Mi</v>
      </c>
      <c r="R3" s="3358"/>
      <c r="S3" s="3360"/>
      <c r="T3" s="3360"/>
    </row>
    <row r="4" spans="1:20" s="62" customFormat="1" ht="41.25" customHeight="1">
      <c r="A4" s="3331" t="s">
        <v>7</v>
      </c>
      <c r="B4" s="3083" t="s">
        <v>76</v>
      </c>
      <c r="C4" s="3084"/>
      <c r="D4" s="3084"/>
      <c r="E4" s="3085"/>
      <c r="F4" s="3278" t="s">
        <v>124</v>
      </c>
      <c r="G4" s="3059" t="s">
        <v>1310</v>
      </c>
      <c r="H4" s="3109" t="s">
        <v>1302</v>
      </c>
      <c r="I4" s="3061">
        <v>0.30208333333333331</v>
      </c>
      <c r="J4" s="3062"/>
      <c r="K4" s="3062"/>
      <c r="L4" s="3063"/>
      <c r="M4" s="3117">
        <v>0.46875</v>
      </c>
      <c r="N4" s="3062"/>
      <c r="O4" s="3062"/>
      <c r="P4" s="3063"/>
      <c r="Q4" s="3361">
        <v>0.63541666666666663</v>
      </c>
      <c r="R4" s="3278"/>
      <c r="S4" s="3278"/>
      <c r="T4" s="3278"/>
    </row>
    <row r="5" spans="1:20" s="62" customFormat="1" ht="35.25" customHeight="1">
      <c r="A5" s="3331"/>
      <c r="B5" s="3086"/>
      <c r="C5" s="3087"/>
      <c r="D5" s="3087"/>
      <c r="E5" s="3088"/>
      <c r="F5" s="3279"/>
      <c r="G5" s="3060"/>
      <c r="H5" s="3110"/>
      <c r="I5" s="2240" t="s">
        <v>129</v>
      </c>
      <c r="J5" s="3067" t="s">
        <v>1</v>
      </c>
      <c r="K5" s="3068"/>
      <c r="L5" s="3069"/>
      <c r="M5" s="53" t="s">
        <v>129</v>
      </c>
      <c r="N5" s="3067" t="s">
        <v>1</v>
      </c>
      <c r="O5" s="3068"/>
      <c r="P5" s="3069"/>
      <c r="Q5" s="1683" t="s">
        <v>129</v>
      </c>
      <c r="R5" s="3279" t="s">
        <v>1</v>
      </c>
      <c r="S5" s="3279"/>
      <c r="T5" s="3279"/>
    </row>
    <row r="6" spans="1:20" ht="36.75" customHeight="1">
      <c r="A6" s="1461">
        <v>1</v>
      </c>
      <c r="B6" s="3348" t="s">
        <v>122</v>
      </c>
      <c r="C6" s="3349"/>
      <c r="D6" s="3346" t="s">
        <v>116</v>
      </c>
      <c r="E6" s="3347"/>
      <c r="F6" s="543" t="s">
        <v>4</v>
      </c>
      <c r="G6" s="898" t="str">
        <f>'XM.GUI MAIL'!$E$99</f>
        <v>5~6</v>
      </c>
      <c r="H6" s="2222" t="str">
        <f>'XM.GUI MAIL'!$F$99</f>
        <v>(5.5± 0.5)</v>
      </c>
      <c r="I6" s="2231">
        <f>'XM.GUI MAIL'!I99</f>
        <v>5.915</v>
      </c>
      <c r="J6" s="817" t="s">
        <v>8</v>
      </c>
      <c r="K6" s="818">
        <f>'XM.GUI MAIL'!L99</f>
        <v>0</v>
      </c>
      <c r="L6" s="67" t="s">
        <v>9</v>
      </c>
      <c r="M6" s="54">
        <f>'XM.GUI MAIL'!P99</f>
        <v>5.915</v>
      </c>
      <c r="N6" s="817" t="s">
        <v>8</v>
      </c>
      <c r="O6" s="818">
        <f>'XM.GUI MAIL'!S99</f>
        <v>0</v>
      </c>
      <c r="P6" s="67" t="s">
        <v>9</v>
      </c>
      <c r="Q6" s="54">
        <f>'XM.GUI MAIL'!W99</f>
        <v>5.9799999999999995</v>
      </c>
      <c r="R6" s="2067" t="s">
        <v>8</v>
      </c>
      <c r="S6" s="2068">
        <f>'XM.GUI MAIL'!Z99</f>
        <v>0</v>
      </c>
      <c r="T6" s="65" t="s">
        <v>9</v>
      </c>
    </row>
    <row r="7" spans="1:20" ht="36.75" customHeight="1">
      <c r="A7" s="1461">
        <v>2</v>
      </c>
      <c r="B7" s="3350"/>
      <c r="C7" s="3351"/>
      <c r="D7" s="3346" t="s">
        <v>100</v>
      </c>
      <c r="E7" s="3347"/>
      <c r="F7" s="543" t="s">
        <v>4</v>
      </c>
      <c r="G7" s="898" t="str">
        <f>'XM.GUI MAIL'!$E$100</f>
        <v>130~140</v>
      </c>
      <c r="H7" s="2222" t="str">
        <f>'XM.GUI MAIL'!$F$100</f>
        <v>(135 ± 5)</v>
      </c>
      <c r="I7" s="2231">
        <f>'XM.GUI MAIL'!I100</f>
        <v>136</v>
      </c>
      <c r="J7" s="817" t="s">
        <v>8</v>
      </c>
      <c r="K7" s="818">
        <f>'XM.GUI MAIL'!L100</f>
        <v>0</v>
      </c>
      <c r="L7" s="67" t="s">
        <v>986</v>
      </c>
      <c r="M7" s="54">
        <f>'XM.GUI MAIL'!P100</f>
        <v>133.6</v>
      </c>
      <c r="N7" s="817" t="s">
        <v>8</v>
      </c>
      <c r="O7" s="818">
        <f>'XM.GUI MAIL'!S100</f>
        <v>11.200000000000045</v>
      </c>
      <c r="P7" s="67" t="s">
        <v>986</v>
      </c>
      <c r="Q7" s="54">
        <f>'XM.GUI MAIL'!W100</f>
        <v>132.80000000000001</v>
      </c>
      <c r="R7" s="2067" t="s">
        <v>8</v>
      </c>
      <c r="S7" s="2068">
        <f>'XM.GUI MAIL'!Z100</f>
        <v>17.599999999999909</v>
      </c>
      <c r="T7" s="65" t="s">
        <v>990</v>
      </c>
    </row>
    <row r="8" spans="1:20" ht="36.75" customHeight="1">
      <c r="A8" s="1461">
        <v>3</v>
      </c>
      <c r="B8" s="3337" t="s">
        <v>123</v>
      </c>
      <c r="C8" s="3339"/>
      <c r="D8" s="3346" t="s">
        <v>5</v>
      </c>
      <c r="E8" s="3347"/>
      <c r="F8" s="77" t="s">
        <v>5</v>
      </c>
      <c r="G8" s="898" t="str">
        <f>'XM.GUI MAIL'!$E$101</f>
        <v>3.0-4.5</v>
      </c>
      <c r="H8" s="2222" t="str">
        <f>'XM.GUI MAIL'!$F$101</f>
        <v>(4.3±0.2)</v>
      </c>
      <c r="I8" s="2245">
        <f>'XM.GUI MAIL'!I101</f>
        <v>3.64</v>
      </c>
      <c r="J8" s="817" t="s">
        <v>8</v>
      </c>
      <c r="K8" s="818"/>
      <c r="L8" s="67"/>
      <c r="M8" s="60">
        <f>'XM.GUI MAIL'!P101</f>
        <v>3.58</v>
      </c>
      <c r="N8" s="817" t="s">
        <v>8</v>
      </c>
      <c r="O8" s="818"/>
      <c r="P8" s="67"/>
      <c r="Q8" s="60">
        <f>'XM.GUI MAIL'!W101</f>
        <v>3.65</v>
      </c>
      <c r="R8" s="2067" t="s">
        <v>8</v>
      </c>
      <c r="S8" s="2068"/>
      <c r="T8" s="65"/>
    </row>
    <row r="9" spans="1:20" ht="41.25" customHeight="1">
      <c r="A9" s="1450"/>
      <c r="B9" s="3352" t="s">
        <v>2</v>
      </c>
      <c r="C9" s="3352"/>
      <c r="D9" s="3352"/>
      <c r="E9" s="3352"/>
      <c r="F9" s="3352"/>
      <c r="G9" s="3352"/>
      <c r="H9" s="3352"/>
      <c r="I9" s="3352"/>
      <c r="J9" s="3352"/>
      <c r="K9" s="3352"/>
      <c r="L9" s="3352"/>
      <c r="M9" s="3352"/>
      <c r="N9" s="3352"/>
      <c r="O9" s="3352"/>
      <c r="P9" s="3352"/>
      <c r="Q9" s="3352"/>
      <c r="R9" s="3352"/>
      <c r="S9" s="3352"/>
      <c r="T9" s="3352"/>
    </row>
    <row r="10" spans="1:20" ht="62.25" customHeight="1">
      <c r="A10" s="1450" t="s">
        <v>7</v>
      </c>
      <c r="B10" s="3195" t="s">
        <v>21</v>
      </c>
      <c r="C10" s="3196"/>
      <c r="D10" s="3196"/>
      <c r="E10" s="3197"/>
      <c r="F10" s="75" t="s">
        <v>22</v>
      </c>
      <c r="G10" s="978" t="s">
        <v>1310</v>
      </c>
      <c r="H10" s="2224" t="s">
        <v>1302</v>
      </c>
      <c r="I10" s="3338" t="s">
        <v>24</v>
      </c>
      <c r="J10" s="3339"/>
      <c r="K10" s="3337" t="s">
        <v>25</v>
      </c>
      <c r="L10" s="3339"/>
      <c r="M10" s="3337" t="s">
        <v>24</v>
      </c>
      <c r="N10" s="3339"/>
      <c r="O10" s="3337" t="s">
        <v>25</v>
      </c>
      <c r="P10" s="3339"/>
      <c r="Q10" s="3342" t="s">
        <v>24</v>
      </c>
      <c r="R10" s="3342"/>
      <c r="S10" s="3342" t="s">
        <v>25</v>
      </c>
      <c r="T10" s="3342"/>
    </row>
    <row r="11" spans="1:20" ht="43.5" customHeight="1">
      <c r="A11" s="77">
        <v>4</v>
      </c>
      <c r="B11" s="3337" t="s">
        <v>117</v>
      </c>
      <c r="C11" s="3338"/>
      <c r="D11" s="3338"/>
      <c r="E11" s="3339"/>
      <c r="F11" s="11" t="s">
        <v>26</v>
      </c>
      <c r="G11" s="1012" t="str">
        <f>'XM.GUI MAIL'!$E$117</f>
        <v>24~28</v>
      </c>
      <c r="H11" s="2226" t="str">
        <f>'XM.GUI MAIL'!$F$117</f>
        <v>(26±2)</v>
      </c>
      <c r="I11" s="3230">
        <f>'XM.GUI MAIL'!I117</f>
        <v>25</v>
      </c>
      <c r="J11" s="3230"/>
      <c r="K11" s="3198">
        <f>'XM.GUI MAIL'!L117</f>
        <v>24</v>
      </c>
      <c r="L11" s="3230"/>
      <c r="M11" s="3198">
        <f>'XM.GUI MAIL'!P117</f>
        <v>26</v>
      </c>
      <c r="N11" s="3230"/>
      <c r="O11" s="3198">
        <f>'XM.GUI MAIL'!S117</f>
        <v>25</v>
      </c>
      <c r="P11" s="3230"/>
      <c r="Q11" s="3166">
        <f>'XM.GUI MAIL'!W117</f>
        <v>26</v>
      </c>
      <c r="R11" s="3166"/>
      <c r="S11" s="3166">
        <f>'XM.GUI MAIL'!Z117</f>
        <v>26</v>
      </c>
      <c r="T11" s="3166"/>
    </row>
    <row r="12" spans="1:20" ht="43.5" customHeight="1">
      <c r="A12" s="77">
        <v>5</v>
      </c>
      <c r="B12" s="3337" t="s">
        <v>1291</v>
      </c>
      <c r="C12" s="3338"/>
      <c r="D12" s="3338"/>
      <c r="E12" s="3339"/>
      <c r="F12" s="11" t="s">
        <v>26</v>
      </c>
      <c r="G12" s="1012" t="str">
        <f>'XM.GUI MAIL'!$E$118</f>
        <v>20~30</v>
      </c>
      <c r="H12" s="2226" t="str">
        <f>'XM.GUI MAIL'!$F$118</f>
        <v>(25±5)</v>
      </c>
      <c r="I12" s="3230">
        <f>'XM.GUI MAIL'!I118</f>
        <v>29</v>
      </c>
      <c r="J12" s="3230"/>
      <c r="K12" s="3198">
        <f>'XM.GUI MAIL'!L118</f>
        <v>29</v>
      </c>
      <c r="L12" s="3230"/>
      <c r="M12" s="3198">
        <f>'XM.GUI MAIL'!P118</f>
        <v>30</v>
      </c>
      <c r="N12" s="3230"/>
      <c r="O12" s="3198">
        <f>'XM.GUI MAIL'!S118</f>
        <v>29</v>
      </c>
      <c r="P12" s="3230"/>
      <c r="Q12" s="3166">
        <f>'XM.GUI MAIL'!W118</f>
        <v>29</v>
      </c>
      <c r="R12" s="3166"/>
      <c r="S12" s="3166">
        <f>'XM.GUI MAIL'!Z118</f>
        <v>30</v>
      </c>
      <c r="T12" s="3166"/>
    </row>
    <row r="13" spans="1:20" ht="21" customHeight="1">
      <c r="B13" s="8"/>
      <c r="C13" s="8"/>
      <c r="D13" s="8"/>
      <c r="E13" s="8"/>
      <c r="F13" s="8"/>
      <c r="G13" s="8"/>
      <c r="H13" s="8"/>
      <c r="I13" s="8"/>
      <c r="J13" s="8"/>
      <c r="K13" s="8"/>
      <c r="L13" s="8"/>
      <c r="M13" s="8"/>
      <c r="N13" s="8"/>
      <c r="O13" s="8"/>
      <c r="P13" s="8"/>
      <c r="Q13" s="8"/>
      <c r="R13" s="8"/>
      <c r="S13" s="8"/>
      <c r="T13" s="8"/>
    </row>
    <row r="14" spans="1:20" ht="18" customHeight="1">
      <c r="A14" s="2071"/>
      <c r="B14" s="2072"/>
      <c r="C14" s="2072"/>
      <c r="D14" s="2072"/>
      <c r="E14" s="2072"/>
      <c r="F14" s="2073"/>
      <c r="G14" s="2074"/>
      <c r="H14" s="2074"/>
      <c r="I14" s="2072"/>
      <c r="J14" s="2072"/>
      <c r="K14" s="2072"/>
      <c r="L14" s="2072"/>
      <c r="M14" s="2072"/>
      <c r="N14" s="2072"/>
      <c r="O14" s="2072"/>
      <c r="P14" s="2072"/>
      <c r="Q14" s="2072"/>
      <c r="R14" s="2072"/>
      <c r="S14" s="2072"/>
      <c r="T14" s="2072"/>
    </row>
    <row r="15" spans="1:20" ht="39" customHeight="1">
      <c r="A15" s="3357" t="s">
        <v>1452</v>
      </c>
      <c r="B15" s="3357"/>
      <c r="C15" s="3357"/>
      <c r="D15" s="3357"/>
      <c r="E15" s="3357"/>
      <c r="F15" s="3357"/>
      <c r="G15" s="3357"/>
      <c r="H15" s="3357"/>
      <c r="I15" s="3357"/>
      <c r="J15" s="3357"/>
      <c r="K15" s="3357"/>
      <c r="L15" s="3357"/>
      <c r="M15" s="3357"/>
      <c r="N15" s="3357"/>
      <c r="O15" s="3357"/>
      <c r="P15" s="3357"/>
      <c r="Q15" s="3357"/>
      <c r="R15" s="3357"/>
      <c r="S15" s="3357"/>
      <c r="T15" s="3357"/>
    </row>
    <row r="16" spans="1:20" ht="24" customHeight="1"/>
    <row r="17" spans="1:20" ht="36" customHeight="1">
      <c r="A17" s="3331" t="s">
        <v>7</v>
      </c>
      <c r="B17" s="3083" t="s">
        <v>76</v>
      </c>
      <c r="C17" s="3084"/>
      <c r="D17" s="3084"/>
      <c r="E17" s="3085"/>
      <c r="F17" s="3278" t="s">
        <v>124</v>
      </c>
      <c r="G17" s="3059" t="s">
        <v>1310</v>
      </c>
      <c r="H17" s="3353" t="s">
        <v>1302</v>
      </c>
      <c r="I17" s="3117">
        <v>0.30208333333333331</v>
      </c>
      <c r="J17" s="3062"/>
      <c r="K17" s="3062"/>
      <c r="L17" s="3063"/>
      <c r="M17" s="3117">
        <v>0.46875</v>
      </c>
      <c r="N17" s="3062"/>
      <c r="O17" s="3062"/>
      <c r="P17" s="3063"/>
      <c r="Q17" s="3117">
        <v>0.63541666666666663</v>
      </c>
      <c r="R17" s="3062"/>
      <c r="S17" s="3062"/>
      <c r="T17" s="3063"/>
    </row>
    <row r="18" spans="1:20" ht="60.75" customHeight="1">
      <c r="A18" s="3331"/>
      <c r="B18" s="3086"/>
      <c r="C18" s="3087"/>
      <c r="D18" s="3087"/>
      <c r="E18" s="3088"/>
      <c r="F18" s="3279"/>
      <c r="G18" s="3060"/>
      <c r="H18" s="3354"/>
      <c r="I18" s="3362" t="s">
        <v>1448</v>
      </c>
      <c r="J18" s="3363"/>
      <c r="K18" s="3355" t="s">
        <v>1370</v>
      </c>
      <c r="L18" s="3356"/>
      <c r="M18" s="3362" t="s">
        <v>1448</v>
      </c>
      <c r="N18" s="3363"/>
      <c r="O18" s="3355" t="s">
        <v>1370</v>
      </c>
      <c r="P18" s="3356"/>
      <c r="Q18" s="3362" t="s">
        <v>1448</v>
      </c>
      <c r="R18" s="3363"/>
      <c r="S18" s="3355" t="s">
        <v>1370</v>
      </c>
      <c r="T18" s="3356"/>
    </row>
    <row r="19" spans="1:20" ht="54" customHeight="1">
      <c r="A19" s="1461">
        <v>1</v>
      </c>
      <c r="B19" s="3348" t="s">
        <v>122</v>
      </c>
      <c r="C19" s="3349"/>
      <c r="D19" s="3346" t="s">
        <v>116</v>
      </c>
      <c r="E19" s="3347"/>
      <c r="F19" s="543" t="s">
        <v>4</v>
      </c>
      <c r="G19" s="898" t="str">
        <f>'XM.GUI MAIL'!$E$99</f>
        <v>5~6</v>
      </c>
      <c r="H19" s="898" t="str">
        <f>'XM.GUI MAIL'!$F$99</f>
        <v>(5.5± 0.5)</v>
      </c>
      <c r="I19" s="2032"/>
      <c r="J19" s="1815" t="s">
        <v>9</v>
      </c>
      <c r="K19" s="1816"/>
      <c r="L19" s="1817" t="s">
        <v>4</v>
      </c>
      <c r="M19" s="2032"/>
      <c r="N19" s="1815" t="s">
        <v>9</v>
      </c>
      <c r="O19" s="1816"/>
      <c r="P19" s="1817" t="s">
        <v>4</v>
      </c>
      <c r="Q19" s="2032"/>
      <c r="R19" s="1815" t="s">
        <v>9</v>
      </c>
      <c r="S19" s="1816"/>
      <c r="T19" s="1817" t="s">
        <v>4</v>
      </c>
    </row>
    <row r="20" spans="1:20" ht="54" customHeight="1">
      <c r="A20" s="1461">
        <v>2</v>
      </c>
      <c r="B20" s="3350"/>
      <c r="C20" s="3351"/>
      <c r="D20" s="3346" t="s">
        <v>100</v>
      </c>
      <c r="E20" s="3347"/>
      <c r="F20" s="543" t="s">
        <v>4</v>
      </c>
      <c r="G20" s="898" t="str">
        <f>'XM.GUI MAIL'!$E$100</f>
        <v>130~140</v>
      </c>
      <c r="H20" s="898" t="str">
        <f>'XM.GUI MAIL'!$F$100</f>
        <v>(135 ± 5)</v>
      </c>
      <c r="I20" s="2032"/>
      <c r="J20" s="1815" t="s">
        <v>986</v>
      </c>
      <c r="K20" s="1816"/>
      <c r="L20" s="1817" t="s">
        <v>4</v>
      </c>
      <c r="M20" s="2032"/>
      <c r="N20" s="1815" t="s">
        <v>986</v>
      </c>
      <c r="O20" s="1816"/>
      <c r="P20" s="1817" t="s">
        <v>4</v>
      </c>
      <c r="Q20" s="2032">
        <v>25</v>
      </c>
      <c r="R20" s="1815" t="s">
        <v>986</v>
      </c>
      <c r="S20" s="1816">
        <v>133.4</v>
      </c>
      <c r="T20" s="1817" t="s">
        <v>4</v>
      </c>
    </row>
    <row r="21" spans="1:20" ht="54" customHeight="1">
      <c r="A21" s="1461">
        <v>3</v>
      </c>
      <c r="B21" s="3337" t="s">
        <v>123</v>
      </c>
      <c r="C21" s="3339"/>
      <c r="D21" s="3346" t="s">
        <v>5</v>
      </c>
      <c r="E21" s="3347"/>
      <c r="F21" s="77" t="s">
        <v>5</v>
      </c>
      <c r="G21" s="898" t="str">
        <f>'XM.GUI MAIL'!$E$101</f>
        <v>3.0-4.5</v>
      </c>
      <c r="H21" s="898" t="str">
        <f>'XM.GUI MAIL'!$F$101</f>
        <v>(4.3±0.2)</v>
      </c>
      <c r="I21" s="2032"/>
      <c r="J21" s="1816"/>
      <c r="K21" s="1816"/>
      <c r="L21" s="1813" t="s">
        <v>5</v>
      </c>
      <c r="M21" s="2032"/>
      <c r="N21" s="1816"/>
      <c r="O21" s="1816"/>
      <c r="P21" s="1813" t="s">
        <v>5</v>
      </c>
      <c r="Q21" s="2032"/>
      <c r="R21" s="1816"/>
      <c r="S21" s="1816"/>
      <c r="T21" s="1813" t="s">
        <v>5</v>
      </c>
    </row>
    <row r="22" spans="1:20" ht="36" customHeight="1"/>
  </sheetData>
  <sheetProtection selectLockedCells="1"/>
  <mergeCells count="65">
    <mergeCell ref="S11:T11"/>
    <mergeCell ref="I12:J12"/>
    <mergeCell ref="K12:L12"/>
    <mergeCell ref="Q12:R12"/>
    <mergeCell ref="S12:T12"/>
    <mergeCell ref="M12:N12"/>
    <mergeCell ref="O12:P12"/>
    <mergeCell ref="A17:A18"/>
    <mergeCell ref="B17:E18"/>
    <mergeCell ref="M17:P17"/>
    <mergeCell ref="M18:N18"/>
    <mergeCell ref="O18:P18"/>
    <mergeCell ref="A4:A5"/>
    <mergeCell ref="B4:E5"/>
    <mergeCell ref="F4:F5"/>
    <mergeCell ref="G4:G5"/>
    <mergeCell ref="H4:H5"/>
    <mergeCell ref="B21:C21"/>
    <mergeCell ref="D21:E21"/>
    <mergeCell ref="Q2:R2"/>
    <mergeCell ref="Q3:R3"/>
    <mergeCell ref="S2:T2"/>
    <mergeCell ref="S3:T3"/>
    <mergeCell ref="Q4:T4"/>
    <mergeCell ref="J5:L5"/>
    <mergeCell ref="R5:T5"/>
    <mergeCell ref="I4:L4"/>
    <mergeCell ref="M4:P4"/>
    <mergeCell ref="N5:P5"/>
    <mergeCell ref="I18:J18"/>
    <mergeCell ref="S18:T18"/>
    <mergeCell ref="Q18:R18"/>
    <mergeCell ref="Q17:T17"/>
    <mergeCell ref="B10:E10"/>
    <mergeCell ref="I10:J10"/>
    <mergeCell ref="K10:L10"/>
    <mergeCell ref="B19:C20"/>
    <mergeCell ref="D19:E19"/>
    <mergeCell ref="D20:E20"/>
    <mergeCell ref="F17:F18"/>
    <mergeCell ref="G17:G18"/>
    <mergeCell ref="H17:H18"/>
    <mergeCell ref="B12:E12"/>
    <mergeCell ref="B11:E11"/>
    <mergeCell ref="I11:J11"/>
    <mergeCell ref="K11:L11"/>
    <mergeCell ref="K18:L18"/>
    <mergeCell ref="I17:L17"/>
    <mergeCell ref="A15:T15"/>
    <mergeCell ref="Q10:R10"/>
    <mergeCell ref="S10:T10"/>
    <mergeCell ref="Q11:R11"/>
    <mergeCell ref="A1:P1"/>
    <mergeCell ref="A2:P2"/>
    <mergeCell ref="M10:N10"/>
    <mergeCell ref="O10:P10"/>
    <mergeCell ref="M11:N11"/>
    <mergeCell ref="O11:P11"/>
    <mergeCell ref="B3:C3"/>
    <mergeCell ref="D7:E7"/>
    <mergeCell ref="B8:C8"/>
    <mergeCell ref="D8:E8"/>
    <mergeCell ref="B6:C7"/>
    <mergeCell ref="D6:E6"/>
    <mergeCell ref="B9:T9"/>
  </mergeCells>
  <conditionalFormatting sqref="I6 Q6 M6">
    <cfRule type="expression" dxfId="2341" priority="169" stopIfTrue="1">
      <formula>I6&gt;6</formula>
    </cfRule>
    <cfRule type="expression" dxfId="2340" priority="170" stopIfTrue="1">
      <formula>I6&lt;5</formula>
    </cfRule>
  </conditionalFormatting>
  <conditionalFormatting sqref="I7 Q7 M7">
    <cfRule type="expression" dxfId="2339" priority="165" stopIfTrue="1">
      <formula>I7&gt;140</formula>
    </cfRule>
    <cfRule type="expression" dxfId="2338" priority="166" stopIfTrue="1">
      <formula>I7&lt;130</formula>
    </cfRule>
  </conditionalFormatting>
  <conditionalFormatting sqref="I8 Q8 M8">
    <cfRule type="expression" dxfId="2337" priority="161" stopIfTrue="1">
      <formula>I8&gt;4.5</formula>
    </cfRule>
    <cfRule type="expression" dxfId="2336" priority="162" stopIfTrue="1">
      <formula>I8&lt;3</formula>
    </cfRule>
  </conditionalFormatting>
  <conditionalFormatting sqref="K12 Q12 S12 I12">
    <cfRule type="expression" dxfId="2335" priority="139">
      <formula>I12&lt;20</formula>
    </cfRule>
    <cfRule type="expression" dxfId="2334" priority="140">
      <formula>I12&gt;30</formula>
    </cfRule>
  </conditionalFormatting>
  <conditionalFormatting sqref="I11 K11 Q11 S11 M11 O11">
    <cfRule type="expression" dxfId="2333" priority="137">
      <formula>I11&lt;24</formula>
    </cfRule>
    <cfRule type="expression" dxfId="2332" priority="138">
      <formula>I11&gt;28</formula>
    </cfRule>
  </conditionalFormatting>
  <conditionalFormatting sqref="O12 M12">
    <cfRule type="expression" dxfId="2331" priority="5">
      <formula>M12&lt;20</formula>
    </cfRule>
    <cfRule type="expression" dxfId="2330" priority="6">
      <formula>M12&gt;30</formula>
    </cfRule>
  </conditionalFormatting>
  <pageMargins left="0.62" right="0" top="0.46"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1.xml><?xml version="1.0" encoding="utf-8"?>
<worksheet xmlns="http://schemas.openxmlformats.org/spreadsheetml/2006/main" xmlns:r="http://schemas.openxmlformats.org/officeDocument/2006/relationships">
  <sheetPr>
    <tabColor theme="5" tint="0.39997558519241921"/>
  </sheetPr>
  <dimension ref="A1:AM39"/>
  <sheetViews>
    <sheetView zoomScale="55" zoomScaleNormal="55" zoomScaleSheetLayoutView="40" workbookViewId="0">
      <selection activeCell="AH29" sqref="AH29"/>
    </sheetView>
  </sheetViews>
  <sheetFormatPr defaultRowHeight="15"/>
  <cols>
    <col min="1" max="1" width="3.75" style="15" customWidth="1"/>
    <col min="2" max="2" width="6" style="15" customWidth="1"/>
    <col min="3" max="3" width="5.125" style="15" customWidth="1"/>
    <col min="4" max="4" width="13" style="15" customWidth="1"/>
    <col min="5" max="5" width="3" style="15" customWidth="1"/>
    <col min="6" max="6" width="9.625" style="15" customWidth="1"/>
    <col min="7" max="7" width="13.375" style="15" customWidth="1"/>
    <col min="8" max="8" width="12.25" style="15" customWidth="1"/>
    <col min="9" max="9" width="8.5" style="15" customWidth="1"/>
    <col min="10" max="10" width="3.37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8.5" style="15" customWidth="1"/>
    <col min="18" max="18" width="4" style="15" customWidth="1"/>
    <col min="19" max="19" width="8.5" style="15" customWidth="1"/>
    <col min="20" max="20" width="5.625" style="15" customWidth="1"/>
    <col min="21" max="21" width="13.5" style="15" customWidth="1"/>
    <col min="22" max="22" width="3.75" style="15" customWidth="1"/>
    <col min="23" max="23" width="5.125" style="15" customWidth="1"/>
    <col min="24" max="24" width="9" style="15"/>
    <col min="25" max="25" width="3.75" style="15" customWidth="1"/>
    <col min="26" max="26" width="9" style="15"/>
    <col min="27" max="27" width="9.875" style="15" customWidth="1"/>
    <col min="28" max="28" width="12.75" style="15" customWidth="1"/>
    <col min="29" max="29" width="6.25" style="15" customWidth="1"/>
    <col min="30" max="30" width="11.25" style="15" customWidth="1"/>
    <col min="31" max="31" width="6.625" style="15" customWidth="1"/>
    <col min="32" max="32" width="13" style="15" customWidth="1"/>
    <col min="33" max="33" width="6" style="15" customWidth="1"/>
    <col min="34" max="34" width="11.625" style="15" customWidth="1"/>
    <col min="35" max="35" width="6.875" style="15" customWidth="1"/>
    <col min="36" max="36" width="12.75" style="15" customWidth="1"/>
    <col min="37" max="37" width="6.625" style="15" customWidth="1"/>
    <col min="38" max="38" width="9.375" style="15" customWidth="1"/>
    <col min="39" max="39" width="6.375" style="15" customWidth="1"/>
    <col min="40" max="16384" width="9" style="15"/>
  </cols>
  <sheetData>
    <row r="1" spans="1:39" ht="25.5" customHeight="1">
      <c r="A1" s="3271" t="s">
        <v>567</v>
      </c>
      <c r="B1" s="3271"/>
      <c r="C1" s="3271"/>
      <c r="D1" s="3271"/>
      <c r="E1" s="3271"/>
      <c r="F1" s="3271"/>
      <c r="G1" s="3271"/>
      <c r="H1" s="3271"/>
      <c r="I1" s="3271"/>
      <c r="J1" s="3271"/>
      <c r="K1" s="3271"/>
      <c r="L1" s="3271"/>
      <c r="M1" s="3271"/>
      <c r="N1" s="3271"/>
      <c r="O1" s="3271"/>
      <c r="P1" s="3271"/>
      <c r="Q1" s="3271"/>
      <c r="R1" s="3271"/>
      <c r="S1" s="1015"/>
      <c r="T1" s="1015"/>
      <c r="U1" s="1455" t="s">
        <v>1361</v>
      </c>
      <c r="W1" s="1452"/>
      <c r="X1" s="1452"/>
      <c r="Y1" s="1452"/>
      <c r="Z1" s="1452"/>
      <c r="AA1" s="1452"/>
      <c r="AB1" s="1452"/>
      <c r="AC1" s="1452"/>
      <c r="AD1" s="1452"/>
      <c r="AE1" s="1452"/>
      <c r="AF1" s="1452"/>
      <c r="AG1" s="1452"/>
      <c r="AH1" s="1452"/>
      <c r="AI1" s="1452"/>
      <c r="AJ1" s="1452"/>
      <c r="AK1" s="1452"/>
      <c r="AL1" s="1452"/>
      <c r="AM1" s="1457" t="s">
        <v>1362</v>
      </c>
    </row>
    <row r="2" spans="1:39" ht="43.5" customHeight="1">
      <c r="A2" s="3272" t="s">
        <v>219</v>
      </c>
      <c r="B2" s="3272"/>
      <c r="C2" s="3272"/>
      <c r="D2" s="3272"/>
      <c r="E2" s="3272"/>
      <c r="F2" s="3272"/>
      <c r="G2" s="3272"/>
      <c r="H2" s="3272"/>
      <c r="I2" s="3272"/>
      <c r="J2" s="3272"/>
      <c r="K2" s="3272"/>
      <c r="L2" s="3272"/>
      <c r="M2" s="3272"/>
      <c r="N2" s="3272"/>
      <c r="O2" s="3272"/>
      <c r="P2" s="3272"/>
      <c r="Q2" s="3272"/>
      <c r="R2" s="3273"/>
      <c r="S2" s="3122" t="s">
        <v>88</v>
      </c>
      <c r="T2" s="3123"/>
      <c r="U2" s="1449" t="s">
        <v>1356</v>
      </c>
      <c r="W2" s="1451"/>
      <c r="X2" s="1451"/>
      <c r="Y2" s="1451"/>
      <c r="Z2" s="1451"/>
      <c r="AA2" s="1451"/>
      <c r="AB2" s="1510"/>
      <c r="AC2" s="1510"/>
      <c r="AD2" s="1510"/>
      <c r="AE2" s="1510"/>
      <c r="AF2" s="1451"/>
      <c r="AG2" s="1451"/>
      <c r="AH2" s="1451"/>
      <c r="AI2" s="1451"/>
      <c r="AJ2" s="1451"/>
      <c r="AK2" s="1451"/>
      <c r="AL2" s="1451"/>
      <c r="AM2" s="1451"/>
    </row>
    <row r="3" spans="1:39" ht="27" customHeight="1">
      <c r="B3" s="1426" t="s">
        <v>215</v>
      </c>
      <c r="C3" s="1427"/>
      <c r="D3" s="2714" t="s">
        <v>1624</v>
      </c>
      <c r="E3" s="3249" t="str">
        <f>MENU!$AC$9</f>
        <v>Thứ 4,</v>
      </c>
      <c r="F3" s="3249"/>
      <c r="G3" s="3248" t="str">
        <f>MENU!$AD$9</f>
        <v>2024/05/22</v>
      </c>
      <c r="H3" s="3248"/>
      <c r="I3" s="3275"/>
      <c r="J3" s="3275"/>
      <c r="K3" s="3275"/>
      <c r="L3" s="3275"/>
      <c r="M3" s="1443"/>
      <c r="N3" s="1443"/>
      <c r="O3" s="1443"/>
      <c r="P3" s="1443"/>
      <c r="Q3" s="1443"/>
      <c r="R3" s="1443"/>
      <c r="S3" s="3128" t="str">
        <f>MENU!AE7</f>
        <v>L.Yen</v>
      </c>
      <c r="T3" s="3129"/>
      <c r="U3" s="1434"/>
      <c r="X3" s="1426" t="s">
        <v>215</v>
      </c>
      <c r="Y3" s="1427"/>
      <c r="Z3" s="1400"/>
      <c r="AA3" s="1819" t="str">
        <f>MENU!$AC$9</f>
        <v>Thứ 4,</v>
      </c>
      <c r="AB3" s="3248" t="str">
        <f>MENU!$AD$9</f>
        <v>2024/05/22</v>
      </c>
      <c r="AC3" s="3248"/>
      <c r="AD3" s="1454"/>
      <c r="AE3" s="1454"/>
      <c r="AF3" s="1454"/>
      <c r="AG3" s="1454"/>
      <c r="AH3" s="1454"/>
      <c r="AI3" s="1454"/>
      <c r="AJ3" s="1454"/>
      <c r="AK3" s="1454"/>
      <c r="AL3" s="1454"/>
      <c r="AM3" s="1399"/>
    </row>
    <row r="4" spans="1:39" s="16" customFormat="1" ht="30.75" customHeight="1">
      <c r="A4" s="3258" t="s">
        <v>7</v>
      </c>
      <c r="B4" s="3083" t="s">
        <v>76</v>
      </c>
      <c r="C4" s="3084"/>
      <c r="D4" s="3084"/>
      <c r="E4" s="3085"/>
      <c r="F4" s="3278" t="s">
        <v>124</v>
      </c>
      <c r="G4" s="3059" t="s">
        <v>1310</v>
      </c>
      <c r="H4" s="3109" t="s">
        <v>1302</v>
      </c>
      <c r="I4" s="3061">
        <v>0.80208333333333337</v>
      </c>
      <c r="J4" s="3062"/>
      <c r="K4" s="3062"/>
      <c r="L4" s="3063"/>
      <c r="M4" s="3117">
        <v>0.96875</v>
      </c>
      <c r="N4" s="3062"/>
      <c r="O4" s="3062"/>
      <c r="P4" s="3063"/>
      <c r="Q4" s="3117">
        <v>0.13541666666666666</v>
      </c>
      <c r="R4" s="3062"/>
      <c r="S4" s="3062"/>
      <c r="T4" s="3063"/>
      <c r="U4" s="1437" t="s">
        <v>90</v>
      </c>
      <c r="W4" s="3258" t="s">
        <v>7</v>
      </c>
      <c r="X4" s="3083" t="s">
        <v>76</v>
      </c>
      <c r="Y4" s="3084"/>
      <c r="Z4" s="3084"/>
      <c r="AA4" s="3085"/>
      <c r="AB4" s="3117">
        <v>0.80208333333333337</v>
      </c>
      <c r="AC4" s="3061"/>
      <c r="AD4" s="3061"/>
      <c r="AE4" s="3284"/>
      <c r="AF4" s="3117">
        <v>0.96875</v>
      </c>
      <c r="AG4" s="3061"/>
      <c r="AH4" s="3061"/>
      <c r="AI4" s="3284"/>
      <c r="AJ4" s="3117">
        <v>0.13541666666666666</v>
      </c>
      <c r="AK4" s="3061"/>
      <c r="AL4" s="3061"/>
      <c r="AM4" s="3284"/>
    </row>
    <row r="5" spans="1:39" s="16" customFormat="1" ht="30.75" customHeight="1">
      <c r="A5" s="3259"/>
      <c r="B5" s="3086"/>
      <c r="C5" s="3087"/>
      <c r="D5" s="3087"/>
      <c r="E5" s="3088"/>
      <c r="F5" s="3279"/>
      <c r="G5" s="3060"/>
      <c r="H5" s="3110"/>
      <c r="I5" s="2240" t="s">
        <v>129</v>
      </c>
      <c r="J5" s="3067" t="s">
        <v>1</v>
      </c>
      <c r="K5" s="3068"/>
      <c r="L5" s="3069"/>
      <c r="M5" s="53" t="s">
        <v>129</v>
      </c>
      <c r="N5" s="3067" t="s">
        <v>1</v>
      </c>
      <c r="O5" s="3068"/>
      <c r="P5" s="3069"/>
      <c r="Q5" s="53" t="s">
        <v>129</v>
      </c>
      <c r="R5" s="3067" t="s">
        <v>1</v>
      </c>
      <c r="S5" s="3068"/>
      <c r="T5" s="3069"/>
      <c r="U5" s="4" t="s">
        <v>91</v>
      </c>
      <c r="W5" s="3259"/>
      <c r="X5" s="3086"/>
      <c r="Y5" s="3087"/>
      <c r="Z5" s="3087"/>
      <c r="AA5" s="3088"/>
      <c r="AB5" s="3251" t="s">
        <v>1448</v>
      </c>
      <c r="AC5" s="3287"/>
      <c r="AD5" s="3286" t="s">
        <v>1481</v>
      </c>
      <c r="AE5" s="3063"/>
      <c r="AF5" s="3251" t="s">
        <v>1448</v>
      </c>
      <c r="AG5" s="3287"/>
      <c r="AH5" s="3286" t="s">
        <v>1481</v>
      </c>
      <c r="AI5" s="3063"/>
      <c r="AJ5" s="3251" t="s">
        <v>1448</v>
      </c>
      <c r="AK5" s="3287"/>
      <c r="AL5" s="3286" t="s">
        <v>1481</v>
      </c>
      <c r="AM5" s="3063"/>
    </row>
    <row r="6" spans="1:39" ht="32.25" customHeight="1">
      <c r="A6" s="3258">
        <v>1</v>
      </c>
      <c r="B6" s="3083" t="s">
        <v>131</v>
      </c>
      <c r="C6" s="3266"/>
      <c r="D6" s="3263" t="s">
        <v>100</v>
      </c>
      <c r="E6" s="3264"/>
      <c r="F6" s="1433" t="s">
        <v>4</v>
      </c>
      <c r="G6" s="898" t="str">
        <f>'XM.GUI MAIL'!$E$6</f>
        <v>20~40</v>
      </c>
      <c r="H6" s="2222" t="str">
        <f>'XM.GUI MAIL'!$F$6</f>
        <v>(30±5)</v>
      </c>
      <c r="I6" s="2210">
        <f>'XM.GUI MAIL'!AD6</f>
        <v>0</v>
      </c>
      <c r="J6" s="1410" t="s">
        <v>8</v>
      </c>
      <c r="K6" s="1411">
        <f>'XM.GUI MAIL'!AG6</f>
        <v>0</v>
      </c>
      <c r="L6" s="1412" t="s">
        <v>9</v>
      </c>
      <c r="M6" s="1429">
        <f>'XM.GUI MAIL'!AK6</f>
        <v>22</v>
      </c>
      <c r="N6" s="1410" t="s">
        <v>8</v>
      </c>
      <c r="O6" s="1411">
        <f>'XM.GUI MAIL'!AN6</f>
        <v>21.544</v>
      </c>
      <c r="P6" s="1412" t="s">
        <v>9</v>
      </c>
      <c r="Q6" s="1429">
        <f>'XM.GUI MAIL'!AR6</f>
        <v>29.2</v>
      </c>
      <c r="R6" s="1410" t="s">
        <v>8</v>
      </c>
      <c r="S6" s="1411">
        <f>'XM.GUI MAIL'!AU6</f>
        <v>2.1544000000000021</v>
      </c>
      <c r="T6" s="1412" t="s">
        <v>9</v>
      </c>
      <c r="U6" s="103" t="s">
        <v>39</v>
      </c>
      <c r="W6" s="3258">
        <v>1</v>
      </c>
      <c r="X6" s="3083" t="s">
        <v>131</v>
      </c>
      <c r="Y6" s="3266"/>
      <c r="Z6" s="3263" t="s">
        <v>100</v>
      </c>
      <c r="AA6" s="3264"/>
      <c r="AB6" s="2030"/>
      <c r="AC6" s="1748" t="s">
        <v>9</v>
      </c>
      <c r="AD6" s="1798"/>
      <c r="AE6" s="1799" t="s">
        <v>4</v>
      </c>
      <c r="AF6" s="2030" t="s">
        <v>1669</v>
      </c>
      <c r="AG6" s="1748" t="s">
        <v>9</v>
      </c>
      <c r="AH6" s="1798">
        <v>28.3</v>
      </c>
      <c r="AI6" s="1799" t="s">
        <v>4</v>
      </c>
      <c r="AJ6" s="2030"/>
      <c r="AK6" s="1748" t="s">
        <v>9</v>
      </c>
      <c r="AL6" s="1798"/>
      <c r="AM6" s="1799" t="s">
        <v>4</v>
      </c>
    </row>
    <row r="7" spans="1:39" ht="32.25" customHeight="1">
      <c r="A7" s="3265"/>
      <c r="B7" s="3267"/>
      <c r="C7" s="3268"/>
      <c r="D7" s="3251" t="s">
        <v>101</v>
      </c>
      <c r="E7" s="3253"/>
      <c r="F7" s="1433" t="s">
        <v>55</v>
      </c>
      <c r="G7" s="898" t="s">
        <v>102</v>
      </c>
      <c r="H7" s="2222"/>
      <c r="I7" s="2211"/>
      <c r="J7" s="1059" t="s">
        <v>8</v>
      </c>
      <c r="K7" s="58">
        <f>K6/25*840/1000</f>
        <v>0</v>
      </c>
      <c r="L7" s="57" t="s">
        <v>10</v>
      </c>
      <c r="M7" s="1683"/>
      <c r="N7" s="1059" t="s">
        <v>8</v>
      </c>
      <c r="O7" s="58">
        <f>O6/25*840/1000</f>
        <v>0.72387839999999992</v>
      </c>
      <c r="P7" s="57" t="s">
        <v>10</v>
      </c>
      <c r="Q7" s="1683"/>
      <c r="R7" s="1059" t="s">
        <v>8</v>
      </c>
      <c r="S7" s="58">
        <f>S6/25*840/1000</f>
        <v>7.2387840000000064E-2</v>
      </c>
      <c r="T7" s="57" t="s">
        <v>10</v>
      </c>
      <c r="U7" s="103"/>
      <c r="W7" s="3265"/>
      <c r="X7" s="3267"/>
      <c r="Y7" s="3268"/>
      <c r="Z7" s="3251" t="s">
        <v>101</v>
      </c>
      <c r="AA7" s="3253"/>
      <c r="AB7" s="2030"/>
      <c r="AC7" s="1748" t="s">
        <v>10</v>
      </c>
      <c r="AD7" s="1798"/>
      <c r="AE7" s="1766"/>
      <c r="AF7" s="2030"/>
      <c r="AG7" s="1748" t="s">
        <v>10</v>
      </c>
      <c r="AH7" s="1798"/>
      <c r="AI7" s="1766"/>
      <c r="AJ7" s="2030"/>
      <c r="AK7" s="1748" t="s">
        <v>10</v>
      </c>
      <c r="AL7" s="1798"/>
      <c r="AM7" s="1766"/>
    </row>
    <row r="8" spans="1:39" ht="32.25" customHeight="1">
      <c r="A8" s="3259"/>
      <c r="B8" s="3269"/>
      <c r="C8" s="3270"/>
      <c r="D8" s="3251" t="s">
        <v>103</v>
      </c>
      <c r="E8" s="3253"/>
      <c r="F8" s="1433" t="s">
        <v>55</v>
      </c>
      <c r="G8" s="898" t="s">
        <v>102</v>
      </c>
      <c r="H8" s="2222"/>
      <c r="I8" s="2211"/>
      <c r="J8" s="1059" t="s">
        <v>8</v>
      </c>
      <c r="K8" s="58">
        <f>K7*10</f>
        <v>0</v>
      </c>
      <c r="L8" s="57" t="s">
        <v>10</v>
      </c>
      <c r="M8" s="1683"/>
      <c r="N8" s="1059" t="s">
        <v>8</v>
      </c>
      <c r="O8" s="58">
        <f>O7*10</f>
        <v>7.238783999999999</v>
      </c>
      <c r="P8" s="57" t="s">
        <v>10</v>
      </c>
      <c r="Q8" s="1683"/>
      <c r="R8" s="1059" t="s">
        <v>8</v>
      </c>
      <c r="S8" s="58">
        <f>S7*10</f>
        <v>0.7238784000000007</v>
      </c>
      <c r="T8" s="57" t="s">
        <v>10</v>
      </c>
      <c r="U8" s="103"/>
      <c r="W8" s="3259"/>
      <c r="X8" s="3269"/>
      <c r="Y8" s="3270"/>
      <c r="Z8" s="3251" t="s">
        <v>103</v>
      </c>
      <c r="AA8" s="3253"/>
      <c r="AB8" s="2030"/>
      <c r="AC8" s="1748" t="s">
        <v>10</v>
      </c>
      <c r="AD8" s="1798"/>
      <c r="AE8" s="1766"/>
      <c r="AF8" s="2030"/>
      <c r="AG8" s="1748" t="s">
        <v>10</v>
      </c>
      <c r="AH8" s="1798"/>
      <c r="AI8" s="1766"/>
      <c r="AJ8" s="2030"/>
      <c r="AK8" s="1748" t="s">
        <v>10</v>
      </c>
      <c r="AL8" s="1798"/>
      <c r="AM8" s="1766"/>
    </row>
    <row r="9" spans="1:39" ht="32.25" customHeight="1">
      <c r="A9" s="3258">
        <v>2</v>
      </c>
      <c r="B9" s="3083" t="s">
        <v>132</v>
      </c>
      <c r="C9" s="3266"/>
      <c r="D9" s="3263" t="s">
        <v>100</v>
      </c>
      <c r="E9" s="3264"/>
      <c r="F9" s="1433" t="s">
        <v>4</v>
      </c>
      <c r="G9" s="898" t="str">
        <f>'XM.GUI MAIL'!$E$9</f>
        <v>20~40</v>
      </c>
      <c r="H9" s="2222" t="str">
        <f>'XM.GUI MAIL'!$F$9</f>
        <v>(30±5)</v>
      </c>
      <c r="I9" s="2210">
        <f>'XM.GUI MAIL'!AD9</f>
        <v>0</v>
      </c>
      <c r="J9" s="1410" t="s">
        <v>8</v>
      </c>
      <c r="K9" s="1411">
        <f>'XM.GUI MAIL'!AG9</f>
        <v>0</v>
      </c>
      <c r="L9" s="1412" t="s">
        <v>9</v>
      </c>
      <c r="M9" s="1429">
        <f>'XM.GUI MAIL'!AK9</f>
        <v>23.2</v>
      </c>
      <c r="N9" s="1410" t="s">
        <v>8</v>
      </c>
      <c r="O9" s="1411">
        <f>'XM.GUI MAIL'!AN9</f>
        <v>22.474000000000004</v>
      </c>
      <c r="P9" s="1412" t="s">
        <v>9</v>
      </c>
      <c r="Q9" s="1429">
        <f>'XM.GUI MAIL'!AR9</f>
        <v>28.8</v>
      </c>
      <c r="R9" s="1410" t="s">
        <v>8</v>
      </c>
      <c r="S9" s="1411">
        <f>'XM.GUI MAIL'!AU9</f>
        <v>3.9659999999999975</v>
      </c>
      <c r="T9" s="1412" t="s">
        <v>9</v>
      </c>
      <c r="U9" s="103" t="s">
        <v>39</v>
      </c>
      <c r="W9" s="3258">
        <v>2</v>
      </c>
      <c r="X9" s="3083" t="s">
        <v>132</v>
      </c>
      <c r="Y9" s="3266"/>
      <c r="Z9" s="3263" t="s">
        <v>100</v>
      </c>
      <c r="AA9" s="3264"/>
      <c r="AB9" s="2030"/>
      <c r="AC9" s="1748" t="s">
        <v>9</v>
      </c>
      <c r="AD9" s="1798"/>
      <c r="AE9" s="1799" t="s">
        <v>4</v>
      </c>
      <c r="AF9" s="2030" t="s">
        <v>1669</v>
      </c>
      <c r="AG9" s="1748" t="s">
        <v>9</v>
      </c>
      <c r="AH9" s="1798">
        <v>27.3</v>
      </c>
      <c r="AI9" s="1799" t="s">
        <v>4</v>
      </c>
      <c r="AJ9" s="2030"/>
      <c r="AK9" s="1748" t="s">
        <v>9</v>
      </c>
      <c r="AL9" s="1798"/>
      <c r="AM9" s="1799" t="s">
        <v>4</v>
      </c>
    </row>
    <row r="10" spans="1:39" ht="32.25" customHeight="1">
      <c r="A10" s="3265"/>
      <c r="B10" s="3267"/>
      <c r="C10" s="3268"/>
      <c r="D10" s="3251" t="s">
        <v>101</v>
      </c>
      <c r="E10" s="3253"/>
      <c r="F10" s="1433" t="s">
        <v>55</v>
      </c>
      <c r="G10" s="898" t="s">
        <v>102</v>
      </c>
      <c r="H10" s="2222"/>
      <c r="I10" s="2211"/>
      <c r="J10" s="1059" t="s">
        <v>8</v>
      </c>
      <c r="K10" s="58">
        <f>K9/25*840/1000</f>
        <v>0</v>
      </c>
      <c r="L10" s="57" t="s">
        <v>10</v>
      </c>
      <c r="M10" s="1683"/>
      <c r="N10" s="1059" t="s">
        <v>8</v>
      </c>
      <c r="O10" s="58">
        <f>O9/25*840/1000</f>
        <v>0.7551264000000002</v>
      </c>
      <c r="P10" s="57" t="s">
        <v>10</v>
      </c>
      <c r="Q10" s="1683"/>
      <c r="R10" s="1059" t="s">
        <v>8</v>
      </c>
      <c r="S10" s="58">
        <f>S9/25*840/1000</f>
        <v>0.13325759999999992</v>
      </c>
      <c r="T10" s="57" t="s">
        <v>10</v>
      </c>
      <c r="U10" s="103"/>
      <c r="W10" s="3265"/>
      <c r="X10" s="3267"/>
      <c r="Y10" s="3268"/>
      <c r="Z10" s="3251" t="s">
        <v>101</v>
      </c>
      <c r="AA10" s="3253"/>
      <c r="AB10" s="2030"/>
      <c r="AC10" s="1748" t="s">
        <v>10</v>
      </c>
      <c r="AD10" s="1798"/>
      <c r="AE10" s="1766"/>
      <c r="AF10" s="2030"/>
      <c r="AG10" s="1748" t="s">
        <v>10</v>
      </c>
      <c r="AH10" s="1798"/>
      <c r="AI10" s="1766"/>
      <c r="AJ10" s="2030"/>
      <c r="AK10" s="1748" t="s">
        <v>10</v>
      </c>
      <c r="AL10" s="1798"/>
      <c r="AM10" s="1766"/>
    </row>
    <row r="11" spans="1:39" ht="32.25" customHeight="1">
      <c r="A11" s="3259"/>
      <c r="B11" s="3269"/>
      <c r="C11" s="3270"/>
      <c r="D11" s="3251" t="s">
        <v>103</v>
      </c>
      <c r="E11" s="3253"/>
      <c r="F11" s="1433" t="s">
        <v>55</v>
      </c>
      <c r="G11" s="898" t="s">
        <v>102</v>
      </c>
      <c r="H11" s="2222"/>
      <c r="I11" s="2211"/>
      <c r="J11" s="1059" t="s">
        <v>8</v>
      </c>
      <c r="K11" s="58">
        <f>K10*10</f>
        <v>0</v>
      </c>
      <c r="L11" s="57" t="s">
        <v>10</v>
      </c>
      <c r="M11" s="1683"/>
      <c r="N11" s="1059" t="s">
        <v>8</v>
      </c>
      <c r="O11" s="58">
        <f>O10*10</f>
        <v>7.5512640000000015</v>
      </c>
      <c r="P11" s="57" t="s">
        <v>10</v>
      </c>
      <c r="Q11" s="1683"/>
      <c r="R11" s="1059" t="s">
        <v>8</v>
      </c>
      <c r="S11" s="58">
        <f>S10*10</f>
        <v>1.3325759999999991</v>
      </c>
      <c r="T11" s="57" t="s">
        <v>10</v>
      </c>
      <c r="U11" s="103"/>
      <c r="W11" s="3259"/>
      <c r="X11" s="3269"/>
      <c r="Y11" s="3270"/>
      <c r="Z11" s="3251" t="s">
        <v>103</v>
      </c>
      <c r="AA11" s="3253"/>
      <c r="AB11" s="2030"/>
      <c r="AC11" s="1748" t="s">
        <v>10</v>
      </c>
      <c r="AD11" s="1798"/>
      <c r="AE11" s="1766"/>
      <c r="AF11" s="2030"/>
      <c r="AG11" s="1748" t="s">
        <v>10</v>
      </c>
      <c r="AH11" s="1798"/>
      <c r="AI11" s="1766"/>
      <c r="AJ11" s="2030"/>
      <c r="AK11" s="1748" t="s">
        <v>10</v>
      </c>
      <c r="AL11" s="1798"/>
      <c r="AM11" s="1766"/>
    </row>
    <row r="12" spans="1:39" ht="32.25" customHeight="1">
      <c r="A12" s="3258">
        <v>3</v>
      </c>
      <c r="B12" s="3250" t="s">
        <v>133</v>
      </c>
      <c r="C12" s="3262"/>
      <c r="D12" s="3263" t="s">
        <v>100</v>
      </c>
      <c r="E12" s="3264"/>
      <c r="F12" s="1433" t="s">
        <v>4</v>
      </c>
      <c r="G12" s="898" t="str">
        <f>'XM.GUI MAIL'!$E$12</f>
        <v>60~80</v>
      </c>
      <c r="H12" s="2222" t="str">
        <f>'XM.GUI MAIL'!$F$12</f>
        <v>(70±10)</v>
      </c>
      <c r="I12" s="2212">
        <f>'XM.GUI MAIL'!AD12</f>
        <v>0</v>
      </c>
      <c r="J12" s="1410" t="s">
        <v>8</v>
      </c>
      <c r="K12" s="1411">
        <f>'XM.GUI MAIL'!AG12</f>
        <v>0</v>
      </c>
      <c r="L12" s="1412" t="s">
        <v>9</v>
      </c>
      <c r="M12" s="1407">
        <f>'XM.GUI MAIL'!AK12</f>
        <v>70.400000000000006</v>
      </c>
      <c r="N12" s="1410" t="s">
        <v>8</v>
      </c>
      <c r="O12" s="1411">
        <f>'XM.GUI MAIL'!AN12</f>
        <v>0</v>
      </c>
      <c r="P12" s="1412" t="s">
        <v>9</v>
      </c>
      <c r="Q12" s="1407">
        <f>'XM.GUI MAIL'!AR12</f>
        <v>71.2</v>
      </c>
      <c r="R12" s="1410" t="s">
        <v>8</v>
      </c>
      <c r="S12" s="1411">
        <f>'XM.GUI MAIL'!AU12</f>
        <v>0</v>
      </c>
      <c r="T12" s="1412" t="s">
        <v>9</v>
      </c>
      <c r="U12" s="103" t="s">
        <v>39</v>
      </c>
      <c r="W12" s="3258">
        <v>3</v>
      </c>
      <c r="X12" s="3250" t="s">
        <v>133</v>
      </c>
      <c r="Y12" s="3262"/>
      <c r="Z12" s="3263" t="s">
        <v>100</v>
      </c>
      <c r="AA12" s="3264"/>
      <c r="AB12" s="2030"/>
      <c r="AC12" s="1748" t="s">
        <v>9</v>
      </c>
      <c r="AD12" s="1798"/>
      <c r="AE12" s="1799" t="s">
        <v>4</v>
      </c>
      <c r="AF12" s="2030"/>
      <c r="AG12" s="1748" t="s">
        <v>9</v>
      </c>
      <c r="AH12" s="1798"/>
      <c r="AI12" s="1799" t="s">
        <v>4</v>
      </c>
      <c r="AJ12" s="2030"/>
      <c r="AK12" s="1748" t="s">
        <v>9</v>
      </c>
      <c r="AL12" s="1798"/>
      <c r="AM12" s="1799" t="s">
        <v>4</v>
      </c>
    </row>
    <row r="13" spans="1:39" ht="32.25" customHeight="1">
      <c r="A13" s="3259"/>
      <c r="B13" s="3262"/>
      <c r="C13" s="3262"/>
      <c r="D13" s="3251" t="s">
        <v>104</v>
      </c>
      <c r="E13" s="3253"/>
      <c r="F13" s="1433" t="s">
        <v>55</v>
      </c>
      <c r="G13" s="898" t="s">
        <v>102</v>
      </c>
      <c r="H13" s="2222"/>
      <c r="I13" s="2213"/>
      <c r="J13" s="1059" t="s">
        <v>8</v>
      </c>
      <c r="K13" s="58">
        <f>K12/25*7.5</f>
        <v>0</v>
      </c>
      <c r="L13" s="57" t="s">
        <v>10</v>
      </c>
      <c r="M13" s="1680"/>
      <c r="N13" s="1059" t="s">
        <v>8</v>
      </c>
      <c r="O13" s="58">
        <f>O12/25*7.5</f>
        <v>0</v>
      </c>
      <c r="P13" s="57" t="s">
        <v>10</v>
      </c>
      <c r="Q13" s="1680"/>
      <c r="R13" s="1059" t="s">
        <v>8</v>
      </c>
      <c r="S13" s="58">
        <f>S12/25*7.5</f>
        <v>0</v>
      </c>
      <c r="T13" s="57" t="s">
        <v>10</v>
      </c>
      <c r="U13" s="103"/>
      <c r="W13" s="3259"/>
      <c r="X13" s="3262"/>
      <c r="Y13" s="3262"/>
      <c r="Z13" s="3251" t="s">
        <v>104</v>
      </c>
      <c r="AA13" s="3253"/>
      <c r="AB13" s="2030"/>
      <c r="AC13" s="1748" t="s">
        <v>10</v>
      </c>
      <c r="AD13" s="1798"/>
      <c r="AE13" s="1766"/>
      <c r="AF13" s="2030"/>
      <c r="AG13" s="1748" t="s">
        <v>10</v>
      </c>
      <c r="AH13" s="1798"/>
      <c r="AI13" s="1766"/>
      <c r="AJ13" s="2030"/>
      <c r="AK13" s="1748" t="s">
        <v>10</v>
      </c>
      <c r="AL13" s="1798"/>
      <c r="AM13" s="1766"/>
    </row>
    <row r="14" spans="1:39" ht="32.25" customHeight="1">
      <c r="A14" s="3258">
        <v>4</v>
      </c>
      <c r="B14" s="3250" t="s">
        <v>134</v>
      </c>
      <c r="C14" s="3262"/>
      <c r="D14" s="3263" t="s">
        <v>100</v>
      </c>
      <c r="E14" s="3264"/>
      <c r="F14" s="1433" t="s">
        <v>4</v>
      </c>
      <c r="G14" s="898" t="str">
        <f>'XM.GUI MAIL'!$E$14</f>
        <v>60~80</v>
      </c>
      <c r="H14" s="2222" t="str">
        <f>'XM.GUI MAIL'!$F$14</f>
        <v>(70±10)</v>
      </c>
      <c r="I14" s="2212">
        <f>'XM.GUI MAIL'!AD14</f>
        <v>0</v>
      </c>
      <c r="J14" s="1410" t="s">
        <v>8</v>
      </c>
      <c r="K14" s="1411">
        <f>'XM.GUI MAIL'!AG14</f>
        <v>0</v>
      </c>
      <c r="L14" s="1412" t="s">
        <v>9</v>
      </c>
      <c r="M14" s="1407">
        <f>'XM.GUI MAIL'!AK14</f>
        <v>74</v>
      </c>
      <c r="N14" s="1410" t="s">
        <v>8</v>
      </c>
      <c r="O14" s="1411">
        <f>'XM.GUI MAIL'!AN14</f>
        <v>0</v>
      </c>
      <c r="P14" s="1412" t="s">
        <v>9</v>
      </c>
      <c r="Q14" s="1407">
        <f>'XM.GUI MAIL'!AR14</f>
        <v>73.2</v>
      </c>
      <c r="R14" s="1410" t="s">
        <v>8</v>
      </c>
      <c r="S14" s="1411">
        <f>'XM.GUI MAIL'!AU14</f>
        <v>0</v>
      </c>
      <c r="T14" s="1412" t="s">
        <v>9</v>
      </c>
      <c r="U14" s="103" t="s">
        <v>39</v>
      </c>
      <c r="W14" s="3258">
        <v>4</v>
      </c>
      <c r="X14" s="3250" t="s">
        <v>134</v>
      </c>
      <c r="Y14" s="3262"/>
      <c r="Z14" s="3263" t="s">
        <v>100</v>
      </c>
      <c r="AA14" s="3264"/>
      <c r="AB14" s="2030"/>
      <c r="AC14" s="1748" t="s">
        <v>9</v>
      </c>
      <c r="AD14" s="1798"/>
      <c r="AE14" s="1799" t="s">
        <v>4</v>
      </c>
      <c r="AF14" s="2030"/>
      <c r="AG14" s="1748" t="s">
        <v>9</v>
      </c>
      <c r="AH14" s="1798"/>
      <c r="AI14" s="1799" t="s">
        <v>4</v>
      </c>
      <c r="AJ14" s="2030"/>
      <c r="AK14" s="1748" t="s">
        <v>9</v>
      </c>
      <c r="AL14" s="1798"/>
      <c r="AM14" s="1799" t="s">
        <v>4</v>
      </c>
    </row>
    <row r="15" spans="1:39" ht="32.25" customHeight="1">
      <c r="A15" s="3259"/>
      <c r="B15" s="3262"/>
      <c r="C15" s="3262"/>
      <c r="D15" s="3251" t="s">
        <v>104</v>
      </c>
      <c r="E15" s="3253"/>
      <c r="F15" s="1433" t="s">
        <v>55</v>
      </c>
      <c r="G15" s="898" t="s">
        <v>102</v>
      </c>
      <c r="H15" s="2222"/>
      <c r="I15" s="2211"/>
      <c r="J15" s="1059" t="s">
        <v>8</v>
      </c>
      <c r="K15" s="58">
        <f>K14/25*7.5</f>
        <v>0</v>
      </c>
      <c r="L15" s="57" t="s">
        <v>10</v>
      </c>
      <c r="M15" s="1683"/>
      <c r="N15" s="1059" t="s">
        <v>8</v>
      </c>
      <c r="O15" s="58">
        <f>O14/25*7.5</f>
        <v>0</v>
      </c>
      <c r="P15" s="57" t="s">
        <v>10</v>
      </c>
      <c r="Q15" s="1683"/>
      <c r="R15" s="1059" t="s">
        <v>8</v>
      </c>
      <c r="S15" s="58">
        <f>S14/25*7.5</f>
        <v>0</v>
      </c>
      <c r="T15" s="57" t="s">
        <v>10</v>
      </c>
      <c r="U15" s="103"/>
      <c r="W15" s="3259"/>
      <c r="X15" s="3262"/>
      <c r="Y15" s="3262"/>
      <c r="Z15" s="3251" t="s">
        <v>104</v>
      </c>
      <c r="AA15" s="3253"/>
      <c r="AB15" s="2030"/>
      <c r="AC15" s="1748" t="s">
        <v>10</v>
      </c>
      <c r="AD15" s="1798"/>
      <c r="AE15" s="1766"/>
      <c r="AF15" s="2030"/>
      <c r="AG15" s="1748" t="s">
        <v>10</v>
      </c>
      <c r="AH15" s="1798"/>
      <c r="AI15" s="1766"/>
      <c r="AJ15" s="2030"/>
      <c r="AK15" s="1748" t="s">
        <v>10</v>
      </c>
      <c r="AL15" s="1798"/>
      <c r="AM15" s="1766"/>
    </row>
    <row r="16" spans="1:39" ht="32.25" customHeight="1">
      <c r="A16" s="3258">
        <v>5</v>
      </c>
      <c r="B16" s="3251" t="s">
        <v>79</v>
      </c>
      <c r="C16" s="3252"/>
      <c r="D16" s="3252"/>
      <c r="E16" s="3253"/>
      <c r="F16" s="1433" t="s">
        <v>4</v>
      </c>
      <c r="G16" s="1009" t="str">
        <f>'XM.GUI MAIL'!$E$16</f>
        <v>130 - 150</v>
      </c>
      <c r="H16" s="2226" t="str">
        <f>'XM.GUI MAIL'!$F$16</f>
        <v>(140±7)</v>
      </c>
      <c r="I16" s="2214">
        <f>'XM.GUI MAIL'!AD16</f>
        <v>0</v>
      </c>
      <c r="J16" s="1410" t="s">
        <v>8</v>
      </c>
      <c r="K16" s="1506">
        <f>'XM.GUI MAIL'!AG16</f>
        <v>0</v>
      </c>
      <c r="L16" s="1061" t="s">
        <v>9</v>
      </c>
      <c r="M16" s="1762">
        <f>'XM.GUI MAIL'!AK16</f>
        <v>141.6</v>
      </c>
      <c r="N16" s="1410" t="s">
        <v>8</v>
      </c>
      <c r="O16" s="1506">
        <f>'XM.GUI MAIL'!AN16</f>
        <v>0</v>
      </c>
      <c r="P16" s="1061" t="s">
        <v>9</v>
      </c>
      <c r="Q16" s="1762">
        <f>'XM.GUI MAIL'!AR16</f>
        <v>142.4</v>
      </c>
      <c r="R16" s="1410" t="s">
        <v>8</v>
      </c>
      <c r="S16" s="1411">
        <f>'XM.GUI MAIL'!AU16</f>
        <v>0</v>
      </c>
      <c r="T16" s="1061" t="s">
        <v>9</v>
      </c>
      <c r="U16" s="103" t="s">
        <v>40</v>
      </c>
      <c r="W16" s="3258">
        <v>5</v>
      </c>
      <c r="X16" s="3251" t="s">
        <v>79</v>
      </c>
      <c r="Y16" s="3252"/>
      <c r="Z16" s="3252"/>
      <c r="AA16" s="3253"/>
      <c r="AB16" s="2030"/>
      <c r="AC16" s="1748" t="s">
        <v>9</v>
      </c>
      <c r="AD16" s="1798"/>
      <c r="AE16" s="1800" t="s">
        <v>4</v>
      </c>
      <c r="AF16" s="2030"/>
      <c r="AG16" s="1748" t="s">
        <v>9</v>
      </c>
      <c r="AH16" s="1798"/>
      <c r="AI16" s="1800" t="s">
        <v>4</v>
      </c>
      <c r="AJ16" s="2030"/>
      <c r="AK16" s="1748" t="s">
        <v>9</v>
      </c>
      <c r="AL16" s="1798"/>
      <c r="AM16" s="1800" t="s">
        <v>4</v>
      </c>
    </row>
    <row r="17" spans="1:39" ht="32.25" customHeight="1">
      <c r="A17" s="3259"/>
      <c r="B17" s="3251" t="s">
        <v>57</v>
      </c>
      <c r="C17" s="3252"/>
      <c r="D17" s="3252"/>
      <c r="E17" s="3253"/>
      <c r="F17" s="1433" t="s">
        <v>4</v>
      </c>
      <c r="G17" s="1009" t="str">
        <f>'XM.GUI MAIL'!$E$17</f>
        <v>8~12</v>
      </c>
      <c r="H17" s="2226" t="str">
        <f>'XM.GUI MAIL'!$F$17</f>
        <v>(10±2)</v>
      </c>
      <c r="I17" s="2215">
        <f>'XM.GUI MAIL'!AD17</f>
        <v>0</v>
      </c>
      <c r="J17" s="1410" t="s">
        <v>8</v>
      </c>
      <c r="K17" s="1411">
        <f>'XM.GUI MAIL'!AG17</f>
        <v>0</v>
      </c>
      <c r="L17" s="1061" t="s">
        <v>9</v>
      </c>
      <c r="M17" s="1768">
        <f>'XM.GUI MAIL'!AK17</f>
        <v>11.57</v>
      </c>
      <c r="N17" s="1410" t="s">
        <v>8</v>
      </c>
      <c r="O17" s="1411">
        <f>'XM.GUI MAIL'!AN17</f>
        <v>0</v>
      </c>
      <c r="P17" s="1061" t="s">
        <v>9</v>
      </c>
      <c r="Q17" s="1768">
        <f>'XM.GUI MAIL'!AR17</f>
        <v>11.440000000000001</v>
      </c>
      <c r="R17" s="1410" t="s">
        <v>8</v>
      </c>
      <c r="S17" s="1411">
        <f>'XM.GUI MAIL'!AU17</f>
        <v>0</v>
      </c>
      <c r="T17" s="1061" t="s">
        <v>9</v>
      </c>
      <c r="U17" s="103" t="s">
        <v>41</v>
      </c>
      <c r="W17" s="3259"/>
      <c r="X17" s="3251" t="s">
        <v>57</v>
      </c>
      <c r="Y17" s="3252"/>
      <c r="Z17" s="3252"/>
      <c r="AA17" s="3253"/>
      <c r="AB17" s="2030"/>
      <c r="AC17" s="1748" t="s">
        <v>9</v>
      </c>
      <c r="AD17" s="1798"/>
      <c r="AE17" s="1800" t="s">
        <v>4</v>
      </c>
      <c r="AF17" s="2030"/>
      <c r="AG17" s="1748" t="s">
        <v>9</v>
      </c>
      <c r="AH17" s="1798"/>
      <c r="AI17" s="1800" t="s">
        <v>4</v>
      </c>
      <c r="AJ17" s="2030"/>
      <c r="AK17" s="1748" t="s">
        <v>9</v>
      </c>
      <c r="AL17" s="1798"/>
      <c r="AM17" s="1800" t="s">
        <v>4</v>
      </c>
    </row>
    <row r="18" spans="1:39" ht="32.25" customHeight="1">
      <c r="A18" s="3258">
        <v>6</v>
      </c>
      <c r="B18" s="3083" t="s">
        <v>983</v>
      </c>
      <c r="C18" s="3084"/>
      <c r="D18" s="3084"/>
      <c r="E18" s="3085"/>
      <c r="F18" s="1433" t="s">
        <v>3</v>
      </c>
      <c r="G18" s="1009" t="str">
        <f>'XM.GUI MAIL'!$E$18</f>
        <v xml:space="preserve">12~18 </v>
      </c>
      <c r="H18" s="2226" t="str">
        <f>'XM.GUI MAIL'!$F$18</f>
        <v>(14±2)</v>
      </c>
      <c r="I18" s="2216">
        <f>'XM.GUI MAIL'!AD18</f>
        <v>0</v>
      </c>
      <c r="J18" s="1059" t="s">
        <v>8</v>
      </c>
      <c r="K18" s="56">
        <f>'XM.GUI MAIL'!AG18</f>
        <v>0</v>
      </c>
      <c r="L18" s="57" t="s">
        <v>10</v>
      </c>
      <c r="M18" s="1738">
        <f>'XM.GUI MAIL'!AK18</f>
        <v>16.978417266187048</v>
      </c>
      <c r="N18" s="1059" t="s">
        <v>8</v>
      </c>
      <c r="O18" s="56">
        <f>'XM.GUI MAIL'!AN18</f>
        <v>0</v>
      </c>
      <c r="P18" s="57" t="s">
        <v>10</v>
      </c>
      <c r="Q18" s="1738">
        <f>'XM.GUI MAIL'!AR18</f>
        <v>16.546762589928058</v>
      </c>
      <c r="R18" s="1059" t="s">
        <v>8</v>
      </c>
      <c r="S18" s="56">
        <f>'XM.GUI MAIL'!AU18</f>
        <v>0</v>
      </c>
      <c r="T18" s="57" t="s">
        <v>10</v>
      </c>
      <c r="U18" s="103" t="s">
        <v>42</v>
      </c>
      <c r="W18" s="3258">
        <v>6</v>
      </c>
      <c r="X18" s="3083" t="s">
        <v>983</v>
      </c>
      <c r="Y18" s="3084"/>
      <c r="Z18" s="3084"/>
      <c r="AA18" s="3085"/>
      <c r="AB18" s="2030"/>
      <c r="AC18" s="1748" t="s">
        <v>10</v>
      </c>
      <c r="AD18" s="1798"/>
      <c r="AE18" s="1766" t="s">
        <v>3</v>
      </c>
      <c r="AF18" s="2030"/>
      <c r="AG18" s="1748" t="s">
        <v>10</v>
      </c>
      <c r="AH18" s="1798"/>
      <c r="AI18" s="1766" t="s">
        <v>3</v>
      </c>
      <c r="AJ18" s="2030"/>
      <c r="AK18" s="1748" t="s">
        <v>10</v>
      </c>
      <c r="AL18" s="1798"/>
      <c r="AM18" s="1766" t="s">
        <v>3</v>
      </c>
    </row>
    <row r="19" spans="1:39" ht="32.25" customHeight="1">
      <c r="A19" s="3259"/>
      <c r="B19" s="3086"/>
      <c r="C19" s="3087"/>
      <c r="D19" s="3087"/>
      <c r="E19" s="3088"/>
      <c r="F19" s="1433" t="s">
        <v>5</v>
      </c>
      <c r="G19" s="1009" t="str">
        <f>'XM.GUI MAIL'!$E$19</f>
        <v>1.6~2.2</v>
      </c>
      <c r="H19" s="2226" t="str">
        <f>'XM.GUI MAIL'!$F$19</f>
        <v>(2±0.2 )</v>
      </c>
      <c r="I19" s="2215">
        <f>'XM.GUI MAIL'!AD19</f>
        <v>0</v>
      </c>
      <c r="J19" s="1413"/>
      <c r="K19" s="1411">
        <f>'XM.GUI MAIL'!AG19</f>
        <v>0</v>
      </c>
      <c r="L19" s="1414"/>
      <c r="M19" s="1768">
        <f>'XM.GUI MAIL'!AK19</f>
        <v>1.48</v>
      </c>
      <c r="N19" s="1413"/>
      <c r="O19" s="1411">
        <f>'XM.GUI MAIL'!AN19</f>
        <v>0</v>
      </c>
      <c r="P19" s="1414"/>
      <c r="Q19" s="1768">
        <f>'XM.GUI MAIL'!AR19</f>
        <v>1.64</v>
      </c>
      <c r="R19" s="1413"/>
      <c r="S19" s="1411">
        <f>'XM.GUI MAIL'!AU19</f>
        <v>0</v>
      </c>
      <c r="T19" s="1414"/>
      <c r="U19" s="103"/>
      <c r="W19" s="3259"/>
      <c r="X19" s="3086"/>
      <c r="Y19" s="3087"/>
      <c r="Z19" s="3087"/>
      <c r="AA19" s="3088"/>
      <c r="AB19" s="2030"/>
      <c r="AC19" s="1748"/>
      <c r="AD19" s="1798"/>
      <c r="AE19" s="1801" t="s">
        <v>5</v>
      </c>
      <c r="AF19" s="2030"/>
      <c r="AG19" s="1748"/>
      <c r="AH19" s="1798"/>
      <c r="AI19" s="1801" t="s">
        <v>5</v>
      </c>
      <c r="AJ19" s="2030"/>
      <c r="AK19" s="1748"/>
      <c r="AL19" s="1798"/>
      <c r="AM19" s="1801" t="s">
        <v>5</v>
      </c>
    </row>
    <row r="20" spans="1:39" ht="32.25" customHeight="1">
      <c r="A20" s="103">
        <v>7</v>
      </c>
      <c r="B20" s="3251" t="s">
        <v>58</v>
      </c>
      <c r="C20" s="3252"/>
      <c r="D20" s="3252"/>
      <c r="E20" s="3253"/>
      <c r="F20" s="1442" t="s">
        <v>6</v>
      </c>
      <c r="G20" s="1009" t="str">
        <f>'XM.GUI MAIL'!$E$20</f>
        <v xml:space="preserve">40~50 </v>
      </c>
      <c r="H20" s="2226" t="str">
        <f>'XM.GUI MAIL'!$F$20</f>
        <v>(45±5)</v>
      </c>
      <c r="I20" s="2217">
        <f>'XM.GUI MAIL'!AD20</f>
        <v>0</v>
      </c>
      <c r="J20" s="1410" t="s">
        <v>8</v>
      </c>
      <c r="K20" s="1411">
        <f>'XM.GUI MAIL'!AG20</f>
        <v>0</v>
      </c>
      <c r="L20" s="1412" t="s">
        <v>10</v>
      </c>
      <c r="M20" s="1743">
        <f>'XM.GUI MAIL'!AK20</f>
        <v>0.3878125</v>
      </c>
      <c r="N20" s="1410" t="s">
        <v>8</v>
      </c>
      <c r="O20" s="1411">
        <f>'XM.GUI MAIL'!AN20</f>
        <v>131.96187500000002</v>
      </c>
      <c r="P20" s="1412" t="s">
        <v>10</v>
      </c>
      <c r="Q20" s="1743">
        <f>'XM.GUI MAIL'!AR20</f>
        <v>0.45624999999999999</v>
      </c>
      <c r="R20" s="1410" t="s">
        <v>8</v>
      </c>
      <c r="S20" s="1411">
        <f>'XM.GUI MAIL'!AU20</f>
        <v>0</v>
      </c>
      <c r="T20" s="1412" t="s">
        <v>10</v>
      </c>
      <c r="U20" s="103" t="s">
        <v>43</v>
      </c>
      <c r="W20" s="103">
        <v>7</v>
      </c>
      <c r="X20" s="3251" t="s">
        <v>58</v>
      </c>
      <c r="Y20" s="3252"/>
      <c r="Z20" s="3252"/>
      <c r="AA20" s="3253"/>
      <c r="AB20" s="2030"/>
      <c r="AC20" s="1803" t="s">
        <v>10</v>
      </c>
      <c r="AD20" s="1798"/>
      <c r="AE20" s="1799" t="s">
        <v>6</v>
      </c>
      <c r="AF20" s="2030" t="s">
        <v>1669</v>
      </c>
      <c r="AG20" s="1803" t="s">
        <v>10</v>
      </c>
      <c r="AH20" s="1798">
        <v>45.3</v>
      </c>
      <c r="AI20" s="1799" t="s">
        <v>6</v>
      </c>
      <c r="AJ20" s="2030"/>
      <c r="AK20" s="1803" t="s">
        <v>10</v>
      </c>
      <c r="AL20" s="1798"/>
      <c r="AM20" s="1799" t="s">
        <v>6</v>
      </c>
    </row>
    <row r="21" spans="1:39" ht="32.25" hidden="1" customHeight="1">
      <c r="A21" s="103">
        <v>8</v>
      </c>
      <c r="B21" s="3251" t="s">
        <v>59</v>
      </c>
      <c r="C21" s="3252"/>
      <c r="D21" s="3252"/>
      <c r="E21" s="3253"/>
      <c r="F21" s="1442" t="s">
        <v>6</v>
      </c>
      <c r="G21" s="1009" t="str">
        <f>'XM.GUI MAIL'!$E$21</f>
        <v>(22±5) =17~27</v>
      </c>
      <c r="H21" s="2226" t="str">
        <f>'XM.GUI MAIL'!$F$21</f>
        <v>(22±5)</v>
      </c>
      <c r="I21" s="2218">
        <f>'XM.GUI MAIL'!AD21</f>
        <v>0</v>
      </c>
      <c r="J21" s="1059" t="s">
        <v>8</v>
      </c>
      <c r="K21" s="56">
        <f>'XM.GUI MAIL'!AG21</f>
        <v>0</v>
      </c>
      <c r="L21" s="57" t="s">
        <v>10</v>
      </c>
      <c r="M21" s="1772">
        <f>'XM.GUI MAIL'!AK21</f>
        <v>0</v>
      </c>
      <c r="N21" s="1059" t="s">
        <v>8</v>
      </c>
      <c r="O21" s="56">
        <f>'XM.GUI MAIL'!AN21</f>
        <v>0</v>
      </c>
      <c r="P21" s="57" t="s">
        <v>10</v>
      </c>
      <c r="Q21" s="1772">
        <f>'XM.GUI MAIL'!AR21</f>
        <v>0</v>
      </c>
      <c r="R21" s="1059" t="s">
        <v>8</v>
      </c>
      <c r="S21" s="56">
        <f>'XM.GUI MAIL'!AU21</f>
        <v>0</v>
      </c>
      <c r="T21" s="1412" t="s">
        <v>10</v>
      </c>
      <c r="U21" s="103" t="s">
        <v>43</v>
      </c>
      <c r="W21" s="103">
        <v>8</v>
      </c>
      <c r="X21" s="3251" t="s">
        <v>59</v>
      </c>
      <c r="Y21" s="3252"/>
      <c r="Z21" s="3252"/>
      <c r="AA21" s="3253"/>
      <c r="AB21" s="2030"/>
      <c r="AC21" s="1803" t="s">
        <v>10</v>
      </c>
      <c r="AD21" s="1798"/>
      <c r="AE21" s="1799" t="s">
        <v>6</v>
      </c>
      <c r="AF21" s="2030"/>
      <c r="AG21" s="1803" t="s">
        <v>10</v>
      </c>
      <c r="AH21" s="1798"/>
      <c r="AI21" s="1799" t="s">
        <v>6</v>
      </c>
      <c r="AJ21" s="2030"/>
      <c r="AK21" s="1803" t="s">
        <v>10</v>
      </c>
      <c r="AL21" s="1798"/>
      <c r="AM21" s="1799" t="s">
        <v>6</v>
      </c>
    </row>
    <row r="22" spans="1:39" ht="32.25" hidden="1" customHeight="1">
      <c r="A22" s="103">
        <v>9</v>
      </c>
      <c r="B22" s="3251" t="s">
        <v>108</v>
      </c>
      <c r="C22" s="3252"/>
      <c r="D22" s="3252"/>
      <c r="E22" s="3253"/>
      <c r="F22" s="1442" t="s">
        <v>6</v>
      </c>
      <c r="G22" s="1009" t="str">
        <f>'XM.GUI MAIL'!$E$22</f>
        <v>5~15</v>
      </c>
      <c r="H22" s="2226" t="str">
        <f>'XM.GUI MAIL'!$F$22</f>
        <v>(30±4)</v>
      </c>
      <c r="I22" s="2218">
        <f>'XM.GUI MAIL'!AD22</f>
        <v>0</v>
      </c>
      <c r="J22" s="1410" t="s">
        <v>8</v>
      </c>
      <c r="K22" s="1411">
        <f>'XM.GUI MAIL'!AG22</f>
        <v>0</v>
      </c>
      <c r="L22" s="1412" t="s">
        <v>10</v>
      </c>
      <c r="M22" s="1772">
        <f>'XM.GUI MAIL'!AK22</f>
        <v>0</v>
      </c>
      <c r="N22" s="1410" t="s">
        <v>8</v>
      </c>
      <c r="O22" s="1411">
        <f>'XM.GUI MAIL'!AN22</f>
        <v>0</v>
      </c>
      <c r="P22" s="1412" t="s">
        <v>10</v>
      </c>
      <c r="Q22" s="1772">
        <f>'XM.GUI MAIL'!AR22</f>
        <v>0</v>
      </c>
      <c r="R22" s="1410" t="s">
        <v>8</v>
      </c>
      <c r="S22" s="1411">
        <f>'XM.GUI MAIL'!AU22</f>
        <v>0</v>
      </c>
      <c r="T22" s="1412" t="s">
        <v>10</v>
      </c>
      <c r="U22" s="103" t="s">
        <v>44</v>
      </c>
      <c r="W22" s="103">
        <v>9</v>
      </c>
      <c r="X22" s="3251" t="s">
        <v>108</v>
      </c>
      <c r="Y22" s="3252"/>
      <c r="Z22" s="3252"/>
      <c r="AA22" s="3253"/>
      <c r="AB22" s="2030"/>
      <c r="AC22" s="1803" t="s">
        <v>10</v>
      </c>
      <c r="AD22" s="1798"/>
      <c r="AE22" s="1799" t="s">
        <v>6</v>
      </c>
      <c r="AF22" s="2030"/>
      <c r="AG22" s="1803" t="s">
        <v>10</v>
      </c>
      <c r="AH22" s="1798"/>
      <c r="AI22" s="1799" t="s">
        <v>6</v>
      </c>
      <c r="AJ22" s="2030"/>
      <c r="AK22" s="1803" t="s">
        <v>10</v>
      </c>
      <c r="AL22" s="1798"/>
      <c r="AM22" s="1799" t="s">
        <v>6</v>
      </c>
    </row>
    <row r="23" spans="1:39" ht="32.25" customHeight="1">
      <c r="A23" s="103">
        <v>10</v>
      </c>
      <c r="B23" s="3251" t="s">
        <v>107</v>
      </c>
      <c r="C23" s="3252"/>
      <c r="D23" s="3252"/>
      <c r="E23" s="3253"/>
      <c r="F23" s="1442" t="s">
        <v>3</v>
      </c>
      <c r="G23" s="1009" t="str">
        <f>'XM.GUI MAIL'!$E$23</f>
        <v>0.5~1.5</v>
      </c>
      <c r="H23" s="2226" t="str">
        <f>'XM.GUI MAIL'!$F$23</f>
        <v>(1±0.4)</v>
      </c>
      <c r="I23" s="2219">
        <f>'XM.GUI MAIL'!AD23</f>
        <v>0</v>
      </c>
      <c r="J23" s="1410" t="s">
        <v>8</v>
      </c>
      <c r="K23" s="1415">
        <f>'XM.GUI MAIL'!AG23</f>
        <v>0</v>
      </c>
      <c r="L23" s="1412" t="s">
        <v>10</v>
      </c>
      <c r="M23" s="1774" t="str">
        <f>'XM.GUI MAIL'!AK23</f>
        <v>chưa pha</v>
      </c>
      <c r="N23" s="1410" t="s">
        <v>8</v>
      </c>
      <c r="O23" s="1415">
        <f>'XM.GUI MAIL'!AN23</f>
        <v>0</v>
      </c>
      <c r="P23" s="1412" t="s">
        <v>10</v>
      </c>
      <c r="Q23" s="1774">
        <f>'XM.GUI MAIL'!AR23</f>
        <v>1.0331999999999999E-2</v>
      </c>
      <c r="R23" s="1410" t="s">
        <v>8</v>
      </c>
      <c r="S23" s="1415">
        <f>'XM.GUI MAIL'!AU23</f>
        <v>0</v>
      </c>
      <c r="T23" s="1412" t="s">
        <v>10</v>
      </c>
      <c r="U23" s="103" t="s">
        <v>44</v>
      </c>
      <c r="W23" s="103">
        <v>10</v>
      </c>
      <c r="X23" s="3251" t="s">
        <v>107</v>
      </c>
      <c r="Y23" s="3252"/>
      <c r="Z23" s="3252"/>
      <c r="AA23" s="3253"/>
      <c r="AB23" s="2030"/>
      <c r="AC23" s="1803" t="s">
        <v>10</v>
      </c>
      <c r="AD23" s="1798"/>
      <c r="AE23" s="1799" t="s">
        <v>3</v>
      </c>
      <c r="AF23" s="2030"/>
      <c r="AG23" s="1803" t="s">
        <v>10</v>
      </c>
      <c r="AH23" s="1798"/>
      <c r="AI23" s="1799" t="s">
        <v>3</v>
      </c>
      <c r="AJ23" s="2030"/>
      <c r="AK23" s="1803" t="s">
        <v>10</v>
      </c>
      <c r="AL23" s="1798"/>
      <c r="AM23" s="1799" t="s">
        <v>3</v>
      </c>
    </row>
    <row r="24" spans="1:39" ht="32.25" customHeight="1">
      <c r="A24" s="3260">
        <v>13</v>
      </c>
      <c r="B24" s="3083" t="s">
        <v>74</v>
      </c>
      <c r="C24" s="3084"/>
      <c r="D24" s="3084"/>
      <c r="E24" s="3085"/>
      <c r="F24" s="1433" t="s">
        <v>3</v>
      </c>
      <c r="G24" s="1009" t="str">
        <f>'XM.GUI MAIL'!$E$24</f>
        <v>5~10</v>
      </c>
      <c r="H24" s="2226" t="str">
        <f>'XM.GUI MAIL'!$F$24</f>
        <v>(7.5±1)</v>
      </c>
      <c r="I24" s="2220" t="str">
        <f>'XM.GUI MAIL'!AD24</f>
        <v/>
      </c>
      <c r="J24" s="1059" t="s">
        <v>8</v>
      </c>
      <c r="K24" s="58" t="str">
        <f>'XM.GUI MAIL'!AG24</f>
        <v/>
      </c>
      <c r="L24" s="57" t="s">
        <v>10</v>
      </c>
      <c r="M24" s="1840">
        <f>'XM.GUI MAIL'!AK24</f>
        <v>10.128205128205128</v>
      </c>
      <c r="N24" s="1059" t="s">
        <v>8</v>
      </c>
      <c r="O24" s="58">
        <f>'XM.GUI MAIL'!AN24</f>
        <v>0</v>
      </c>
      <c r="P24" s="57" t="s">
        <v>10</v>
      </c>
      <c r="Q24" s="1840" t="s">
        <v>1681</v>
      </c>
      <c r="R24" s="1059" t="s">
        <v>8</v>
      </c>
      <c r="S24" s="58">
        <f>'XM.GUI MAIL'!AU24</f>
        <v>0</v>
      </c>
      <c r="T24" s="57" t="s">
        <v>10</v>
      </c>
      <c r="U24" s="103"/>
      <c r="W24" s="3260">
        <v>13</v>
      </c>
      <c r="X24" s="3083" t="s">
        <v>74</v>
      </c>
      <c r="Y24" s="3084"/>
      <c r="Z24" s="3084"/>
      <c r="AA24" s="3085"/>
      <c r="AB24" s="2030"/>
      <c r="AC24" s="1748" t="s">
        <v>10</v>
      </c>
      <c r="AD24" s="1798"/>
      <c r="AE24" s="1766" t="s">
        <v>3</v>
      </c>
      <c r="AF24" s="2030"/>
      <c r="AG24" s="1748" t="s">
        <v>10</v>
      </c>
      <c r="AH24" s="1798"/>
      <c r="AI24" s="1766" t="s">
        <v>3</v>
      </c>
      <c r="AJ24" s="2030"/>
      <c r="AK24" s="1748" t="s">
        <v>10</v>
      </c>
      <c r="AL24" s="1798"/>
      <c r="AM24" s="1766" t="s">
        <v>3</v>
      </c>
    </row>
    <row r="25" spans="1:39" ht="32.25" customHeight="1">
      <c r="A25" s="3261"/>
      <c r="B25" s="3086"/>
      <c r="C25" s="3087"/>
      <c r="D25" s="3087"/>
      <c r="E25" s="3088"/>
      <c r="F25" s="1433" t="s">
        <v>5</v>
      </c>
      <c r="G25" s="1009" t="str">
        <f>'XM.GUI MAIL'!$E$25</f>
        <v>1.8~2.2</v>
      </c>
      <c r="H25" s="2226" t="str">
        <f>'XM.GUI MAIL'!$F$25</f>
        <v>(2±0.1)</v>
      </c>
      <c r="I25" s="2251">
        <f>'XM.GUI MAIL'!AD25</f>
        <v>0</v>
      </c>
      <c r="J25" s="1059"/>
      <c r="K25" s="56">
        <f>'XM.GUI MAIL'!AG25</f>
        <v>0</v>
      </c>
      <c r="L25" s="2253"/>
      <c r="M25" s="2252">
        <f>'XM.GUI MAIL'!AK25</f>
        <v>2.57</v>
      </c>
      <c r="N25" s="1059"/>
      <c r="O25" s="56">
        <f>'XM.GUI MAIL'!AN25</f>
        <v>0</v>
      </c>
      <c r="P25" s="57"/>
      <c r="Q25" s="1840" t="s">
        <v>1681</v>
      </c>
      <c r="R25" s="1059"/>
      <c r="S25" s="56">
        <f>'XM.GUI MAIL'!AU25</f>
        <v>0</v>
      </c>
      <c r="T25" s="57"/>
      <c r="U25" s="103"/>
      <c r="W25" s="3261"/>
      <c r="X25" s="3086"/>
      <c r="Y25" s="3087"/>
      <c r="Z25" s="3087"/>
      <c r="AA25" s="3088"/>
      <c r="AB25" s="2031"/>
      <c r="AC25" s="1748"/>
      <c r="AD25" s="1818"/>
      <c r="AE25" s="1766" t="s">
        <v>5</v>
      </c>
      <c r="AF25" s="2031"/>
      <c r="AG25" s="1748"/>
      <c r="AH25" s="1818"/>
      <c r="AI25" s="1766" t="s">
        <v>5</v>
      </c>
      <c r="AJ25" s="2031"/>
      <c r="AK25" s="1748"/>
      <c r="AL25" s="1818"/>
      <c r="AM25" s="1766" t="s">
        <v>5</v>
      </c>
    </row>
    <row r="26" spans="1:39" ht="34.5" customHeight="1">
      <c r="A26" s="259"/>
      <c r="B26" s="260"/>
      <c r="C26" s="260"/>
      <c r="D26" s="260"/>
      <c r="E26" s="260"/>
      <c r="F26" s="260"/>
      <c r="G26" s="258" t="s">
        <v>109</v>
      </c>
      <c r="H26" s="258"/>
      <c r="I26" s="260"/>
      <c r="J26" s="260"/>
      <c r="K26" s="260"/>
      <c r="L26" s="260"/>
      <c r="M26" s="260"/>
      <c r="N26" s="260"/>
      <c r="O26" s="260"/>
      <c r="P26" s="260"/>
      <c r="Q26" s="1448"/>
      <c r="R26" s="1448"/>
      <c r="S26" s="1448"/>
      <c r="T26" s="1448"/>
      <c r="U26" s="261"/>
      <c r="W26" s="259"/>
      <c r="X26" s="260"/>
      <c r="Y26" s="260"/>
      <c r="Z26" s="260"/>
      <c r="AA26" s="260"/>
      <c r="AB26" s="260"/>
      <c r="AC26" s="260"/>
      <c r="AD26" s="260"/>
      <c r="AE26" s="260"/>
      <c r="AF26" s="260"/>
      <c r="AG26" s="260"/>
      <c r="AH26" s="260"/>
      <c r="AI26" s="260"/>
      <c r="AJ26" s="260"/>
      <c r="AK26" s="260"/>
      <c r="AL26" s="260"/>
      <c r="AM26" s="260"/>
    </row>
    <row r="27" spans="1:39" ht="34.5" customHeight="1">
      <c r="A27" s="103" t="s">
        <v>7</v>
      </c>
      <c r="B27" s="3251" t="s">
        <v>61</v>
      </c>
      <c r="C27" s="3252"/>
      <c r="D27" s="3252"/>
      <c r="E27" s="3253"/>
      <c r="F27" s="1432" t="s">
        <v>63</v>
      </c>
      <c r="G27" s="978" t="s">
        <v>1310</v>
      </c>
      <c r="H27" s="2224" t="s">
        <v>1302</v>
      </c>
      <c r="I27" s="3116" t="s">
        <v>45</v>
      </c>
      <c r="J27" s="3080"/>
      <c r="K27" s="3082" t="s">
        <v>62</v>
      </c>
      <c r="L27" s="3080"/>
      <c r="M27" s="3082" t="s">
        <v>45</v>
      </c>
      <c r="N27" s="3080"/>
      <c r="O27" s="3082" t="s">
        <v>62</v>
      </c>
      <c r="P27" s="3080"/>
      <c r="Q27" s="3082" t="s">
        <v>45</v>
      </c>
      <c r="R27" s="3080"/>
      <c r="S27" s="3082" t="s">
        <v>62</v>
      </c>
      <c r="T27" s="3080"/>
      <c r="U27" s="1435"/>
      <c r="W27" s="103" t="s">
        <v>7</v>
      </c>
      <c r="X27" s="3251" t="s">
        <v>61</v>
      </c>
      <c r="Y27" s="3252"/>
      <c r="Z27" s="3252"/>
      <c r="AA27" s="3253"/>
      <c r="AB27" s="3285" t="s">
        <v>1360</v>
      </c>
      <c r="AC27" s="3062"/>
      <c r="AD27" s="3062"/>
      <c r="AE27" s="3063"/>
      <c r="AF27" s="3285" t="s">
        <v>1360</v>
      </c>
      <c r="AG27" s="3062"/>
      <c r="AH27" s="3062"/>
      <c r="AI27" s="3063"/>
      <c r="AJ27" s="3285" t="s">
        <v>1360</v>
      </c>
      <c r="AK27" s="3062"/>
      <c r="AL27" s="3062"/>
      <c r="AM27" s="3063"/>
    </row>
    <row r="28" spans="1:39" ht="34.5" customHeight="1">
      <c r="A28" s="103">
        <v>1</v>
      </c>
      <c r="B28" s="3251" t="s">
        <v>65</v>
      </c>
      <c r="C28" s="3252"/>
      <c r="D28" s="3252"/>
      <c r="E28" s="3253"/>
      <c r="F28" s="21" t="s">
        <v>105</v>
      </c>
      <c r="G28" s="1010" t="str">
        <f>'XM.GUI MAIL'!$E$28</f>
        <v>50~70</v>
      </c>
      <c r="H28" s="2242" t="str">
        <f>'XM.GUI MAIL'!$F$28</f>
        <v>(60±5)</v>
      </c>
      <c r="I28" s="3113">
        <f>'XM.FILE GOC'!AD28</f>
        <v>0</v>
      </c>
      <c r="J28" s="3112"/>
      <c r="K28" s="3112">
        <f>'XM.GUI MAIL'!AG28</f>
        <v>0</v>
      </c>
      <c r="L28" s="3112"/>
      <c r="M28" s="3112">
        <f>'XM.FILE GOC'!AK28</f>
        <v>64</v>
      </c>
      <c r="N28" s="3112"/>
      <c r="O28" s="3112">
        <f>'XM.GUI MAIL'!AN28</f>
        <v>63</v>
      </c>
      <c r="P28" s="3112"/>
      <c r="Q28" s="3112">
        <f>'XM.FILE GOC'!AR28</f>
        <v>64</v>
      </c>
      <c r="R28" s="3112"/>
      <c r="S28" s="3112">
        <f>'XM.GUI MAIL'!AU28</f>
        <v>63</v>
      </c>
      <c r="T28" s="3112"/>
      <c r="U28" s="103"/>
      <c r="W28" s="103">
        <v>1</v>
      </c>
      <c r="X28" s="3251" t="s">
        <v>65</v>
      </c>
      <c r="Y28" s="3252"/>
      <c r="Z28" s="3252"/>
      <c r="AA28" s="3253"/>
      <c r="AB28" s="1793"/>
      <c r="AC28" s="1794"/>
      <c r="AD28" s="1794"/>
      <c r="AE28" s="1512"/>
      <c r="AF28" s="1793"/>
      <c r="AG28" s="1794"/>
      <c r="AH28" s="1794"/>
      <c r="AI28" s="1512"/>
      <c r="AJ28" s="1793"/>
      <c r="AK28" s="1794"/>
      <c r="AL28" s="1794"/>
      <c r="AM28" s="1512"/>
    </row>
    <row r="29" spans="1:39" ht="34.5" customHeight="1">
      <c r="A29" s="103">
        <v>2</v>
      </c>
      <c r="B29" s="3251" t="s">
        <v>66</v>
      </c>
      <c r="C29" s="3252" t="s">
        <v>66</v>
      </c>
      <c r="D29" s="3252" t="s">
        <v>66</v>
      </c>
      <c r="E29" s="3253" t="s">
        <v>66</v>
      </c>
      <c r="F29" s="21" t="s">
        <v>105</v>
      </c>
      <c r="G29" s="1010" t="str">
        <f>'XM.GUI MAIL'!$E$29</f>
        <v>50~70</v>
      </c>
      <c r="H29" s="2242" t="str">
        <f>'XM.GUI MAIL'!$F$29</f>
        <v>(60±5)</v>
      </c>
      <c r="I29" s="3113">
        <f>'XM.FILE GOC'!AD29</f>
        <v>0</v>
      </c>
      <c r="J29" s="3112"/>
      <c r="K29" s="3112">
        <f>'XM.GUI MAIL'!AG29</f>
        <v>0</v>
      </c>
      <c r="L29" s="3112"/>
      <c r="M29" s="3112">
        <f>'XM.FILE GOC'!AK29</f>
        <v>64</v>
      </c>
      <c r="N29" s="3112"/>
      <c r="O29" s="3112">
        <f>'XM.GUI MAIL'!AN29</f>
        <v>63</v>
      </c>
      <c r="P29" s="3112"/>
      <c r="Q29" s="3112">
        <f>'XM.FILE GOC'!AR29</f>
        <v>63</v>
      </c>
      <c r="R29" s="3112"/>
      <c r="S29" s="3112">
        <f>'XM.GUI MAIL'!AU29</f>
        <v>62</v>
      </c>
      <c r="T29" s="3112"/>
      <c r="U29" s="103"/>
      <c r="W29" s="103">
        <v>2</v>
      </c>
      <c r="X29" s="3251" t="s">
        <v>66</v>
      </c>
      <c r="Y29" s="3252" t="s">
        <v>66</v>
      </c>
      <c r="Z29" s="3252" t="s">
        <v>66</v>
      </c>
      <c r="AA29" s="3253" t="s">
        <v>66</v>
      </c>
      <c r="AB29" s="1793"/>
      <c r="AC29" s="1794"/>
      <c r="AD29" s="1794"/>
      <c r="AE29" s="1512"/>
      <c r="AF29" s="1793"/>
      <c r="AG29" s="1794"/>
      <c r="AH29" s="1794"/>
      <c r="AI29" s="1512"/>
      <c r="AJ29" s="1793"/>
      <c r="AK29" s="1794"/>
      <c r="AL29" s="1794"/>
      <c r="AM29" s="1512"/>
    </row>
    <row r="30" spans="1:39" ht="34.5" customHeight="1">
      <c r="A30" s="103">
        <v>3</v>
      </c>
      <c r="B30" s="3251" t="s">
        <v>68</v>
      </c>
      <c r="C30" s="3252" t="s">
        <v>68</v>
      </c>
      <c r="D30" s="3252" t="s">
        <v>68</v>
      </c>
      <c r="E30" s="3253" t="s">
        <v>68</v>
      </c>
      <c r="F30" s="21" t="s">
        <v>105</v>
      </c>
      <c r="G30" s="1010" t="str">
        <f>'XM.GUI MAIL'!$E$30</f>
        <v>40~60</v>
      </c>
      <c r="H30" s="2242" t="str">
        <f>'XM.GUI MAIL'!$F$30</f>
        <v>(50±5)</v>
      </c>
      <c r="I30" s="3032">
        <f>'XM.FILE GOC'!AD30</f>
        <v>0</v>
      </c>
      <c r="J30" s="3026"/>
      <c r="K30" s="3033">
        <f>'XM.GUI MAIL'!AG30</f>
        <v>0</v>
      </c>
      <c r="L30" s="3026"/>
      <c r="M30" s="3033">
        <f>'XM.FILE GOC'!AK30</f>
        <v>53</v>
      </c>
      <c r="N30" s="3026"/>
      <c r="O30" s="3033">
        <f>'XM.GUI MAIL'!AN30</f>
        <v>52</v>
      </c>
      <c r="P30" s="3026"/>
      <c r="Q30" s="3033">
        <f>'XM.FILE GOC'!AR30</f>
        <v>55</v>
      </c>
      <c r="R30" s="3026"/>
      <c r="S30" s="3033">
        <f>'XM.GUI MAIL'!AU30</f>
        <v>54</v>
      </c>
      <c r="T30" s="3026"/>
      <c r="U30" s="103"/>
      <c r="W30" s="103">
        <v>3</v>
      </c>
      <c r="X30" s="3251" t="s">
        <v>68</v>
      </c>
      <c r="Y30" s="3252" t="s">
        <v>68</v>
      </c>
      <c r="Z30" s="3252" t="s">
        <v>68</v>
      </c>
      <c r="AA30" s="3253" t="s">
        <v>68</v>
      </c>
      <c r="AB30" s="1793"/>
      <c r="AC30" s="1794"/>
      <c r="AD30" s="1794"/>
      <c r="AE30" s="1512"/>
      <c r="AF30" s="1793"/>
      <c r="AG30" s="1794"/>
      <c r="AH30" s="1794"/>
      <c r="AI30" s="1512"/>
      <c r="AJ30" s="1793"/>
      <c r="AK30" s="1794"/>
      <c r="AL30" s="1794"/>
      <c r="AM30" s="1512"/>
    </row>
    <row r="31" spans="1:39" ht="34.5" customHeight="1">
      <c r="A31" s="103">
        <v>4</v>
      </c>
      <c r="B31" s="3251" t="s">
        <v>67</v>
      </c>
      <c r="C31" s="3252" t="s">
        <v>67</v>
      </c>
      <c r="D31" s="3252" t="s">
        <v>67</v>
      </c>
      <c r="E31" s="3253" t="s">
        <v>67</v>
      </c>
      <c r="F31" s="21" t="s">
        <v>105</v>
      </c>
      <c r="G31" s="1010" t="str">
        <f>'XM.GUI MAIL'!$E$31</f>
        <v>40~60</v>
      </c>
      <c r="H31" s="2242" t="str">
        <f>'XM.GUI MAIL'!$F$31</f>
        <v>(50±5)</v>
      </c>
      <c r="I31" s="3032">
        <f>'XM.FILE GOC'!AD31</f>
        <v>0</v>
      </c>
      <c r="J31" s="3026"/>
      <c r="K31" s="3033">
        <f>'XM.GUI MAIL'!AG31</f>
        <v>0</v>
      </c>
      <c r="L31" s="3026"/>
      <c r="M31" s="3033">
        <f>'XM.FILE GOC'!AK31</f>
        <v>52</v>
      </c>
      <c r="N31" s="3026"/>
      <c r="O31" s="3033">
        <f>'XM.GUI MAIL'!AN31</f>
        <v>51</v>
      </c>
      <c r="P31" s="3026"/>
      <c r="Q31" s="3033">
        <f>'XM.FILE GOC'!AR31</f>
        <v>53</v>
      </c>
      <c r="R31" s="3026"/>
      <c r="S31" s="3033">
        <f>'XM.GUI MAIL'!AU31</f>
        <v>52</v>
      </c>
      <c r="T31" s="3026"/>
      <c r="U31" s="103"/>
      <c r="W31" s="103">
        <v>4</v>
      </c>
      <c r="X31" s="3251" t="s">
        <v>67</v>
      </c>
      <c r="Y31" s="3252" t="s">
        <v>67</v>
      </c>
      <c r="Z31" s="3252" t="s">
        <v>67</v>
      </c>
      <c r="AA31" s="3253" t="s">
        <v>67</v>
      </c>
      <c r="AB31" s="1793"/>
      <c r="AC31" s="1794"/>
      <c r="AD31" s="1794"/>
      <c r="AE31" s="1512"/>
      <c r="AF31" s="1793"/>
      <c r="AG31" s="1794"/>
      <c r="AH31" s="1794"/>
      <c r="AI31" s="1512"/>
      <c r="AJ31" s="1793"/>
      <c r="AK31" s="1794"/>
      <c r="AL31" s="1794"/>
      <c r="AM31" s="1512"/>
    </row>
    <row r="32" spans="1:39" ht="34.5" customHeight="1">
      <c r="A32" s="103">
        <v>5</v>
      </c>
      <c r="B32" s="3251" t="s">
        <v>69</v>
      </c>
      <c r="C32" s="3252" t="s">
        <v>69</v>
      </c>
      <c r="D32" s="3252" t="s">
        <v>69</v>
      </c>
      <c r="E32" s="3253" t="s">
        <v>69</v>
      </c>
      <c r="F32" s="21" t="s">
        <v>105</v>
      </c>
      <c r="G32" s="1010" t="str">
        <f>'XM.GUI MAIL'!$E$32</f>
        <v>20~35</v>
      </c>
      <c r="H32" s="2242" t="str">
        <f>'XM.GUI MAIL'!$F$32</f>
        <v>(30±4)</v>
      </c>
      <c r="I32" s="3113">
        <f>'XM.FILE GOC'!AD32</f>
        <v>0</v>
      </c>
      <c r="J32" s="3112"/>
      <c r="K32" s="3112">
        <f>'XM.GUI MAIL'!AG32</f>
        <v>0</v>
      </c>
      <c r="L32" s="3112"/>
      <c r="M32" s="3112">
        <f>'XM.FILE GOC'!AK32</f>
        <v>28</v>
      </c>
      <c r="N32" s="3112"/>
      <c r="O32" s="3112">
        <f>'XM.GUI MAIL'!AN32</f>
        <v>27</v>
      </c>
      <c r="P32" s="3112"/>
      <c r="Q32" s="3112">
        <f>'XM.FILE GOC'!AR32</f>
        <v>28</v>
      </c>
      <c r="R32" s="3112"/>
      <c r="S32" s="3112">
        <f>'XM.GUI MAIL'!AU32</f>
        <v>27</v>
      </c>
      <c r="T32" s="3112"/>
      <c r="U32" s="103"/>
      <c r="W32" s="103">
        <v>5</v>
      </c>
      <c r="X32" s="3251" t="s">
        <v>69</v>
      </c>
      <c r="Y32" s="3252" t="s">
        <v>69</v>
      </c>
      <c r="Z32" s="3252" t="s">
        <v>69</v>
      </c>
      <c r="AA32" s="3253" t="s">
        <v>69</v>
      </c>
      <c r="AB32" s="1793"/>
      <c r="AC32" s="1794"/>
      <c r="AD32" s="1794"/>
      <c r="AE32" s="1512"/>
      <c r="AF32" s="1793"/>
      <c r="AG32" s="1794"/>
      <c r="AH32" s="1794"/>
      <c r="AI32" s="1512"/>
      <c r="AJ32" s="1793"/>
      <c r="AK32" s="1794"/>
      <c r="AL32" s="1794"/>
      <c r="AM32" s="1512"/>
    </row>
    <row r="33" spans="1:39" ht="34.5" customHeight="1">
      <c r="A33" s="103">
        <v>6</v>
      </c>
      <c r="B33" s="3251" t="s">
        <v>982</v>
      </c>
      <c r="C33" s="3252" t="s">
        <v>982</v>
      </c>
      <c r="D33" s="3252" t="s">
        <v>982</v>
      </c>
      <c r="E33" s="3253" t="s">
        <v>982</v>
      </c>
      <c r="F33" s="21" t="s">
        <v>105</v>
      </c>
      <c r="G33" s="1010" t="str">
        <f>'XM.GUI MAIL'!$E$33</f>
        <v>30~40</v>
      </c>
      <c r="H33" s="2242" t="str">
        <f>'XM.GUI MAIL'!$F$33</f>
        <v>(34±3)</v>
      </c>
      <c r="I33" s="3113">
        <f>'XM.FILE GOC'!AD33</f>
        <v>0</v>
      </c>
      <c r="J33" s="3112"/>
      <c r="K33" s="3112">
        <f>'XM.GUI MAIL'!AG33</f>
        <v>0</v>
      </c>
      <c r="L33" s="3112"/>
      <c r="M33" s="3112">
        <f>'XM.FILE GOC'!AK33</f>
        <v>37</v>
      </c>
      <c r="N33" s="3112"/>
      <c r="O33" s="3112">
        <f>'XM.GUI MAIL'!AN33</f>
        <v>36</v>
      </c>
      <c r="P33" s="3112"/>
      <c r="Q33" s="3112">
        <f>'XM.FILE GOC'!AR33</f>
        <v>37</v>
      </c>
      <c r="R33" s="3112"/>
      <c r="S33" s="3112">
        <f>'XM.GUI MAIL'!AU33</f>
        <v>36</v>
      </c>
      <c r="T33" s="3112"/>
      <c r="U33" s="103"/>
      <c r="W33" s="103">
        <v>6</v>
      </c>
      <c r="X33" s="3251" t="s">
        <v>982</v>
      </c>
      <c r="Y33" s="3252" t="s">
        <v>982</v>
      </c>
      <c r="Z33" s="3252" t="s">
        <v>982</v>
      </c>
      <c r="AA33" s="3253" t="s">
        <v>982</v>
      </c>
      <c r="AB33" s="1793"/>
      <c r="AC33" s="1794"/>
      <c r="AD33" s="1794"/>
      <c r="AE33" s="1512"/>
      <c r="AF33" s="1793"/>
      <c r="AG33" s="1794"/>
      <c r="AH33" s="1794"/>
      <c r="AI33" s="1512"/>
      <c r="AJ33" s="1793"/>
      <c r="AK33" s="1794"/>
      <c r="AL33" s="1794"/>
      <c r="AM33" s="1512"/>
    </row>
    <row r="34" spans="1:39" ht="34.5" customHeight="1">
      <c r="A34" s="103">
        <v>7</v>
      </c>
      <c r="B34" s="3251" t="s">
        <v>70</v>
      </c>
      <c r="C34" s="3252" t="s">
        <v>70</v>
      </c>
      <c r="D34" s="3252" t="s">
        <v>70</v>
      </c>
      <c r="E34" s="3253" t="s">
        <v>70</v>
      </c>
      <c r="F34" s="21" t="s">
        <v>105</v>
      </c>
      <c r="G34" s="1010" t="str">
        <f>'XM.GUI MAIL'!$E$34</f>
        <v>50~70</v>
      </c>
      <c r="H34" s="2242" t="str">
        <f>'XM.GUI MAIL'!$F$34</f>
        <v>(60±10)</v>
      </c>
      <c r="I34" s="3113">
        <f>'XM.FILE GOC'!AD34</f>
        <v>0</v>
      </c>
      <c r="J34" s="3112"/>
      <c r="K34" s="3112">
        <f>'XM.GUI MAIL'!AG34</f>
        <v>0</v>
      </c>
      <c r="L34" s="3112"/>
      <c r="M34" s="3112">
        <f>'XM.FILE GOC'!AK34</f>
        <v>32</v>
      </c>
      <c r="N34" s="3112"/>
      <c r="O34" s="3112">
        <f>'XM.GUI MAIL'!AN34</f>
        <v>31</v>
      </c>
      <c r="P34" s="3112"/>
      <c r="Q34" s="3112">
        <f>'XM.FILE GOC'!AR34</f>
        <v>46</v>
      </c>
      <c r="R34" s="3112"/>
      <c r="S34" s="3112">
        <f>'XM.GUI MAIL'!AU34</f>
        <v>45</v>
      </c>
      <c r="T34" s="3112"/>
      <c r="U34" s="103"/>
      <c r="W34" s="103">
        <v>7</v>
      </c>
      <c r="X34" s="3251" t="s">
        <v>70</v>
      </c>
      <c r="Y34" s="3252" t="s">
        <v>70</v>
      </c>
      <c r="Z34" s="3252" t="s">
        <v>70</v>
      </c>
      <c r="AA34" s="3253" t="s">
        <v>70</v>
      </c>
      <c r="AB34" s="1793"/>
      <c r="AC34" s="1794"/>
      <c r="AD34" s="1794"/>
      <c r="AE34" s="1512"/>
      <c r="AF34" s="1793"/>
      <c r="AG34" s="1794"/>
      <c r="AH34" s="1794"/>
      <c r="AI34" s="1512"/>
      <c r="AJ34" s="1793"/>
      <c r="AK34" s="1794"/>
      <c r="AL34" s="1794"/>
      <c r="AM34" s="1512"/>
    </row>
    <row r="35" spans="1:39" ht="34.5" customHeight="1">
      <c r="A35" s="103">
        <v>8</v>
      </c>
      <c r="B35" s="3254" t="s">
        <v>71</v>
      </c>
      <c r="C35" s="3255" t="s">
        <v>71</v>
      </c>
      <c r="D35" s="3255" t="s">
        <v>71</v>
      </c>
      <c r="E35" s="3256" t="s">
        <v>71</v>
      </c>
      <c r="F35" s="21" t="s">
        <v>105</v>
      </c>
      <c r="G35" s="1010" t="str">
        <f>'XM.GUI MAIL'!$E$35</f>
        <v>80~100</v>
      </c>
      <c r="H35" s="2242" t="str">
        <f>'XM.GUI MAIL'!$F$35</f>
        <v>(90±5)</v>
      </c>
      <c r="I35" s="3080" t="str">
        <f>'XM.FILE GOC'!AD35</f>
        <v>\</v>
      </c>
      <c r="J35" s="3081"/>
      <c r="K35" s="3112">
        <f>'XM.GUI MAIL'!AG35</f>
        <v>0</v>
      </c>
      <c r="L35" s="3112"/>
      <c r="M35" s="3081" t="str">
        <f>'XM.FILE GOC'!AK35</f>
        <v>\</v>
      </c>
      <c r="N35" s="3081"/>
      <c r="O35" s="3112" t="str">
        <f>'XM.GUI MAIL'!AN35</f>
        <v>chưa mo máy</v>
      </c>
      <c r="P35" s="3112"/>
      <c r="Q35" s="3081" t="str">
        <f>'XM.FILE GOC'!AR35</f>
        <v>\</v>
      </c>
      <c r="R35" s="3081"/>
      <c r="S35" s="3112">
        <f>'XM.GUI MAIL'!AU35</f>
        <v>87</v>
      </c>
      <c r="T35" s="3112"/>
      <c r="U35" s="103"/>
      <c r="W35" s="103">
        <v>8</v>
      </c>
      <c r="X35" s="3254" t="s">
        <v>71</v>
      </c>
      <c r="Y35" s="3255" t="s">
        <v>71</v>
      </c>
      <c r="Z35" s="3255" t="s">
        <v>71</v>
      </c>
      <c r="AA35" s="3256" t="s">
        <v>71</v>
      </c>
      <c r="AB35" s="1792"/>
      <c r="AC35" s="1791"/>
      <c r="AD35" s="1791"/>
      <c r="AE35" s="1513"/>
      <c r="AF35" s="1792"/>
      <c r="AG35" s="1791"/>
      <c r="AH35" s="1791"/>
      <c r="AI35" s="1513"/>
      <c r="AJ35" s="1792"/>
      <c r="AK35" s="1791"/>
      <c r="AL35" s="1791"/>
      <c r="AM35" s="1513"/>
    </row>
    <row r="36" spans="1:39" ht="34.5" customHeight="1">
      <c r="A36" s="259"/>
      <c r="B36" s="255"/>
      <c r="C36" s="256"/>
      <c r="D36" s="256"/>
      <c r="E36" s="256"/>
      <c r="F36" s="256"/>
      <c r="G36" s="258" t="s">
        <v>110</v>
      </c>
      <c r="H36" s="258"/>
      <c r="I36" s="256"/>
      <c r="J36" s="256"/>
      <c r="K36" s="256"/>
      <c r="L36" s="256"/>
      <c r="M36" s="256"/>
      <c r="N36" s="256"/>
      <c r="O36" s="256"/>
      <c r="P36" s="256"/>
      <c r="Q36" s="256"/>
      <c r="R36" s="256"/>
      <c r="S36" s="256"/>
      <c r="T36" s="256"/>
      <c r="U36" s="257"/>
      <c r="W36" s="259"/>
      <c r="X36" s="1514"/>
      <c r="Y36" s="1514"/>
      <c r="Z36" s="1514"/>
      <c r="AA36" s="1514"/>
      <c r="AB36" s="1514"/>
      <c r="AC36" s="1514"/>
      <c r="AD36" s="1514"/>
      <c r="AE36" s="1514"/>
      <c r="AF36" s="1514"/>
      <c r="AG36" s="1514"/>
      <c r="AH36" s="1514"/>
      <c r="AI36" s="1514"/>
      <c r="AJ36" s="16"/>
      <c r="AK36" s="16"/>
      <c r="AL36" s="16"/>
      <c r="AM36" s="16"/>
    </row>
    <row r="37" spans="1:39" ht="34.5" customHeight="1">
      <c r="A37" s="103" t="s">
        <v>7</v>
      </c>
      <c r="B37" s="3251" t="s">
        <v>92</v>
      </c>
      <c r="C37" s="3252"/>
      <c r="D37" s="3252"/>
      <c r="E37" s="3253"/>
      <c r="F37" s="1441" t="s">
        <v>93</v>
      </c>
      <c r="G37" s="978" t="s">
        <v>1310</v>
      </c>
      <c r="H37" s="2224" t="s">
        <v>1302</v>
      </c>
      <c r="I37" s="3116" t="s">
        <v>111</v>
      </c>
      <c r="J37" s="3116"/>
      <c r="K37" s="3116"/>
      <c r="L37" s="3080"/>
      <c r="M37" s="3082" t="s">
        <v>111</v>
      </c>
      <c r="N37" s="3116"/>
      <c r="O37" s="3116"/>
      <c r="P37" s="3080"/>
      <c r="Q37" s="3082" t="s">
        <v>111</v>
      </c>
      <c r="R37" s="3116"/>
      <c r="S37" s="3116"/>
      <c r="T37" s="3080"/>
      <c r="U37" s="1435"/>
      <c r="W37" s="103" t="s">
        <v>7</v>
      </c>
      <c r="X37" s="3250" t="s">
        <v>92</v>
      </c>
      <c r="Y37" s="3250"/>
      <c r="Z37" s="3250"/>
      <c r="AA37" s="3250"/>
      <c r="AB37" s="3285" t="s">
        <v>1360</v>
      </c>
      <c r="AC37" s="3062"/>
      <c r="AD37" s="3062"/>
      <c r="AE37" s="3063"/>
      <c r="AF37" s="3285" t="s">
        <v>1360</v>
      </c>
      <c r="AG37" s="3062"/>
      <c r="AH37" s="3062"/>
      <c r="AI37" s="3063"/>
      <c r="AJ37" s="3285" t="s">
        <v>1360</v>
      </c>
      <c r="AK37" s="3062"/>
      <c r="AL37" s="3062"/>
      <c r="AM37" s="3063"/>
    </row>
    <row r="38" spans="1:39" ht="39.75" customHeight="1">
      <c r="A38" s="103">
        <v>1</v>
      </c>
      <c r="B38" s="3251" t="s">
        <v>51</v>
      </c>
      <c r="C38" s="3252"/>
      <c r="D38" s="3252"/>
      <c r="E38" s="3253"/>
      <c r="F38" s="23" t="s">
        <v>48</v>
      </c>
      <c r="G38" s="262" t="str">
        <f>'XM.GUI MAIL'!$E$37</f>
        <v>300-360</v>
      </c>
      <c r="H38" s="2243" t="str">
        <f>'XM.GUI MAIL'!$F$37</f>
        <v>300-360</v>
      </c>
      <c r="I38" s="3230">
        <f>'XM.FILE GOC'!AD37</f>
        <v>0</v>
      </c>
      <c r="J38" s="3230"/>
      <c r="K38" s="3230"/>
      <c r="L38" s="3230"/>
      <c r="M38" s="3198" t="str">
        <f>'XM.FILE GOC'!AK37</f>
        <v>chưa có hâng ko bơm</v>
      </c>
      <c r="N38" s="3230"/>
      <c r="O38" s="3230"/>
      <c r="P38" s="3230"/>
      <c r="Q38" s="3198" t="str">
        <f>'XM.FILE GOC'!AR37</f>
        <v>chưa có hâng ko bơm</v>
      </c>
      <c r="R38" s="3230"/>
      <c r="S38" s="3230"/>
      <c r="T38" s="3230"/>
      <c r="U38" s="103"/>
      <c r="W38" s="103">
        <v>1</v>
      </c>
      <c r="X38" s="3251" t="s">
        <v>51</v>
      </c>
      <c r="Y38" s="3252"/>
      <c r="Z38" s="3252"/>
      <c r="AA38" s="3253"/>
      <c r="AB38" s="1511"/>
      <c r="AC38" s="1794"/>
      <c r="AD38" s="1794"/>
      <c r="AE38" s="1512"/>
      <c r="AF38" s="1606"/>
      <c r="AG38" s="1794"/>
      <c r="AH38" s="1794"/>
      <c r="AI38" s="1512"/>
      <c r="AJ38" s="1511"/>
      <c r="AK38" s="1794"/>
      <c r="AL38" s="1794"/>
      <c r="AM38" s="1512"/>
    </row>
    <row r="39" spans="1:39" ht="39.75" customHeight="1">
      <c r="A39" s="103">
        <v>2</v>
      </c>
      <c r="B39" s="3251" t="s">
        <v>86</v>
      </c>
      <c r="C39" s="3252"/>
      <c r="D39" s="3252"/>
      <c r="E39" s="3253"/>
      <c r="F39" s="23" t="s">
        <v>48</v>
      </c>
      <c r="G39" s="263" t="str">
        <f>'XM.GUI MAIL'!$E$38</f>
        <v>30-50</v>
      </c>
      <c r="H39" s="2244" t="str">
        <f>'XM.GUI MAIL'!$F$38</f>
        <v>30-50</v>
      </c>
      <c r="I39" s="3230">
        <f>'XM.FILE GOC'!AD38</f>
        <v>0</v>
      </c>
      <c r="J39" s="3230"/>
      <c r="K39" s="3230"/>
      <c r="L39" s="3230"/>
      <c r="M39" s="3198" t="str">
        <f>'XM.FILE GOC'!AK38</f>
        <v>chưa có hâng ko bơm</v>
      </c>
      <c r="N39" s="3230"/>
      <c r="O39" s="3230"/>
      <c r="P39" s="3230"/>
      <c r="Q39" s="3198" t="str">
        <f>'XM.FILE GOC'!AR38</f>
        <v>chưa có hâng ko bơm</v>
      </c>
      <c r="R39" s="3230"/>
      <c r="S39" s="3230"/>
      <c r="T39" s="3230"/>
      <c r="U39" s="103"/>
      <c r="W39" s="103">
        <v>2</v>
      </c>
      <c r="X39" s="3251" t="s">
        <v>86</v>
      </c>
      <c r="Y39" s="3252"/>
      <c r="Z39" s="3252"/>
      <c r="AA39" s="3253"/>
      <c r="AB39" s="1507"/>
      <c r="AC39" s="1791"/>
      <c r="AD39" s="1791"/>
      <c r="AE39" s="1513"/>
      <c r="AF39" s="1600"/>
      <c r="AG39" s="1791"/>
      <c r="AH39" s="1791"/>
      <c r="AI39" s="1513"/>
      <c r="AJ39" s="1507"/>
      <c r="AK39" s="1791"/>
      <c r="AL39" s="1791"/>
      <c r="AM39" s="1513"/>
    </row>
  </sheetData>
  <mergeCells count="181">
    <mergeCell ref="AF5:AG5"/>
    <mergeCell ref="AH5:AI5"/>
    <mergeCell ref="AJ5:AK5"/>
    <mergeCell ref="AL5:AM5"/>
    <mergeCell ref="AJ4:AM4"/>
    <mergeCell ref="AB27:AE27"/>
    <mergeCell ref="AJ27:AM27"/>
    <mergeCell ref="AF4:AI4"/>
    <mergeCell ref="AF27:AI27"/>
    <mergeCell ref="AJ37:AM37"/>
    <mergeCell ref="B39:E39"/>
    <mergeCell ref="I39:L39"/>
    <mergeCell ref="M39:P39"/>
    <mergeCell ref="Q39:T39"/>
    <mergeCell ref="S35:T35"/>
    <mergeCell ref="B37:E37"/>
    <mergeCell ref="I37:L37"/>
    <mergeCell ref="M37:P37"/>
    <mergeCell ref="Q37:T37"/>
    <mergeCell ref="B38:E38"/>
    <mergeCell ref="I38:L38"/>
    <mergeCell ref="M38:P38"/>
    <mergeCell ref="Q38:T38"/>
    <mergeCell ref="B35:E35"/>
    <mergeCell ref="I35:J35"/>
    <mergeCell ref="K35:L35"/>
    <mergeCell ref="M35:N35"/>
    <mergeCell ref="O35:P35"/>
    <mergeCell ref="Q35:R35"/>
    <mergeCell ref="AF37:AI37"/>
    <mergeCell ref="X38:AA38"/>
    <mergeCell ref="X39:AA39"/>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O27:P27"/>
    <mergeCell ref="Q27:R27"/>
    <mergeCell ref="S27:T27"/>
    <mergeCell ref="B28:E28"/>
    <mergeCell ref="I28:J28"/>
    <mergeCell ref="K28:L28"/>
    <mergeCell ref="M28:N28"/>
    <mergeCell ref="O28:P28"/>
    <mergeCell ref="Q28:R28"/>
    <mergeCell ref="S28:T28"/>
    <mergeCell ref="A24:A25"/>
    <mergeCell ref="B24:E25"/>
    <mergeCell ref="B27:E27"/>
    <mergeCell ref="I27:J27"/>
    <mergeCell ref="K27:L27"/>
    <mergeCell ref="M27:N27"/>
    <mergeCell ref="A18:A19"/>
    <mergeCell ref="B18:E19"/>
    <mergeCell ref="B20:E20"/>
    <mergeCell ref="B21:E21"/>
    <mergeCell ref="B22:E22"/>
    <mergeCell ref="B23:E23"/>
    <mergeCell ref="A14:A15"/>
    <mergeCell ref="B14:C15"/>
    <mergeCell ref="D14:E14"/>
    <mergeCell ref="D15:E15"/>
    <mergeCell ref="W9:W11"/>
    <mergeCell ref="W12:W13"/>
    <mergeCell ref="W14:W15"/>
    <mergeCell ref="A16:A17"/>
    <mergeCell ref="B16:E16"/>
    <mergeCell ref="B17:E17"/>
    <mergeCell ref="A9:A11"/>
    <mergeCell ref="B9:C11"/>
    <mergeCell ref="D9:E9"/>
    <mergeCell ref="D10:E10"/>
    <mergeCell ref="D11:E11"/>
    <mergeCell ref="A12:A13"/>
    <mergeCell ref="B12:C13"/>
    <mergeCell ref="D12:E12"/>
    <mergeCell ref="D13:E13"/>
    <mergeCell ref="W16:W17"/>
    <mergeCell ref="A1:R1"/>
    <mergeCell ref="A2:R2"/>
    <mergeCell ref="S2:T2"/>
    <mergeCell ref="W4:W5"/>
    <mergeCell ref="X4:AA5"/>
    <mergeCell ref="J5:L5"/>
    <mergeCell ref="N5:P5"/>
    <mergeCell ref="R5:T5"/>
    <mergeCell ref="A6:A8"/>
    <mergeCell ref="B6:C8"/>
    <mergeCell ref="D6:E6"/>
    <mergeCell ref="D7:E7"/>
    <mergeCell ref="D8:E8"/>
    <mergeCell ref="I3:L3"/>
    <mergeCell ref="S3:T3"/>
    <mergeCell ref="A4:A5"/>
    <mergeCell ref="B4:E5"/>
    <mergeCell ref="G3:H3"/>
    <mergeCell ref="W18:W19"/>
    <mergeCell ref="X18:AA19"/>
    <mergeCell ref="X20:AA20"/>
    <mergeCell ref="X21:AA21"/>
    <mergeCell ref="X22:AA22"/>
    <mergeCell ref="X23:AA23"/>
    <mergeCell ref="W24:W25"/>
    <mergeCell ref="X24:AA25"/>
    <mergeCell ref="X27:AA27"/>
    <mergeCell ref="Z14:AA14"/>
    <mergeCell ref="Z15:AA15"/>
    <mergeCell ref="AB5:AC5"/>
    <mergeCell ref="AD5:AE5"/>
    <mergeCell ref="X35:AA35"/>
    <mergeCell ref="X37:AA37"/>
    <mergeCell ref="X33:AA33"/>
    <mergeCell ref="X34:AA34"/>
    <mergeCell ref="X31:AA31"/>
    <mergeCell ref="X32:AA32"/>
    <mergeCell ref="X29:AA29"/>
    <mergeCell ref="X30:AA30"/>
    <mergeCell ref="X28:AA28"/>
    <mergeCell ref="AB37:AE37"/>
    <mergeCell ref="X16:AA16"/>
    <mergeCell ref="X17:AA17"/>
    <mergeCell ref="X9:Y11"/>
    <mergeCell ref="Z9:AA9"/>
    <mergeCell ref="Z10:AA10"/>
    <mergeCell ref="Z11:AA11"/>
    <mergeCell ref="X14:Y15"/>
    <mergeCell ref="AB3:AC3"/>
    <mergeCell ref="E3:F3"/>
    <mergeCell ref="X6:Y8"/>
    <mergeCell ref="Z6:AA6"/>
    <mergeCell ref="Z7:AA7"/>
    <mergeCell ref="Z8:AA8"/>
    <mergeCell ref="AB4:AE4"/>
    <mergeCell ref="X12:Y13"/>
    <mergeCell ref="Z12:AA12"/>
    <mergeCell ref="Z13:AA13"/>
    <mergeCell ref="F4:F5"/>
    <mergeCell ref="G4:G5"/>
    <mergeCell ref="H4:H5"/>
    <mergeCell ref="I4:L4"/>
    <mergeCell ref="M4:P4"/>
    <mergeCell ref="Q4:T4"/>
    <mergeCell ref="W6:W8"/>
  </mergeCells>
  <conditionalFormatting sqref="I38 M38 Q38">
    <cfRule type="expression" dxfId="2329" priority="1151">
      <formula>I38&lt;300</formula>
    </cfRule>
    <cfRule type="expression" dxfId="2328" priority="1152">
      <formula>I38&gt;360</formula>
    </cfRule>
  </conditionalFormatting>
  <conditionalFormatting sqref="I39 M39 Q39">
    <cfRule type="expression" dxfId="2327" priority="1149">
      <formula>I39&lt;30</formula>
    </cfRule>
    <cfRule type="expression" dxfId="2326" priority="1150">
      <formula>I39&gt;50</formula>
    </cfRule>
  </conditionalFormatting>
  <conditionalFormatting sqref="I16">
    <cfRule type="cellIs" dxfId="2325" priority="337" operator="between">
      <formula>130</formula>
      <formula>132.99</formula>
    </cfRule>
    <cfRule type="cellIs" dxfId="2324" priority="338" operator="between">
      <formula>147.1</formula>
      <formula>150</formula>
    </cfRule>
    <cfRule type="expression" dxfId="2323" priority="339">
      <formula>I16&lt;130</formula>
    </cfRule>
    <cfRule type="expression" dxfId="2322" priority="340">
      <formula>I16&gt;150</formula>
    </cfRule>
  </conditionalFormatting>
  <conditionalFormatting sqref="I17">
    <cfRule type="expression" dxfId="2321" priority="335">
      <formula>I17&lt;8</formula>
    </cfRule>
    <cfRule type="expression" dxfId="2320" priority="336">
      <formula>I17&gt;12</formula>
    </cfRule>
  </conditionalFormatting>
  <conditionalFormatting sqref="I19">
    <cfRule type="cellIs" dxfId="2319" priority="332" operator="between">
      <formula>1.6</formula>
      <formula>1.799</formula>
    </cfRule>
    <cfRule type="expression" dxfId="2318" priority="333">
      <formula>I19&lt;1.6</formula>
    </cfRule>
    <cfRule type="expression" dxfId="2317" priority="334">
      <formula>I19&gt;2.2</formula>
    </cfRule>
  </conditionalFormatting>
  <conditionalFormatting sqref="I21">
    <cfRule type="cellIs" dxfId="2316" priority="328" operator="between">
      <formula>15%</formula>
      <formula>16.99%</formula>
    </cfRule>
    <cfRule type="cellIs" dxfId="2315" priority="329" operator="between">
      <formula>27.01%</formula>
      <formula>30%</formula>
    </cfRule>
    <cfRule type="expression" dxfId="2314" priority="330">
      <formula>I21&lt;15%</formula>
    </cfRule>
    <cfRule type="expression" dxfId="2313" priority="331">
      <formula>I21&gt;30%</formula>
    </cfRule>
  </conditionalFormatting>
  <conditionalFormatting sqref="I22">
    <cfRule type="cellIs" dxfId="2312" priority="324" operator="between">
      <formula>5%</formula>
      <formula>6.99%</formula>
    </cfRule>
    <cfRule type="cellIs" dxfId="2311" priority="325" operator="between">
      <formula>12.99%</formula>
      <formula>15%</formula>
    </cfRule>
    <cfRule type="expression" dxfId="2310" priority="326">
      <formula>I22&lt;5%</formula>
    </cfRule>
    <cfRule type="expression" dxfId="2309" priority="327">
      <formula>I22&gt;15%</formula>
    </cfRule>
  </conditionalFormatting>
  <conditionalFormatting sqref="I6 I9">
    <cfRule type="cellIs" dxfId="2308" priority="320" operator="between">
      <formula>20</formula>
      <formula>24.99</formula>
    </cfRule>
    <cfRule type="cellIs" dxfId="2307" priority="321" operator="between">
      <formula>35.1</formula>
      <formula>40</formula>
    </cfRule>
    <cfRule type="expression" dxfId="2306" priority="322">
      <formula>I6&lt;20</formula>
    </cfRule>
    <cfRule type="expression" dxfId="2305" priority="323">
      <formula>I6&gt;40</formula>
    </cfRule>
  </conditionalFormatting>
  <conditionalFormatting sqref="I12 I14">
    <cfRule type="expression" dxfId="2304" priority="318" stopIfTrue="1">
      <formula>I12&gt;80</formula>
    </cfRule>
    <cfRule type="expression" dxfId="2303" priority="319" stopIfTrue="1">
      <formula>I12&lt;60</formula>
    </cfRule>
  </conditionalFormatting>
  <conditionalFormatting sqref="I20">
    <cfRule type="cellIs" dxfId="2302" priority="314" operator="between">
      <formula>30%</formula>
      <formula>39.99%</formula>
    </cfRule>
    <cfRule type="cellIs" dxfId="2301" priority="315" operator="between">
      <formula>50.01%</formula>
      <formula>60%</formula>
    </cfRule>
    <cfRule type="expression" dxfId="2300" priority="316">
      <formula>I20&lt;30%</formula>
    </cfRule>
    <cfRule type="expression" dxfId="2299" priority="317">
      <formula>I20&gt;60%</formula>
    </cfRule>
  </conditionalFormatting>
  <conditionalFormatting sqref="I18">
    <cfRule type="cellIs" dxfId="2298" priority="311" operator="between">
      <formula>16.1</formula>
      <formula>18</formula>
    </cfRule>
    <cfRule type="expression" dxfId="2297" priority="312">
      <formula>I18&lt;12</formula>
    </cfRule>
    <cfRule type="expression" dxfId="2296" priority="313">
      <formula>I18&gt;18</formula>
    </cfRule>
  </conditionalFormatting>
  <conditionalFormatting sqref="I23">
    <cfRule type="cellIs" dxfId="2295" priority="307" operator="between">
      <formula>0.5%</formula>
      <formula>0.599%</formula>
    </cfRule>
    <cfRule type="cellIs" dxfId="2294" priority="308" operator="between">
      <formula>1.41%</formula>
      <formula>1.5%</formula>
    </cfRule>
    <cfRule type="expression" dxfId="2293" priority="309">
      <formula>I23&lt;0.5%</formula>
    </cfRule>
    <cfRule type="expression" dxfId="2292" priority="310">
      <formula>I23&gt;1.5%</formula>
    </cfRule>
  </conditionalFormatting>
  <conditionalFormatting sqref="M16">
    <cfRule type="cellIs" dxfId="2291" priority="303" operator="between">
      <formula>130</formula>
      <formula>132.99</formula>
    </cfRule>
    <cfRule type="cellIs" dxfId="2290" priority="304" operator="between">
      <formula>147.1</formula>
      <formula>150</formula>
    </cfRule>
    <cfRule type="expression" dxfId="2289" priority="305">
      <formula>M16&lt;130</formula>
    </cfRule>
    <cfRule type="expression" dxfId="2288" priority="306">
      <formula>M16&gt;150</formula>
    </cfRule>
  </conditionalFormatting>
  <conditionalFormatting sqref="M17">
    <cfRule type="expression" dxfId="2287" priority="301">
      <formula>M17&lt;8</formula>
    </cfRule>
    <cfRule type="expression" dxfId="2286" priority="302">
      <formula>M17&gt;12</formula>
    </cfRule>
  </conditionalFormatting>
  <conditionalFormatting sqref="M19">
    <cfRule type="cellIs" dxfId="2285" priority="298" operator="between">
      <formula>1.6</formula>
      <formula>1.799</formula>
    </cfRule>
    <cfRule type="expression" dxfId="2284" priority="299">
      <formula>M19&lt;1.6</formula>
    </cfRule>
    <cfRule type="expression" dxfId="2283" priority="300">
      <formula>M19&gt;2.2</formula>
    </cfRule>
  </conditionalFormatting>
  <conditionalFormatting sqref="M21">
    <cfRule type="cellIs" dxfId="2282" priority="294" operator="between">
      <formula>15%</formula>
      <formula>16.99%</formula>
    </cfRule>
    <cfRule type="cellIs" dxfId="2281" priority="295" operator="between">
      <formula>27.01%</formula>
      <formula>30%</formula>
    </cfRule>
    <cfRule type="expression" dxfId="2280" priority="296">
      <formula>M21&lt;15%</formula>
    </cfRule>
    <cfRule type="expression" dxfId="2279" priority="297">
      <formula>M21&gt;30%</formula>
    </cfRule>
  </conditionalFormatting>
  <conditionalFormatting sqref="M22">
    <cfRule type="cellIs" dxfId="2278" priority="290" operator="between">
      <formula>5%</formula>
      <formula>6.99%</formula>
    </cfRule>
    <cfRule type="cellIs" dxfId="2277" priority="291" operator="between">
      <formula>12.99%</formula>
      <formula>15%</formula>
    </cfRule>
    <cfRule type="expression" dxfId="2276" priority="292">
      <formula>M22&lt;5%</formula>
    </cfRule>
    <cfRule type="expression" dxfId="2275" priority="293">
      <formula>M22&gt;15%</formula>
    </cfRule>
  </conditionalFormatting>
  <conditionalFormatting sqref="M6 M9">
    <cfRule type="cellIs" dxfId="2274" priority="286" operator="between">
      <formula>20</formula>
      <formula>24.99</formula>
    </cfRule>
    <cfRule type="cellIs" dxfId="2273" priority="287" operator="between">
      <formula>35.1</formula>
      <formula>40</formula>
    </cfRule>
    <cfRule type="expression" dxfId="2272" priority="288">
      <formula>M6&lt;20</formula>
    </cfRule>
    <cfRule type="expression" dxfId="2271" priority="289">
      <formula>M6&gt;40</formula>
    </cfRule>
  </conditionalFormatting>
  <conditionalFormatting sqref="M12 M14">
    <cfRule type="expression" dxfId="2270" priority="284" stopIfTrue="1">
      <formula>M12&gt;80</formula>
    </cfRule>
    <cfRule type="expression" dxfId="2269" priority="285" stopIfTrue="1">
      <formula>M12&lt;60</formula>
    </cfRule>
  </conditionalFormatting>
  <conditionalFormatting sqref="M20">
    <cfRule type="cellIs" dxfId="2268" priority="280" operator="between">
      <formula>30%</formula>
      <formula>39.99%</formula>
    </cfRule>
    <cfRule type="cellIs" dxfId="2267" priority="281" operator="between">
      <formula>50.01%</formula>
      <formula>60%</formula>
    </cfRule>
    <cfRule type="expression" dxfId="2266" priority="282">
      <formula>M20&lt;30%</formula>
    </cfRule>
    <cfRule type="expression" dxfId="2265" priority="283">
      <formula>M20&gt;60%</formula>
    </cfRule>
  </conditionalFormatting>
  <conditionalFormatting sqref="M18">
    <cfRule type="cellIs" dxfId="2264" priority="277" operator="between">
      <formula>16.1</formula>
      <formula>18</formula>
    </cfRule>
    <cfRule type="expression" dxfId="2263" priority="278">
      <formula>M18&lt;12</formula>
    </cfRule>
    <cfRule type="expression" dxfId="2262" priority="279">
      <formula>M18&gt;18</formula>
    </cfRule>
  </conditionalFormatting>
  <conditionalFormatting sqref="M23">
    <cfRule type="cellIs" dxfId="2261" priority="273" operator="between">
      <formula>0.5%</formula>
      <formula>0.599%</formula>
    </cfRule>
    <cfRule type="cellIs" dxfId="2260" priority="274" operator="between">
      <formula>1.41%</formula>
      <formula>1.5%</formula>
    </cfRule>
    <cfRule type="expression" dxfId="2259" priority="275">
      <formula>M23&lt;0.5%</formula>
    </cfRule>
    <cfRule type="expression" dxfId="2258" priority="276">
      <formula>M23&gt;1.5%</formula>
    </cfRule>
  </conditionalFormatting>
  <conditionalFormatting sqref="Q16">
    <cfRule type="cellIs" dxfId="2257" priority="269" operator="between">
      <formula>130</formula>
      <formula>132.99</formula>
    </cfRule>
    <cfRule type="cellIs" dxfId="2256" priority="270" operator="between">
      <formula>147.1</formula>
      <formula>150</formula>
    </cfRule>
    <cfRule type="expression" dxfId="2255" priority="271">
      <formula>Q16&lt;130</formula>
    </cfRule>
    <cfRule type="expression" dxfId="2254" priority="272">
      <formula>Q16&gt;150</formula>
    </cfRule>
  </conditionalFormatting>
  <conditionalFormatting sqref="Q17">
    <cfRule type="expression" dxfId="2253" priority="267">
      <formula>Q17&lt;8</formula>
    </cfRule>
    <cfRule type="expression" dxfId="2252" priority="268">
      <formula>Q17&gt;12</formula>
    </cfRule>
  </conditionalFormatting>
  <conditionalFormatting sqref="Q19">
    <cfRule type="cellIs" dxfId="2251" priority="264" operator="between">
      <formula>1.6</formula>
      <formula>1.799</formula>
    </cfRule>
    <cfRule type="expression" dxfId="2250" priority="265">
      <formula>Q19&lt;1.6</formula>
    </cfRule>
    <cfRule type="expression" dxfId="2249" priority="266">
      <formula>Q19&gt;2.2</formula>
    </cfRule>
  </conditionalFormatting>
  <conditionalFormatting sqref="Q21">
    <cfRule type="cellIs" dxfId="2248" priority="260" operator="between">
      <formula>15%</formula>
      <formula>16.99%</formula>
    </cfRule>
    <cfRule type="cellIs" dxfId="2247" priority="261" operator="between">
      <formula>27.01%</formula>
      <formula>30%</formula>
    </cfRule>
    <cfRule type="expression" dxfId="2246" priority="262">
      <formula>Q21&lt;15%</formula>
    </cfRule>
    <cfRule type="expression" dxfId="2245" priority="263">
      <formula>Q21&gt;30%</formula>
    </cfRule>
  </conditionalFormatting>
  <conditionalFormatting sqref="Q22">
    <cfRule type="cellIs" dxfId="2244" priority="256" operator="between">
      <formula>5%</formula>
      <formula>6.99%</formula>
    </cfRule>
    <cfRule type="cellIs" dxfId="2243" priority="257" operator="between">
      <formula>12.99%</formula>
      <formula>15%</formula>
    </cfRule>
    <cfRule type="expression" dxfId="2242" priority="258">
      <formula>Q22&lt;5%</formula>
    </cfRule>
    <cfRule type="expression" dxfId="2241" priority="259">
      <formula>Q22&gt;15%</formula>
    </cfRule>
  </conditionalFormatting>
  <conditionalFormatting sqref="Q6 Q9">
    <cfRule type="cellIs" dxfId="2240" priority="252" operator="between">
      <formula>20</formula>
      <formula>24.99</formula>
    </cfRule>
    <cfRule type="cellIs" dxfId="2239" priority="253" operator="between">
      <formula>35.1</formula>
      <formula>40</formula>
    </cfRule>
    <cfRule type="expression" dxfId="2238" priority="254">
      <formula>Q6&lt;20</formula>
    </cfRule>
    <cfRule type="expression" dxfId="2237" priority="255">
      <formula>Q6&gt;40</formula>
    </cfRule>
  </conditionalFormatting>
  <conditionalFormatting sqref="Q12 Q14">
    <cfRule type="expression" dxfId="2236" priority="250" stopIfTrue="1">
      <formula>Q12&gt;80</formula>
    </cfRule>
    <cfRule type="expression" dxfId="2235" priority="251" stopIfTrue="1">
      <formula>Q12&lt;60</formula>
    </cfRule>
  </conditionalFormatting>
  <conditionalFormatting sqref="Q20">
    <cfRule type="cellIs" dxfId="2234" priority="246" operator="between">
      <formula>30%</formula>
      <formula>39.99%</formula>
    </cfRule>
    <cfRule type="cellIs" dxfId="2233" priority="247" operator="between">
      <formula>50.01%</formula>
      <formula>60%</formula>
    </cfRule>
    <cfRule type="expression" dxfId="2232" priority="248">
      <formula>Q20&lt;30%</formula>
    </cfRule>
    <cfRule type="expression" dxfId="2231" priority="249">
      <formula>Q20&gt;60%</formula>
    </cfRule>
  </conditionalFormatting>
  <conditionalFormatting sqref="Q18">
    <cfRule type="cellIs" dxfId="2230" priority="243" operator="between">
      <formula>16.1</formula>
      <formula>18</formula>
    </cfRule>
    <cfRule type="expression" dxfId="2229" priority="244">
      <formula>Q18&lt;12</formula>
    </cfRule>
    <cfRule type="expression" dxfId="2228" priority="245">
      <formula>Q18&gt;18</formula>
    </cfRule>
  </conditionalFormatting>
  <conditionalFormatting sqref="Q23">
    <cfRule type="cellIs" dxfId="2227" priority="239" operator="between">
      <formula>0.5%</formula>
      <formula>0.599%</formula>
    </cfRule>
    <cfRule type="cellIs" dxfId="2226" priority="240" operator="between">
      <formula>1.41%</formula>
      <formula>1.5%</formula>
    </cfRule>
    <cfRule type="expression" dxfId="2225" priority="241">
      <formula>Q23&lt;0.5%</formula>
    </cfRule>
    <cfRule type="expression" dxfId="2224" priority="242">
      <formula>Q23&gt;1.5%</formula>
    </cfRule>
  </conditionalFormatting>
  <conditionalFormatting sqref="K32:L32">
    <cfRule type="cellIs" dxfId="2223" priority="235" operator="between">
      <formula>20</formula>
      <formula>25.9</formula>
    </cfRule>
    <cfRule type="cellIs" dxfId="2222" priority="236" operator="between">
      <formula>34.1</formula>
      <formula>35</formula>
    </cfRule>
    <cfRule type="expression" dxfId="2221" priority="237">
      <formula>K32&lt;20</formula>
    </cfRule>
    <cfRule type="expression" dxfId="2220" priority="238">
      <formula>K32&gt;35</formula>
    </cfRule>
  </conditionalFormatting>
  <conditionalFormatting sqref="K28:L29">
    <cfRule type="cellIs" dxfId="2219" priority="231" operator="between">
      <formula>50</formula>
      <formula>54.9</formula>
    </cfRule>
    <cfRule type="cellIs" dxfId="2218" priority="232" operator="between">
      <formula>65.1</formula>
      <formula>70</formula>
    </cfRule>
    <cfRule type="expression" dxfId="2217" priority="233">
      <formula>K28&lt;50</formula>
    </cfRule>
    <cfRule type="expression" dxfId="2216" priority="234">
      <formula>K28&gt;70</formula>
    </cfRule>
  </conditionalFormatting>
  <conditionalFormatting sqref="K33">
    <cfRule type="cellIs" dxfId="2215" priority="222" operator="between">
      <formula>30</formula>
      <formula>30.9</formula>
    </cfRule>
    <cfRule type="cellIs" dxfId="2214" priority="223" operator="between">
      <formula>37.1</formula>
      <formula>40</formula>
    </cfRule>
    <cfRule type="expression" dxfId="2213" priority="224">
      <formula>K33&lt;30</formula>
    </cfRule>
    <cfRule type="expression" dxfId="2212" priority="225">
      <formula>K33&gt;40</formula>
    </cfRule>
  </conditionalFormatting>
  <conditionalFormatting sqref="K35">
    <cfRule type="cellIs" dxfId="2211" priority="218" operator="between">
      <formula>80</formula>
      <formula>84.9</formula>
    </cfRule>
    <cfRule type="cellIs" dxfId="2210" priority="219" operator="between">
      <formula>95.1</formula>
      <formula>100</formula>
    </cfRule>
    <cfRule type="expression" dxfId="2209" priority="220">
      <formula>K35&lt;80</formula>
    </cfRule>
    <cfRule type="expression" dxfId="2208" priority="221">
      <formula>K35&gt;100</formula>
    </cfRule>
  </conditionalFormatting>
  <conditionalFormatting sqref="K34">
    <cfRule type="expression" dxfId="2207" priority="216">
      <formula>K34&lt;50</formula>
    </cfRule>
    <cfRule type="expression" dxfId="2206" priority="217">
      <formula>K34&gt;70</formula>
    </cfRule>
  </conditionalFormatting>
  <conditionalFormatting sqref="I32:J32">
    <cfRule type="cellIs" dxfId="2205" priority="212" operator="between">
      <formula>20</formula>
      <formula>25.9</formula>
    </cfRule>
    <cfRule type="cellIs" dxfId="2204" priority="213" operator="between">
      <formula>34.1</formula>
      <formula>35</formula>
    </cfRule>
    <cfRule type="expression" dxfId="2203" priority="214">
      <formula>I32&lt;20</formula>
    </cfRule>
    <cfRule type="expression" dxfId="2202" priority="215">
      <formula>I32&gt;35</formula>
    </cfRule>
  </conditionalFormatting>
  <conditionalFormatting sqref="I28:J29">
    <cfRule type="cellIs" dxfId="2201" priority="208" operator="between">
      <formula>50</formula>
      <formula>54.9</formula>
    </cfRule>
    <cfRule type="cellIs" dxfId="2200" priority="209" operator="between">
      <formula>65.1</formula>
      <formula>70</formula>
    </cfRule>
    <cfRule type="expression" dxfId="2199" priority="210">
      <formula>I28&lt;50</formula>
    </cfRule>
    <cfRule type="expression" dxfId="2198" priority="211">
      <formula>I28&gt;70</formula>
    </cfRule>
  </conditionalFormatting>
  <conditionalFormatting sqref="I33">
    <cfRule type="cellIs" dxfId="2197" priority="199" operator="between">
      <formula>30</formula>
      <formula>30.9</formula>
    </cfRule>
    <cfRule type="cellIs" dxfId="2196" priority="200" operator="between">
      <formula>37.1</formula>
      <formula>40</formula>
    </cfRule>
    <cfRule type="expression" dxfId="2195" priority="201">
      <formula>I33&lt;30</formula>
    </cfRule>
    <cfRule type="expression" dxfId="2194" priority="202">
      <formula>I33&gt;40</formula>
    </cfRule>
  </conditionalFormatting>
  <conditionalFormatting sqref="I34">
    <cfRule type="expression" dxfId="2193" priority="197">
      <formula>I34&lt;50</formula>
    </cfRule>
    <cfRule type="expression" dxfId="2192" priority="198">
      <formula>I34&gt;70</formula>
    </cfRule>
  </conditionalFormatting>
  <conditionalFormatting sqref="O32:P32">
    <cfRule type="cellIs" dxfId="2191" priority="193" operator="between">
      <formula>20</formula>
      <formula>25.9</formula>
    </cfRule>
    <cfRule type="cellIs" dxfId="2190" priority="194" operator="between">
      <formula>34.1</formula>
      <formula>35</formula>
    </cfRule>
    <cfRule type="expression" dxfId="2189" priority="195">
      <formula>O32&lt;20</formula>
    </cfRule>
    <cfRule type="expression" dxfId="2188" priority="196">
      <formula>O32&gt;35</formula>
    </cfRule>
  </conditionalFormatting>
  <conditionalFormatting sqref="O28:P29">
    <cfRule type="cellIs" dxfId="2187" priority="189" operator="between">
      <formula>50</formula>
      <formula>54.9</formula>
    </cfRule>
    <cfRule type="cellIs" dxfId="2186" priority="190" operator="between">
      <formula>65.1</formula>
      <formula>70</formula>
    </cfRule>
    <cfRule type="expression" dxfId="2185" priority="191">
      <formula>O28&lt;50</formula>
    </cfRule>
    <cfRule type="expression" dxfId="2184" priority="192">
      <formula>O28&gt;70</formula>
    </cfRule>
  </conditionalFormatting>
  <conditionalFormatting sqref="O33">
    <cfRule type="cellIs" dxfId="2183" priority="180" operator="between">
      <formula>30</formula>
      <formula>30.9</formula>
    </cfRule>
    <cfRule type="cellIs" dxfId="2182" priority="181" operator="between">
      <formula>37.1</formula>
      <formula>40</formula>
    </cfRule>
    <cfRule type="expression" dxfId="2181" priority="182">
      <formula>O33&lt;30</formula>
    </cfRule>
    <cfRule type="expression" dxfId="2180" priority="183">
      <formula>O33&gt;40</formula>
    </cfRule>
  </conditionalFormatting>
  <conditionalFormatting sqref="O35">
    <cfRule type="cellIs" dxfId="2179" priority="176" operator="between">
      <formula>80</formula>
      <formula>84.9</formula>
    </cfRule>
    <cfRule type="cellIs" dxfId="2178" priority="177" operator="between">
      <formula>95.1</formula>
      <formula>100</formula>
    </cfRule>
    <cfRule type="expression" dxfId="2177" priority="178">
      <formula>O35&lt;80</formula>
    </cfRule>
    <cfRule type="expression" dxfId="2176" priority="179">
      <formula>O35&gt;100</formula>
    </cfRule>
  </conditionalFormatting>
  <conditionalFormatting sqref="O34">
    <cfRule type="expression" dxfId="2175" priority="174">
      <formula>O34&lt;50</formula>
    </cfRule>
    <cfRule type="expression" dxfId="2174" priority="175">
      <formula>O34&gt;70</formula>
    </cfRule>
  </conditionalFormatting>
  <conditionalFormatting sqref="M32:N32">
    <cfRule type="cellIs" dxfId="2173" priority="170" operator="between">
      <formula>20</formula>
      <formula>25.9</formula>
    </cfRule>
    <cfRule type="cellIs" dxfId="2172" priority="171" operator="between">
      <formula>34.1</formula>
      <formula>35</formula>
    </cfRule>
    <cfRule type="expression" dxfId="2171" priority="172">
      <formula>M32&lt;20</formula>
    </cfRule>
    <cfRule type="expression" dxfId="2170" priority="173">
      <formula>M32&gt;35</formula>
    </cfRule>
  </conditionalFormatting>
  <conditionalFormatting sqref="M28:N29">
    <cfRule type="cellIs" dxfId="2169" priority="166" operator="between">
      <formula>50</formula>
      <formula>54.9</formula>
    </cfRule>
    <cfRule type="cellIs" dxfId="2168" priority="167" operator="between">
      <formula>65.1</formula>
      <formula>70</formula>
    </cfRule>
    <cfRule type="expression" dxfId="2167" priority="168">
      <formula>M28&lt;50</formula>
    </cfRule>
    <cfRule type="expression" dxfId="2166" priority="169">
      <formula>M28&gt;70</formula>
    </cfRule>
  </conditionalFormatting>
  <conditionalFormatting sqref="M33">
    <cfRule type="cellIs" dxfId="2165" priority="157" operator="between">
      <formula>30</formula>
      <formula>30.9</formula>
    </cfRule>
    <cfRule type="cellIs" dxfId="2164" priority="158" operator="between">
      <formula>37.1</formula>
      <formula>40</formula>
    </cfRule>
    <cfRule type="expression" dxfId="2163" priority="159">
      <formula>M33&lt;30</formula>
    </cfRule>
    <cfRule type="expression" dxfId="2162" priority="160">
      <formula>M33&gt;40</formula>
    </cfRule>
  </conditionalFormatting>
  <conditionalFormatting sqref="M34">
    <cfRule type="expression" dxfId="2161" priority="155">
      <formula>M34&lt;50</formula>
    </cfRule>
    <cfRule type="expression" dxfId="2160" priority="156">
      <formula>M34&gt;70</formula>
    </cfRule>
  </conditionalFormatting>
  <conditionalFormatting sqref="S32:T32">
    <cfRule type="cellIs" dxfId="2159" priority="151" operator="between">
      <formula>20</formula>
      <formula>25.9</formula>
    </cfRule>
    <cfRule type="cellIs" dxfId="2158" priority="152" operator="between">
      <formula>34.1</formula>
      <formula>35</formula>
    </cfRule>
    <cfRule type="expression" dxfId="2157" priority="153">
      <formula>S32&lt;20</formula>
    </cfRule>
    <cfRule type="expression" dxfId="2156" priority="154">
      <formula>S32&gt;35</formula>
    </cfRule>
  </conditionalFormatting>
  <conditionalFormatting sqref="S28:T29">
    <cfRule type="cellIs" dxfId="2155" priority="147" operator="between">
      <formula>50</formula>
      <formula>54.9</formula>
    </cfRule>
    <cfRule type="cellIs" dxfId="2154" priority="148" operator="between">
      <formula>65.1</formula>
      <formula>70</formula>
    </cfRule>
    <cfRule type="expression" dxfId="2153" priority="149">
      <formula>S28&lt;50</formula>
    </cfRule>
    <cfRule type="expression" dxfId="2152" priority="150">
      <formula>S28&gt;70</formula>
    </cfRule>
  </conditionalFormatting>
  <conditionalFormatting sqref="S33">
    <cfRule type="cellIs" dxfId="2151" priority="138" operator="between">
      <formula>30</formula>
      <formula>30.9</formula>
    </cfRule>
    <cfRule type="cellIs" dxfId="2150" priority="139" operator="between">
      <formula>37.1</formula>
      <formula>40</formula>
    </cfRule>
    <cfRule type="expression" dxfId="2149" priority="140">
      <formula>S33&lt;30</formula>
    </cfRule>
    <cfRule type="expression" dxfId="2148" priority="141">
      <formula>S33&gt;40</formula>
    </cfRule>
  </conditionalFormatting>
  <conditionalFormatting sqref="S35">
    <cfRule type="cellIs" dxfId="2147" priority="134" operator="between">
      <formula>80</formula>
      <formula>84.9</formula>
    </cfRule>
    <cfRule type="cellIs" dxfId="2146" priority="135" operator="between">
      <formula>95.1</formula>
      <formula>100</formula>
    </cfRule>
    <cfRule type="expression" dxfId="2145" priority="136">
      <formula>S35&lt;80</formula>
    </cfRule>
    <cfRule type="expression" dxfId="2144" priority="137">
      <formula>S35&gt;100</formula>
    </cfRule>
  </conditionalFormatting>
  <conditionalFormatting sqref="S34">
    <cfRule type="expression" dxfId="2143" priority="132">
      <formula>S34&lt;50</formula>
    </cfRule>
    <cfRule type="expression" dxfId="2142" priority="133">
      <formula>S34&gt;70</formula>
    </cfRule>
  </conditionalFormatting>
  <conditionalFormatting sqref="Q32:R32">
    <cfRule type="cellIs" dxfId="2141" priority="128" operator="between">
      <formula>20</formula>
      <formula>25.9</formula>
    </cfRule>
    <cfRule type="cellIs" dxfId="2140" priority="129" operator="between">
      <formula>34.1</formula>
      <formula>35</formula>
    </cfRule>
    <cfRule type="expression" dxfId="2139" priority="130">
      <formula>Q32&lt;20</formula>
    </cfRule>
    <cfRule type="expression" dxfId="2138" priority="131">
      <formula>Q32&gt;35</formula>
    </cfRule>
  </conditionalFormatting>
  <conditionalFormatting sqref="Q28:R29">
    <cfRule type="cellIs" dxfId="2137" priority="124" operator="between">
      <formula>50</formula>
      <formula>54.9</formula>
    </cfRule>
    <cfRule type="cellIs" dxfId="2136" priority="125" operator="between">
      <formula>65.1</formula>
      <formula>70</formula>
    </cfRule>
    <cfRule type="expression" dxfId="2135" priority="126">
      <formula>Q28&lt;50</formula>
    </cfRule>
    <cfRule type="expression" dxfId="2134" priority="127">
      <formula>Q28&gt;70</formula>
    </cfRule>
  </conditionalFormatting>
  <conditionalFormatting sqref="Q33">
    <cfRule type="cellIs" dxfId="2133" priority="115" operator="between">
      <formula>30</formula>
      <formula>30.9</formula>
    </cfRule>
    <cfRule type="cellIs" dxfId="2132" priority="116" operator="between">
      <formula>37.1</formula>
      <formula>40</formula>
    </cfRule>
    <cfRule type="expression" dxfId="2131" priority="117">
      <formula>Q33&lt;30</formula>
    </cfRule>
    <cfRule type="expression" dxfId="2130" priority="118">
      <formula>Q33&gt;40</formula>
    </cfRule>
  </conditionalFormatting>
  <conditionalFormatting sqref="Q34">
    <cfRule type="expression" dxfId="2129" priority="113">
      <formula>Q34&lt;50</formula>
    </cfRule>
    <cfRule type="expression" dxfId="2128" priority="114">
      <formula>Q34&gt;70</formula>
    </cfRule>
  </conditionalFormatting>
  <conditionalFormatting sqref="I24">
    <cfRule type="cellIs" dxfId="2127" priority="85" operator="between">
      <formula>5</formula>
      <formula>6.49</formula>
    </cfRule>
    <cfRule type="cellIs" dxfId="2126" priority="86" operator="between">
      <formula>8.51</formula>
      <formula>10</formula>
    </cfRule>
    <cfRule type="expression" dxfId="2125" priority="87">
      <formula>I24&lt;5</formula>
    </cfRule>
    <cfRule type="expression" dxfId="2124" priority="88">
      <formula>I24&gt;10</formula>
    </cfRule>
  </conditionalFormatting>
  <conditionalFormatting sqref="M24">
    <cfRule type="cellIs" dxfId="2123" priority="77" operator="between">
      <formula>5</formula>
      <formula>6.49</formula>
    </cfRule>
    <cfRule type="cellIs" dxfId="2122" priority="78" operator="between">
      <formula>8.51</formula>
      <formula>10</formula>
    </cfRule>
    <cfRule type="expression" dxfId="2121" priority="79">
      <formula>M24&lt;5</formula>
    </cfRule>
    <cfRule type="expression" dxfId="2120" priority="80">
      <formula>M24&gt;10</formula>
    </cfRule>
  </conditionalFormatting>
  <conditionalFormatting sqref="Q24">
    <cfRule type="cellIs" dxfId="2119" priority="69" operator="between">
      <formula>5</formula>
      <formula>6.49</formula>
    </cfRule>
    <cfRule type="cellIs" dxfId="2118" priority="70" operator="between">
      <formula>8.51</formula>
      <formula>10</formula>
    </cfRule>
    <cfRule type="expression" dxfId="2117" priority="71">
      <formula>Q24&lt;5</formula>
    </cfRule>
    <cfRule type="expression" dxfId="2116" priority="72">
      <formula>Q24&gt;10</formula>
    </cfRule>
  </conditionalFormatting>
  <conditionalFormatting sqref="I30">
    <cfRule type="cellIs" dxfId="2115" priority="61" operator="between">
      <formula>40</formula>
      <formula>44.99</formula>
    </cfRule>
    <cfRule type="cellIs" dxfId="2114" priority="62" operator="between">
      <formula>55.1</formula>
      <formula>60</formula>
    </cfRule>
    <cfRule type="expression" dxfId="2113" priority="63">
      <formula>I30&lt;40</formula>
    </cfRule>
    <cfRule type="expression" dxfId="2112" priority="64">
      <formula>I30&gt;60</formula>
    </cfRule>
  </conditionalFormatting>
  <conditionalFormatting sqref="I31">
    <cfRule type="cellIs" dxfId="2111" priority="57" operator="between">
      <formula>40</formula>
      <formula>44.99</formula>
    </cfRule>
    <cfRule type="cellIs" dxfId="2110" priority="58" operator="between">
      <formula>55.1</formula>
      <formula>60</formula>
    </cfRule>
    <cfRule type="expression" dxfId="2109" priority="59">
      <formula>I31&lt;40</formula>
    </cfRule>
    <cfRule type="expression" dxfId="2108" priority="60">
      <formula>I31&gt;60</formula>
    </cfRule>
  </conditionalFormatting>
  <conditionalFormatting sqref="K30">
    <cfRule type="cellIs" dxfId="2107" priority="53" operator="between">
      <formula>40</formula>
      <formula>44.99</formula>
    </cfRule>
    <cfRule type="cellIs" dxfId="2106" priority="54" operator="between">
      <formula>55.1</formula>
      <formula>60</formula>
    </cfRule>
    <cfRule type="expression" dxfId="2105" priority="55">
      <formula>K30&lt;40</formula>
    </cfRule>
    <cfRule type="expression" dxfId="2104" priority="56">
      <formula>K30&gt;60</formula>
    </cfRule>
  </conditionalFormatting>
  <conditionalFormatting sqref="K31">
    <cfRule type="cellIs" dxfId="2103" priority="49" operator="between">
      <formula>40</formula>
      <formula>44.99</formula>
    </cfRule>
    <cfRule type="cellIs" dxfId="2102" priority="50" operator="between">
      <formula>55.1</formula>
      <formula>60</formula>
    </cfRule>
    <cfRule type="expression" dxfId="2101" priority="51">
      <formula>K31&lt;40</formula>
    </cfRule>
    <cfRule type="expression" dxfId="2100" priority="52">
      <formula>K31&gt;60</formula>
    </cfRule>
  </conditionalFormatting>
  <conditionalFormatting sqref="M30">
    <cfRule type="cellIs" dxfId="2099" priority="45" operator="between">
      <formula>40</formula>
      <formula>44.99</formula>
    </cfRule>
    <cfRule type="cellIs" dxfId="2098" priority="46" operator="between">
      <formula>55.1</formula>
      <formula>60</formula>
    </cfRule>
    <cfRule type="expression" dxfId="2097" priority="47">
      <formula>M30&lt;40</formula>
    </cfRule>
    <cfRule type="expression" dxfId="2096" priority="48">
      <formula>M30&gt;60</formula>
    </cfRule>
  </conditionalFormatting>
  <conditionalFormatting sqref="M31">
    <cfRule type="cellIs" dxfId="2095" priority="41" operator="between">
      <formula>40</formula>
      <formula>44.99</formula>
    </cfRule>
    <cfRule type="cellIs" dxfId="2094" priority="42" operator="between">
      <formula>55.1</formula>
      <formula>60</formula>
    </cfRule>
    <cfRule type="expression" dxfId="2093" priority="43">
      <formula>M31&lt;40</formula>
    </cfRule>
    <cfRule type="expression" dxfId="2092" priority="44">
      <formula>M31&gt;60</formula>
    </cfRule>
  </conditionalFormatting>
  <conditionalFormatting sqref="O30">
    <cfRule type="cellIs" dxfId="2091" priority="37" operator="between">
      <formula>40</formula>
      <formula>44.99</formula>
    </cfRule>
    <cfRule type="cellIs" dxfId="2090" priority="38" operator="between">
      <formula>55.1</formula>
      <formula>60</formula>
    </cfRule>
    <cfRule type="expression" dxfId="2089" priority="39">
      <formula>O30&lt;40</formula>
    </cfRule>
    <cfRule type="expression" dxfId="2088" priority="40">
      <formula>O30&gt;60</formula>
    </cfRule>
  </conditionalFormatting>
  <conditionalFormatting sqref="O31">
    <cfRule type="cellIs" dxfId="2087" priority="33" operator="between">
      <formula>40</formula>
      <formula>44.99</formula>
    </cfRule>
    <cfRule type="cellIs" dxfId="2086" priority="34" operator="between">
      <formula>55.1</formula>
      <formula>60</formula>
    </cfRule>
    <cfRule type="expression" dxfId="2085" priority="35">
      <formula>O31&lt;40</formula>
    </cfRule>
    <cfRule type="expression" dxfId="2084" priority="36">
      <formula>O31&gt;60</formula>
    </cfRule>
  </conditionalFormatting>
  <conditionalFormatting sqref="Q30">
    <cfRule type="cellIs" dxfId="2083" priority="29" operator="between">
      <formula>40</formula>
      <formula>44.99</formula>
    </cfRule>
    <cfRule type="cellIs" dxfId="2082" priority="30" operator="between">
      <formula>55.1</formula>
      <formula>60</formula>
    </cfRule>
    <cfRule type="expression" dxfId="2081" priority="31">
      <formula>Q30&lt;40</formula>
    </cfRule>
    <cfRule type="expression" dxfId="2080" priority="32">
      <formula>Q30&gt;60</formula>
    </cfRule>
  </conditionalFormatting>
  <conditionalFormatting sqref="Q31">
    <cfRule type="cellIs" dxfId="2079" priority="25" operator="between">
      <formula>40</formula>
      <formula>44.99</formula>
    </cfRule>
    <cfRule type="cellIs" dxfId="2078" priority="26" operator="between">
      <formula>55.1</formula>
      <formula>60</formula>
    </cfRule>
    <cfRule type="expression" dxfId="2077" priority="27">
      <formula>Q31&lt;40</formula>
    </cfRule>
    <cfRule type="expression" dxfId="2076" priority="28">
      <formula>Q31&gt;60</formula>
    </cfRule>
  </conditionalFormatting>
  <conditionalFormatting sqref="S30">
    <cfRule type="cellIs" dxfId="2075" priority="21" operator="between">
      <formula>40</formula>
      <formula>44.99</formula>
    </cfRule>
    <cfRule type="cellIs" dxfId="2074" priority="22" operator="between">
      <formula>55.1</formula>
      <formula>60</formula>
    </cfRule>
    <cfRule type="expression" dxfId="2073" priority="23">
      <formula>S30&lt;40</formula>
    </cfRule>
    <cfRule type="expression" dxfId="2072" priority="24">
      <formula>S30&gt;60</formula>
    </cfRule>
  </conditionalFormatting>
  <conditionalFormatting sqref="S31">
    <cfRule type="cellIs" dxfId="2071" priority="17" operator="between">
      <formula>40</formula>
      <formula>44.99</formula>
    </cfRule>
    <cfRule type="cellIs" dxfId="2070" priority="18" operator="between">
      <formula>55.1</formula>
      <formula>60</formula>
    </cfRule>
    <cfRule type="expression" dxfId="2069" priority="19">
      <formula>S31&lt;40</formula>
    </cfRule>
    <cfRule type="expression" dxfId="2068" priority="20">
      <formula>S31&gt;60</formula>
    </cfRule>
  </conditionalFormatting>
  <conditionalFormatting sqref="I25">
    <cfRule type="cellIs" dxfId="2067" priority="13" operator="between">
      <formula>1.8</formula>
      <formula>1.899</formula>
    </cfRule>
    <cfRule type="cellIs" dxfId="2066" priority="14" operator="between">
      <formula>2.11</formula>
      <formula>2.2</formula>
    </cfRule>
    <cfRule type="expression" dxfId="2065" priority="15">
      <formula>I25&lt;1.8</formula>
    </cfRule>
    <cfRule type="expression" dxfId="2064" priority="16">
      <formula>I25&gt;2.2</formula>
    </cfRule>
  </conditionalFormatting>
  <conditionalFormatting sqref="M25">
    <cfRule type="cellIs" dxfId="2063" priority="9" operator="between">
      <formula>1.8</formula>
      <formula>1.899</formula>
    </cfRule>
    <cfRule type="cellIs" dxfId="2062" priority="10" operator="between">
      <formula>2.11</formula>
      <formula>2.2</formula>
    </cfRule>
    <cfRule type="expression" dxfId="2061" priority="11">
      <formula>M25&lt;1.8</formula>
    </cfRule>
    <cfRule type="expression" dxfId="2060" priority="12">
      <formula>M25&gt;2.2</formula>
    </cfRule>
  </conditionalFormatting>
  <conditionalFormatting sqref="Q25">
    <cfRule type="cellIs" dxfId="2059" priority="5" operator="between">
      <formula>1.8</formula>
      <formula>1.899</formula>
    </cfRule>
    <cfRule type="cellIs" dxfId="2058" priority="6" operator="between">
      <formula>2.11</formula>
      <formula>2.2</formula>
    </cfRule>
    <cfRule type="expression" dxfId="2057" priority="7">
      <formula>Q25&lt;1.8</formula>
    </cfRule>
    <cfRule type="expression" dxfId="2056" priority="8">
      <formula>Q25&gt;2.2</formula>
    </cfRule>
  </conditionalFormatting>
  <conditionalFormatting sqref="Q25">
    <cfRule type="cellIs" dxfId="2055" priority="1" operator="between">
      <formula>5</formula>
      <formula>6.49</formula>
    </cfRule>
    <cfRule type="cellIs" dxfId="2054" priority="2" operator="between">
      <formula>8.51</formula>
      <formula>10</formula>
    </cfRule>
    <cfRule type="expression" dxfId="2053" priority="3">
      <formula>Q25&lt;5</formula>
    </cfRule>
    <cfRule type="expression" dxfId="2052" priority="4">
      <formula>Q25&gt;10</formula>
    </cfRule>
  </conditionalFormatting>
  <pageMargins left="0.3"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2.xml><?xml version="1.0" encoding="utf-8"?>
<worksheet xmlns="http://schemas.openxmlformats.org/spreadsheetml/2006/main" xmlns:r="http://schemas.openxmlformats.org/officeDocument/2006/relationships">
  <sheetPr>
    <tabColor theme="5" tint="0.39997558519241921"/>
  </sheetPr>
  <dimension ref="A1:AM37"/>
  <sheetViews>
    <sheetView zoomScale="55" zoomScaleNormal="55" zoomScaleSheetLayoutView="70" workbookViewId="0">
      <selection activeCell="AD13" sqref="AD13"/>
    </sheetView>
  </sheetViews>
  <sheetFormatPr defaultRowHeight="15"/>
  <cols>
    <col min="1" max="1" width="4.125" style="19" customWidth="1"/>
    <col min="2" max="2" width="7.5" style="32" customWidth="1"/>
    <col min="3" max="3" width="5.625" style="32" customWidth="1"/>
    <col min="4" max="4" width="2.875" style="32" customWidth="1"/>
    <col min="5" max="5" width="9.5" style="32" customWidth="1"/>
    <col min="6" max="6" width="8" style="19" customWidth="1"/>
    <col min="7" max="7" width="15.75" style="33" customWidth="1"/>
    <col min="8" max="8" width="12.25" style="33" customWidth="1"/>
    <col min="9" max="9" width="9.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8.75" style="19" customWidth="1"/>
    <col min="18" max="18" width="3.75" style="19" customWidth="1"/>
    <col min="19" max="19" width="7.75" style="19" customWidth="1"/>
    <col min="20" max="20" width="5" style="19" customWidth="1"/>
    <col min="21" max="21" width="11.625" style="19" customWidth="1"/>
    <col min="22" max="22" width="3.375" style="19" customWidth="1"/>
    <col min="23" max="23" width="6" style="19" customWidth="1"/>
    <col min="24" max="24" width="9" style="19"/>
    <col min="25" max="25" width="8.5" style="19" customWidth="1"/>
    <col min="26" max="26" width="5.75" style="19" customWidth="1"/>
    <col min="27" max="27" width="9" style="19"/>
    <col min="28" max="28" width="12.75" style="19" customWidth="1"/>
    <col min="29" max="29" width="6.25" style="19" customWidth="1"/>
    <col min="30" max="30" width="10.25" style="19" customWidth="1"/>
    <col min="31" max="31" width="6.875" style="19" customWidth="1"/>
    <col min="32" max="32" width="10.25" style="19" customWidth="1"/>
    <col min="33" max="33" width="7.125" style="19" customWidth="1"/>
    <col min="34" max="34" width="10.25" style="19" customWidth="1"/>
    <col min="35" max="35" width="6.625" style="19" customWidth="1"/>
    <col min="36" max="36" width="10.25" style="19" customWidth="1"/>
    <col min="37" max="37" width="6.5" style="19" customWidth="1"/>
    <col min="38" max="38" width="10.25" style="19" customWidth="1"/>
    <col min="39" max="39" width="6.375" style="19" customWidth="1"/>
    <col min="40" max="16384" width="9" style="19"/>
  </cols>
  <sheetData>
    <row r="1" spans="1:39" ht="36" customHeight="1">
      <c r="A1" s="3299" t="s">
        <v>567</v>
      </c>
      <c r="B1" s="3299"/>
      <c r="C1" s="3299"/>
      <c r="D1" s="3299"/>
      <c r="E1" s="3299"/>
      <c r="F1" s="3299"/>
      <c r="G1" s="3299"/>
      <c r="H1" s="3299"/>
      <c r="I1" s="3299"/>
      <c r="J1" s="3299"/>
      <c r="K1" s="3299"/>
      <c r="L1" s="3299"/>
      <c r="M1" s="3299"/>
      <c r="N1" s="3299"/>
      <c r="O1" s="3299"/>
      <c r="P1" s="3299"/>
      <c r="Q1" s="3299"/>
      <c r="R1" s="3299"/>
      <c r="S1" s="1013"/>
      <c r="T1" s="1013"/>
      <c r="U1" s="1456" t="s">
        <v>1361</v>
      </c>
      <c r="W1" s="1459"/>
      <c r="X1" s="1459"/>
      <c r="Y1" s="1459"/>
      <c r="Z1" s="1459"/>
      <c r="AA1" s="1459"/>
      <c r="AB1" s="1459"/>
      <c r="AC1" s="1459"/>
      <c r="AD1" s="1459"/>
      <c r="AE1" s="1460"/>
      <c r="AM1" s="1460" t="s">
        <v>1362</v>
      </c>
    </row>
    <row r="2" spans="1:39" ht="46.5" customHeight="1">
      <c r="A2" s="3272" t="s">
        <v>218</v>
      </c>
      <c r="B2" s="3272"/>
      <c r="C2" s="3272"/>
      <c r="D2" s="3272"/>
      <c r="E2" s="3272"/>
      <c r="F2" s="3272"/>
      <c r="G2" s="3272"/>
      <c r="H2" s="3272"/>
      <c r="I2" s="3272"/>
      <c r="J2" s="3272"/>
      <c r="K2" s="3272"/>
      <c r="L2" s="3272"/>
      <c r="M2" s="3272"/>
      <c r="N2" s="3272"/>
      <c r="O2" s="3272"/>
      <c r="P2" s="3272"/>
      <c r="Q2" s="3272"/>
      <c r="R2" s="3273"/>
      <c r="S2" s="3285" t="s">
        <v>88</v>
      </c>
      <c r="T2" s="3063"/>
      <c r="U2" s="1449" t="s">
        <v>1356</v>
      </c>
      <c r="W2" s="3272"/>
      <c r="X2" s="3272"/>
      <c r="Y2" s="3272"/>
      <c r="Z2" s="3272"/>
      <c r="AA2" s="3272"/>
      <c r="AB2" s="3272"/>
      <c r="AC2" s="3272"/>
      <c r="AD2" s="3272"/>
      <c r="AE2" s="3272"/>
      <c r="AF2" s="1599"/>
      <c r="AG2" s="1790"/>
      <c r="AH2" s="1790"/>
    </row>
    <row r="3" spans="1:39" ht="31.5" customHeight="1">
      <c r="A3" s="51"/>
      <c r="B3" s="3294" t="s">
        <v>214</v>
      </c>
      <c r="C3" s="3294"/>
      <c r="D3" s="3294"/>
      <c r="E3" s="1402"/>
      <c r="F3" s="2714" t="s">
        <v>1624</v>
      </c>
      <c r="G3" s="1819" t="str">
        <f>MENU!$AC$9</f>
        <v>Thứ 4,</v>
      </c>
      <c r="H3" s="3248" t="str">
        <f>MENU!$AD$9</f>
        <v>2024/05/22</v>
      </c>
      <c r="I3" s="3248"/>
      <c r="J3" s="26"/>
      <c r="K3" s="26"/>
      <c r="L3" s="26"/>
      <c r="M3" s="26"/>
      <c r="N3" s="26"/>
      <c r="O3" s="26"/>
      <c r="P3" s="26"/>
      <c r="Q3" s="26"/>
      <c r="R3" s="49"/>
      <c r="S3" s="3295" t="str">
        <f>MENU!AE7</f>
        <v>L.Yen</v>
      </c>
      <c r="T3" s="3296"/>
      <c r="U3" s="1434"/>
      <c r="W3" s="51"/>
      <c r="X3" s="3294" t="s">
        <v>214</v>
      </c>
      <c r="Y3" s="3294"/>
      <c r="Z3" s="3294"/>
      <c r="AA3" s="1402"/>
      <c r="AB3" s="1819" t="str">
        <f>MENU!$AC$9</f>
        <v>Thứ 4,</v>
      </c>
      <c r="AC3" s="3248" t="str">
        <f>MENU!$AD$9</f>
        <v>2024/05/22</v>
      </c>
      <c r="AD3" s="3248"/>
      <c r="AE3" s="26"/>
      <c r="AF3" s="26"/>
      <c r="AG3" s="452"/>
      <c r="AH3" s="452"/>
    </row>
    <row r="4" spans="1:39" s="52" customFormat="1" ht="35.25" customHeight="1">
      <c r="A4" s="3279" t="s">
        <v>7</v>
      </c>
      <c r="B4" s="3083" t="s">
        <v>76</v>
      </c>
      <c r="C4" s="3084"/>
      <c r="D4" s="3084"/>
      <c r="E4" s="3085"/>
      <c r="F4" s="3278" t="s">
        <v>124</v>
      </c>
      <c r="G4" s="3059" t="s">
        <v>1310</v>
      </c>
      <c r="H4" s="3109" t="s">
        <v>1302</v>
      </c>
      <c r="I4" s="3061">
        <v>0.80208333333333337</v>
      </c>
      <c r="J4" s="3062"/>
      <c r="K4" s="3062"/>
      <c r="L4" s="3063"/>
      <c r="M4" s="3117">
        <v>0.96875</v>
      </c>
      <c r="N4" s="3062"/>
      <c r="O4" s="3062"/>
      <c r="P4" s="3063"/>
      <c r="Q4" s="3117">
        <v>0.13541666666666666</v>
      </c>
      <c r="R4" s="3062"/>
      <c r="S4" s="3062"/>
      <c r="T4" s="3063"/>
      <c r="U4" s="3148" t="s">
        <v>90</v>
      </c>
      <c r="W4" s="3279" t="s">
        <v>7</v>
      </c>
      <c r="X4" s="3083" t="s">
        <v>76</v>
      </c>
      <c r="Y4" s="3084"/>
      <c r="Z4" s="3084"/>
      <c r="AA4" s="3085"/>
      <c r="AB4" s="3117">
        <v>0.80208333333333337</v>
      </c>
      <c r="AC4" s="3061"/>
      <c r="AD4" s="3061"/>
      <c r="AE4" s="3284"/>
      <c r="AF4" s="3117">
        <v>0.96875</v>
      </c>
      <c r="AG4" s="3061"/>
      <c r="AH4" s="3061"/>
      <c r="AI4" s="3284"/>
      <c r="AJ4" s="3117">
        <v>0.13541666666666666</v>
      </c>
      <c r="AK4" s="3061"/>
      <c r="AL4" s="3061"/>
      <c r="AM4" s="3284"/>
    </row>
    <row r="5" spans="1:39" s="52" customFormat="1" ht="30" customHeight="1">
      <c r="A5" s="3279"/>
      <c r="B5" s="3086"/>
      <c r="C5" s="3087"/>
      <c r="D5" s="3087"/>
      <c r="E5" s="3088"/>
      <c r="F5" s="3279"/>
      <c r="G5" s="3060"/>
      <c r="H5" s="3110"/>
      <c r="I5" s="2240" t="s">
        <v>129</v>
      </c>
      <c r="J5" s="3067" t="s">
        <v>1</v>
      </c>
      <c r="K5" s="3068"/>
      <c r="L5" s="3069"/>
      <c r="M5" s="53" t="s">
        <v>129</v>
      </c>
      <c r="N5" s="3067" t="s">
        <v>1</v>
      </c>
      <c r="O5" s="3068"/>
      <c r="P5" s="3069"/>
      <c r="Q5" s="53" t="s">
        <v>129</v>
      </c>
      <c r="R5" s="3067" t="s">
        <v>1</v>
      </c>
      <c r="S5" s="3068"/>
      <c r="T5" s="3069"/>
      <c r="U5" s="3149"/>
      <c r="W5" s="3279"/>
      <c r="X5" s="3086"/>
      <c r="Y5" s="3087"/>
      <c r="Z5" s="3087"/>
      <c r="AA5" s="3088"/>
      <c r="AB5" s="3251" t="s">
        <v>1448</v>
      </c>
      <c r="AC5" s="3287"/>
      <c r="AD5" s="3286" t="s">
        <v>1481</v>
      </c>
      <c r="AE5" s="3063"/>
      <c r="AF5" s="3251" t="s">
        <v>1448</v>
      </c>
      <c r="AG5" s="3287"/>
      <c r="AH5" s="3286" t="s">
        <v>1481</v>
      </c>
      <c r="AI5" s="3063"/>
      <c r="AJ5" s="3251" t="s">
        <v>1448</v>
      </c>
      <c r="AK5" s="3287"/>
      <c r="AL5" s="3286" t="s">
        <v>1481</v>
      </c>
      <c r="AM5" s="3063"/>
    </row>
    <row r="6" spans="1:39" ht="34.5" customHeight="1">
      <c r="A6" s="3260">
        <v>1</v>
      </c>
      <c r="B6" s="3083" t="s">
        <v>131</v>
      </c>
      <c r="C6" s="3266"/>
      <c r="D6" s="3263" t="s">
        <v>230</v>
      </c>
      <c r="E6" s="3264"/>
      <c r="F6" s="1433" t="s">
        <v>4</v>
      </c>
      <c r="G6" s="898" t="str">
        <f>'XM.GUI MAIL'!$E$43</f>
        <v>60~80</v>
      </c>
      <c r="H6" s="2222" t="str">
        <f>'XM.GUI MAIL'!$F$43</f>
        <v>(70±5)</v>
      </c>
      <c r="I6" s="2225">
        <f>'XM.GUI MAIL'!AD43</f>
        <v>64.900000000000006</v>
      </c>
      <c r="J6" s="1408" t="s">
        <v>8</v>
      </c>
      <c r="K6" s="1347">
        <f>'XM.GUI MAIL'!AG43</f>
        <v>13.734299999999985</v>
      </c>
      <c r="L6" s="1408" t="s">
        <v>9</v>
      </c>
      <c r="M6" s="1404">
        <f>'XM.GUI MAIL'!AK43</f>
        <v>68.793999999999997</v>
      </c>
      <c r="N6" s="1408" t="s">
        <v>8</v>
      </c>
      <c r="O6" s="1347">
        <f>'XM.GUI MAIL'!AN43</f>
        <v>3.2477580000000086</v>
      </c>
      <c r="P6" s="1408" t="s">
        <v>9</v>
      </c>
      <c r="Q6" s="1404">
        <f>'XM.GUI MAIL'!AR43</f>
        <v>71.39</v>
      </c>
      <c r="R6" s="1408" t="s">
        <v>8</v>
      </c>
      <c r="S6" s="1347">
        <f>'XM.GUI MAIL'!AU43</f>
        <v>0</v>
      </c>
      <c r="T6" s="57" t="s">
        <v>9</v>
      </c>
      <c r="U6" s="271" t="s">
        <v>12</v>
      </c>
      <c r="W6" s="3260">
        <v>1</v>
      </c>
      <c r="X6" s="3083" t="s">
        <v>131</v>
      </c>
      <c r="Y6" s="3266"/>
      <c r="Z6" s="3263" t="s">
        <v>230</v>
      </c>
      <c r="AA6" s="3264"/>
      <c r="AB6" s="2030" t="s">
        <v>1669</v>
      </c>
      <c r="AC6" s="1806" t="s">
        <v>9</v>
      </c>
      <c r="AD6" s="1798">
        <v>67.3</v>
      </c>
      <c r="AE6" s="1753" t="s">
        <v>4</v>
      </c>
      <c r="AF6" s="2030"/>
      <c r="AG6" s="1806" t="s">
        <v>9</v>
      </c>
      <c r="AH6" s="1798"/>
      <c r="AI6" s="1753" t="s">
        <v>4</v>
      </c>
      <c r="AJ6" s="2030"/>
      <c r="AK6" s="1806" t="s">
        <v>9</v>
      </c>
      <c r="AL6" s="1798"/>
      <c r="AM6" s="1753" t="s">
        <v>4</v>
      </c>
    </row>
    <row r="7" spans="1:39" ht="34.5" customHeight="1">
      <c r="A7" s="3293"/>
      <c r="B7" s="3267"/>
      <c r="C7" s="3268"/>
      <c r="D7" s="3263" t="s">
        <v>231</v>
      </c>
      <c r="E7" s="3264"/>
      <c r="F7" s="1014"/>
      <c r="G7" s="898" t="s">
        <v>1363</v>
      </c>
      <c r="H7" s="2222"/>
      <c r="I7" s="2211"/>
      <c r="J7" s="1408"/>
      <c r="K7" s="79">
        <f>K6/25*7.5</f>
        <v>4.1202899999999953</v>
      </c>
      <c r="L7" s="1408" t="s">
        <v>10</v>
      </c>
      <c r="M7" s="1683"/>
      <c r="N7" s="1408"/>
      <c r="O7" s="79">
        <f>O6/25*7.5</f>
        <v>0.97432740000000262</v>
      </c>
      <c r="P7" s="1408" t="s">
        <v>10</v>
      </c>
      <c r="Q7" s="1683"/>
      <c r="R7" s="1408"/>
      <c r="S7" s="79">
        <f>S6/25*7.5</f>
        <v>0</v>
      </c>
      <c r="T7" s="57" t="s">
        <v>10</v>
      </c>
      <c r="U7" s="20"/>
      <c r="W7" s="3293"/>
      <c r="X7" s="3267"/>
      <c r="Y7" s="3268"/>
      <c r="Z7" s="3263" t="s">
        <v>231</v>
      </c>
      <c r="AA7" s="3264"/>
      <c r="AB7" s="2030"/>
      <c r="AC7" s="1806" t="s">
        <v>10</v>
      </c>
      <c r="AD7" s="1798"/>
      <c r="AE7" s="1807"/>
      <c r="AF7" s="2030"/>
      <c r="AG7" s="1806" t="s">
        <v>10</v>
      </c>
      <c r="AH7" s="1798"/>
      <c r="AI7" s="1807"/>
      <c r="AJ7" s="2030"/>
      <c r="AK7" s="1806" t="s">
        <v>10</v>
      </c>
      <c r="AL7" s="1798"/>
      <c r="AM7" s="1807"/>
    </row>
    <row r="8" spans="1:39" ht="34.5" customHeight="1">
      <c r="A8" s="3260">
        <v>2</v>
      </c>
      <c r="B8" s="3083" t="s">
        <v>132</v>
      </c>
      <c r="C8" s="3266"/>
      <c r="D8" s="3263" t="s">
        <v>230</v>
      </c>
      <c r="E8" s="3264"/>
      <c r="F8" s="1433" t="s">
        <v>4</v>
      </c>
      <c r="G8" s="898" t="str">
        <f>'XM.GUI MAIL'!$E$45</f>
        <v>60~80</v>
      </c>
      <c r="H8" s="2222" t="str">
        <f>'XM.GUI MAIL'!$F$45</f>
        <v>(70±5)</v>
      </c>
      <c r="I8" s="2225">
        <f>'XM.GUI MAIL'!AD45</f>
        <v>70.741</v>
      </c>
      <c r="J8" s="1408" t="s">
        <v>8</v>
      </c>
      <c r="K8" s="1347">
        <f>'XM.GUI MAIL'!AG45</f>
        <v>0</v>
      </c>
      <c r="L8" s="1408" t="s">
        <v>9</v>
      </c>
      <c r="M8" s="1404">
        <f>'XM.GUI MAIL'!AK45</f>
        <v>71.39</v>
      </c>
      <c r="N8" s="1408" t="s">
        <v>8</v>
      </c>
      <c r="O8" s="1347">
        <f>'XM.GUI MAIL'!AN45</f>
        <v>0</v>
      </c>
      <c r="P8" s="1408" t="s">
        <v>9</v>
      </c>
      <c r="Q8" s="1404">
        <f>'XM.GUI MAIL'!AR45</f>
        <v>72.039000000000001</v>
      </c>
      <c r="R8" s="1408" t="s">
        <v>8</v>
      </c>
      <c r="S8" s="1347">
        <f>'XM.GUI MAIL'!AU45</f>
        <v>0</v>
      </c>
      <c r="T8" s="57" t="s">
        <v>9</v>
      </c>
      <c r="U8" s="271" t="s">
        <v>12</v>
      </c>
      <c r="W8" s="3260">
        <v>2</v>
      </c>
      <c r="X8" s="3083" t="s">
        <v>132</v>
      </c>
      <c r="Y8" s="3266"/>
      <c r="Z8" s="3263" t="s">
        <v>230</v>
      </c>
      <c r="AA8" s="3264"/>
      <c r="AB8" s="2030"/>
      <c r="AC8" s="1806" t="s">
        <v>9</v>
      </c>
      <c r="AD8" s="1798"/>
      <c r="AE8" s="1753" t="s">
        <v>4</v>
      </c>
      <c r="AF8" s="2030"/>
      <c r="AG8" s="1806" t="s">
        <v>9</v>
      </c>
      <c r="AH8" s="1798"/>
      <c r="AI8" s="1753" t="s">
        <v>4</v>
      </c>
      <c r="AJ8" s="2030"/>
      <c r="AK8" s="1806" t="s">
        <v>9</v>
      </c>
      <c r="AL8" s="1798"/>
      <c r="AM8" s="1753" t="s">
        <v>4</v>
      </c>
    </row>
    <row r="9" spans="1:39" ht="34.5" customHeight="1">
      <c r="A9" s="3293"/>
      <c r="B9" s="3267"/>
      <c r="C9" s="3268"/>
      <c r="D9" s="3263" t="s">
        <v>231</v>
      </c>
      <c r="E9" s="3264"/>
      <c r="F9" s="1014"/>
      <c r="G9" s="898" t="s">
        <v>949</v>
      </c>
      <c r="H9" s="2222"/>
      <c r="I9" s="2211"/>
      <c r="J9" s="1408"/>
      <c r="K9" s="79">
        <f>K8/25*7.5</f>
        <v>0</v>
      </c>
      <c r="L9" s="1408" t="s">
        <v>10</v>
      </c>
      <c r="M9" s="1683"/>
      <c r="N9" s="1408"/>
      <c r="O9" s="79">
        <f>O8/25*7.5</f>
        <v>0</v>
      </c>
      <c r="P9" s="1408" t="s">
        <v>10</v>
      </c>
      <c r="Q9" s="1683"/>
      <c r="R9" s="1408"/>
      <c r="S9" s="79">
        <f>S8/25*7.5</f>
        <v>0</v>
      </c>
      <c r="T9" s="57" t="s">
        <v>10</v>
      </c>
      <c r="U9" s="20"/>
      <c r="W9" s="3293"/>
      <c r="X9" s="3267"/>
      <c r="Y9" s="3268"/>
      <c r="Z9" s="3263" t="s">
        <v>231</v>
      </c>
      <c r="AA9" s="3264"/>
      <c r="AB9" s="2030"/>
      <c r="AC9" s="1806" t="s">
        <v>10</v>
      </c>
      <c r="AD9" s="1798"/>
      <c r="AE9" s="1807"/>
      <c r="AF9" s="2030"/>
      <c r="AG9" s="1806" t="s">
        <v>10</v>
      </c>
      <c r="AH9" s="1798"/>
      <c r="AI9" s="1807"/>
      <c r="AJ9" s="2030"/>
      <c r="AK9" s="1806" t="s">
        <v>10</v>
      </c>
      <c r="AL9" s="1798"/>
      <c r="AM9" s="1807"/>
    </row>
    <row r="10" spans="1:39" ht="34.5" customHeight="1">
      <c r="A10" s="3260">
        <v>3</v>
      </c>
      <c r="B10" s="3250" t="s">
        <v>133</v>
      </c>
      <c r="C10" s="3262"/>
      <c r="D10" s="3251" t="s">
        <v>232</v>
      </c>
      <c r="E10" s="3253" t="s">
        <v>232</v>
      </c>
      <c r="F10" s="1433" t="s">
        <v>4</v>
      </c>
      <c r="G10" s="898" t="str">
        <f>'XM.GUI MAIL'!$E$47</f>
        <v>50~70</v>
      </c>
      <c r="H10" s="2222" t="str">
        <f>'XM.GUI MAIL'!$F$47</f>
        <v>(60±10)</v>
      </c>
      <c r="I10" s="2225">
        <f>'XM.GUI MAIL'!AD47</f>
        <v>63.293999999999997</v>
      </c>
      <c r="J10" s="1408" t="s">
        <v>8</v>
      </c>
      <c r="K10" s="1347">
        <f>'XM.GUI MAIL'!AG47</f>
        <v>0</v>
      </c>
      <c r="L10" s="1408" t="s">
        <v>9</v>
      </c>
      <c r="M10" s="1404">
        <f>'XM.GUI MAIL'!AK47</f>
        <v>62.370000000000005</v>
      </c>
      <c r="N10" s="1408" t="s">
        <v>8</v>
      </c>
      <c r="O10" s="1347">
        <f>'XM.GUI MAIL'!AN47</f>
        <v>0</v>
      </c>
      <c r="P10" s="1408" t="s">
        <v>9</v>
      </c>
      <c r="Q10" s="1404">
        <f>'XM.GUI MAIL'!AR47</f>
        <v>60.06</v>
      </c>
      <c r="R10" s="1408" t="s">
        <v>8</v>
      </c>
      <c r="S10" s="1347">
        <f>'XM.GUI MAIL'!AU47</f>
        <v>0</v>
      </c>
      <c r="T10" s="57" t="s">
        <v>9</v>
      </c>
      <c r="U10" s="271" t="s">
        <v>12</v>
      </c>
      <c r="W10" s="3260">
        <v>3</v>
      </c>
      <c r="X10" s="3250" t="s">
        <v>133</v>
      </c>
      <c r="Y10" s="3262"/>
      <c r="Z10" s="3251" t="s">
        <v>232</v>
      </c>
      <c r="AA10" s="3253" t="s">
        <v>232</v>
      </c>
      <c r="AB10" s="2030"/>
      <c r="AC10" s="1806" t="s">
        <v>9</v>
      </c>
      <c r="AD10" s="1798"/>
      <c r="AE10" s="1753" t="s">
        <v>4</v>
      </c>
      <c r="AF10" s="2030"/>
      <c r="AG10" s="1806" t="s">
        <v>9</v>
      </c>
      <c r="AH10" s="1798"/>
      <c r="AI10" s="1753" t="s">
        <v>4</v>
      </c>
      <c r="AJ10" s="2030"/>
      <c r="AK10" s="1806" t="s">
        <v>9</v>
      </c>
      <c r="AL10" s="1798"/>
      <c r="AM10" s="1753" t="s">
        <v>4</v>
      </c>
    </row>
    <row r="11" spans="1:39" ht="34.5" customHeight="1">
      <c r="A11" s="3261"/>
      <c r="B11" s="3262"/>
      <c r="C11" s="3262"/>
      <c r="D11" s="3251" t="s">
        <v>233</v>
      </c>
      <c r="E11" s="3253" t="s">
        <v>233</v>
      </c>
      <c r="F11" s="1014"/>
      <c r="G11" s="898" t="s">
        <v>988</v>
      </c>
      <c r="H11" s="2222"/>
      <c r="I11" s="2211"/>
      <c r="J11" s="1408"/>
      <c r="K11" s="79">
        <f>K10/25*7</f>
        <v>0</v>
      </c>
      <c r="L11" s="1408" t="s">
        <v>10</v>
      </c>
      <c r="M11" s="1683"/>
      <c r="N11" s="1408"/>
      <c r="O11" s="79">
        <f>O10/25*7</f>
        <v>0</v>
      </c>
      <c r="P11" s="1408" t="s">
        <v>10</v>
      </c>
      <c r="Q11" s="1683"/>
      <c r="R11" s="1408"/>
      <c r="S11" s="79">
        <f>S10/25*7</f>
        <v>0</v>
      </c>
      <c r="T11" s="57" t="s">
        <v>10</v>
      </c>
      <c r="U11" s="20"/>
      <c r="W11" s="3261"/>
      <c r="X11" s="3262"/>
      <c r="Y11" s="3262"/>
      <c r="Z11" s="3251" t="s">
        <v>233</v>
      </c>
      <c r="AA11" s="3253" t="s">
        <v>233</v>
      </c>
      <c r="AB11" s="2030"/>
      <c r="AC11" s="1806" t="s">
        <v>10</v>
      </c>
      <c r="AD11" s="1798"/>
      <c r="AE11" s="1807"/>
      <c r="AF11" s="2030"/>
      <c r="AG11" s="1806" t="s">
        <v>10</v>
      </c>
      <c r="AH11" s="1798"/>
      <c r="AI11" s="1807"/>
      <c r="AJ11" s="2030"/>
      <c r="AK11" s="1806" t="s">
        <v>10</v>
      </c>
      <c r="AL11" s="1798"/>
      <c r="AM11" s="1807"/>
    </row>
    <row r="12" spans="1:39" ht="34.5" customHeight="1">
      <c r="A12" s="3260">
        <v>4</v>
      </c>
      <c r="B12" s="3250" t="s">
        <v>134</v>
      </c>
      <c r="C12" s="3262"/>
      <c r="D12" s="3251" t="s">
        <v>232</v>
      </c>
      <c r="E12" s="3253" t="s">
        <v>232</v>
      </c>
      <c r="F12" s="1433" t="s">
        <v>4</v>
      </c>
      <c r="G12" s="898" t="str">
        <f>'XM.GUI MAIL'!$E$49</f>
        <v>50~70</v>
      </c>
      <c r="H12" s="2222" t="str">
        <f>'XM.GUI MAIL'!$F$49</f>
        <v>(60±10)</v>
      </c>
      <c r="I12" s="2225">
        <f>'XM.GUI MAIL'!AD49</f>
        <v>54.516000000000005</v>
      </c>
      <c r="J12" s="1408" t="s">
        <v>8</v>
      </c>
      <c r="K12" s="1347">
        <f>'XM.GUI MAIL'!AG49</f>
        <v>8.0011559999999911</v>
      </c>
      <c r="L12" s="1408" t="s">
        <v>9</v>
      </c>
      <c r="M12" s="1404">
        <f>'XM.GUI MAIL'!AK49</f>
        <v>66.989999999999995</v>
      </c>
      <c r="N12" s="1408" t="s">
        <v>8</v>
      </c>
      <c r="O12" s="1347">
        <f>'XM.GUI MAIL'!AN49</f>
        <v>0</v>
      </c>
      <c r="P12" s="1408" t="s">
        <v>9</v>
      </c>
      <c r="Q12" s="1404">
        <f>'XM.GUI MAIL'!AR49</f>
        <v>66.528000000000006</v>
      </c>
      <c r="R12" s="1408" t="s">
        <v>8</v>
      </c>
      <c r="S12" s="1347">
        <f>'XM.GUI MAIL'!AU49</f>
        <v>0</v>
      </c>
      <c r="T12" s="57" t="s">
        <v>9</v>
      </c>
      <c r="U12" s="271" t="s">
        <v>12</v>
      </c>
      <c r="W12" s="3260">
        <v>4</v>
      </c>
      <c r="X12" s="3250" t="s">
        <v>134</v>
      </c>
      <c r="Y12" s="3262"/>
      <c r="Z12" s="3251" t="s">
        <v>232</v>
      </c>
      <c r="AA12" s="3253" t="s">
        <v>232</v>
      </c>
      <c r="AB12" s="2030" t="s">
        <v>1669</v>
      </c>
      <c r="AC12" s="1806" t="s">
        <v>9</v>
      </c>
      <c r="AD12" s="1798">
        <v>62.3</v>
      </c>
      <c r="AE12" s="1753" t="s">
        <v>4</v>
      </c>
      <c r="AF12" s="2030"/>
      <c r="AG12" s="1806" t="s">
        <v>9</v>
      </c>
      <c r="AH12" s="1798"/>
      <c r="AI12" s="1753" t="s">
        <v>4</v>
      </c>
      <c r="AJ12" s="2030"/>
      <c r="AK12" s="1806" t="s">
        <v>9</v>
      </c>
      <c r="AL12" s="1798"/>
      <c r="AM12" s="1753" t="s">
        <v>4</v>
      </c>
    </row>
    <row r="13" spans="1:39" ht="34.5" customHeight="1">
      <c r="A13" s="3261"/>
      <c r="B13" s="3262"/>
      <c r="C13" s="3262"/>
      <c r="D13" s="3251" t="s">
        <v>233</v>
      </c>
      <c r="E13" s="3253" t="s">
        <v>233</v>
      </c>
      <c r="F13" s="1014"/>
      <c r="G13" s="898" t="s">
        <v>988</v>
      </c>
      <c r="H13" s="2222"/>
      <c r="I13" s="2211"/>
      <c r="J13" s="1408"/>
      <c r="K13" s="79">
        <f>K12/25*7</f>
        <v>2.2403236799999977</v>
      </c>
      <c r="L13" s="1408" t="s">
        <v>10</v>
      </c>
      <c r="M13" s="1683"/>
      <c r="N13" s="1408"/>
      <c r="O13" s="79">
        <f>O12/25*7</f>
        <v>0</v>
      </c>
      <c r="P13" s="1408" t="s">
        <v>10</v>
      </c>
      <c r="Q13" s="1683"/>
      <c r="R13" s="1408"/>
      <c r="S13" s="79">
        <f>S12/25*7</f>
        <v>0</v>
      </c>
      <c r="T13" s="57" t="s">
        <v>10</v>
      </c>
      <c r="U13" s="20"/>
      <c r="W13" s="3261"/>
      <c r="X13" s="3262"/>
      <c r="Y13" s="3262"/>
      <c r="Z13" s="3251" t="s">
        <v>233</v>
      </c>
      <c r="AA13" s="3253" t="s">
        <v>233</v>
      </c>
      <c r="AB13" s="2030"/>
      <c r="AC13" s="1806" t="s">
        <v>10</v>
      </c>
      <c r="AD13" s="1798"/>
      <c r="AE13" s="1807"/>
      <c r="AF13" s="2030"/>
      <c r="AG13" s="1806" t="s">
        <v>10</v>
      </c>
      <c r="AH13" s="1798"/>
      <c r="AI13" s="1807"/>
      <c r="AJ13" s="2030"/>
      <c r="AK13" s="1806" t="s">
        <v>10</v>
      </c>
      <c r="AL13" s="1798"/>
      <c r="AM13" s="1807"/>
    </row>
    <row r="14" spans="1:39" ht="34.5" customHeight="1">
      <c r="A14" s="1433">
        <v>5</v>
      </c>
      <c r="B14" s="3251" t="s">
        <v>79</v>
      </c>
      <c r="C14" s="3252"/>
      <c r="D14" s="3252"/>
      <c r="E14" s="3253"/>
      <c r="F14" s="1433" t="s">
        <v>4</v>
      </c>
      <c r="G14" s="1009" t="str">
        <f>'XM.GUI MAIL'!$E$51</f>
        <v>130 - 150</v>
      </c>
      <c r="H14" s="2226" t="str">
        <f>'XM.GUI MAIL'!$F$51</f>
        <v>(140±7)</v>
      </c>
      <c r="I14" s="2214">
        <f>'XM.GUI MAIL'!AD51</f>
        <v>140.80000000000001</v>
      </c>
      <c r="J14" s="1408" t="s">
        <v>8</v>
      </c>
      <c r="K14" s="1347">
        <f>'XM.GUI MAIL'!AG51</f>
        <v>0</v>
      </c>
      <c r="L14" s="1408" t="s">
        <v>9</v>
      </c>
      <c r="M14" s="1762">
        <f>'XM.GUI MAIL'!AK51</f>
        <v>141.6</v>
      </c>
      <c r="N14" s="1408" t="s">
        <v>8</v>
      </c>
      <c r="O14" s="1347">
        <f>'XM.GUI MAIL'!AN51</f>
        <v>0</v>
      </c>
      <c r="P14" s="1408" t="s">
        <v>9</v>
      </c>
      <c r="Q14" s="1762">
        <f>'XM.GUI MAIL'!AR51</f>
        <v>140.80000000000001</v>
      </c>
      <c r="R14" s="1408" t="s">
        <v>8</v>
      </c>
      <c r="S14" s="1347">
        <f>'XM.GUI MAIL'!AU51</f>
        <v>0</v>
      </c>
      <c r="T14" s="57" t="s">
        <v>9</v>
      </c>
      <c r="U14" s="271" t="s">
        <v>13</v>
      </c>
      <c r="W14" s="1445">
        <v>5</v>
      </c>
      <c r="X14" s="3251" t="s">
        <v>79</v>
      </c>
      <c r="Y14" s="3252"/>
      <c r="Z14" s="3252"/>
      <c r="AA14" s="3253"/>
      <c r="AB14" s="2030"/>
      <c r="AC14" s="1806" t="s">
        <v>9</v>
      </c>
      <c r="AD14" s="1798"/>
      <c r="AE14" s="1753" t="s">
        <v>4</v>
      </c>
      <c r="AF14" s="2030"/>
      <c r="AG14" s="1806" t="s">
        <v>9</v>
      </c>
      <c r="AH14" s="1798"/>
      <c r="AI14" s="1753" t="s">
        <v>4</v>
      </c>
      <c r="AJ14" s="2030"/>
      <c r="AK14" s="1806" t="s">
        <v>9</v>
      </c>
      <c r="AL14" s="1798"/>
      <c r="AM14" s="1753" t="s">
        <v>4</v>
      </c>
    </row>
    <row r="15" spans="1:39" ht="34.5" customHeight="1">
      <c r="A15" s="1433">
        <v>6</v>
      </c>
      <c r="B15" s="3251" t="s">
        <v>57</v>
      </c>
      <c r="C15" s="3252"/>
      <c r="D15" s="3252"/>
      <c r="E15" s="3253"/>
      <c r="F15" s="1433" t="s">
        <v>4</v>
      </c>
      <c r="G15" s="1009" t="str">
        <f>'XM.GUI MAIL'!$E$52</f>
        <v>8~12</v>
      </c>
      <c r="H15" s="2226" t="str">
        <f>'XM.GUI MAIL'!$F$52</f>
        <v>(10±2)</v>
      </c>
      <c r="I15" s="2216">
        <f>'XM.GUI MAIL'!AD52</f>
        <v>11.309999999999999</v>
      </c>
      <c r="J15" s="1408" t="s">
        <v>8</v>
      </c>
      <c r="K15" s="1347">
        <f>'XM.GUI MAIL'!AG52</f>
        <v>0</v>
      </c>
      <c r="L15" s="1408" t="s">
        <v>9</v>
      </c>
      <c r="M15" s="1738">
        <f>'XM.GUI MAIL'!AK52</f>
        <v>11.05</v>
      </c>
      <c r="N15" s="1408" t="s">
        <v>8</v>
      </c>
      <c r="O15" s="1347">
        <f>'XM.GUI MAIL'!AN52</f>
        <v>0</v>
      </c>
      <c r="P15" s="1408" t="s">
        <v>9</v>
      </c>
      <c r="Q15" s="1738">
        <f>'XM.GUI MAIL'!AR52</f>
        <v>10.790000000000001</v>
      </c>
      <c r="R15" s="1408" t="s">
        <v>8</v>
      </c>
      <c r="S15" s="1347">
        <f>'XM.GUI MAIL'!AU52</f>
        <v>0</v>
      </c>
      <c r="T15" s="57" t="s">
        <v>9</v>
      </c>
      <c r="U15" s="271" t="s">
        <v>14</v>
      </c>
      <c r="W15" s="1445">
        <v>6</v>
      </c>
      <c r="X15" s="3251" t="s">
        <v>57</v>
      </c>
      <c r="Y15" s="3252"/>
      <c r="Z15" s="3252"/>
      <c r="AA15" s="3253"/>
      <c r="AB15" s="2030"/>
      <c r="AC15" s="1806" t="s">
        <v>9</v>
      </c>
      <c r="AD15" s="1798"/>
      <c r="AE15" s="1753" t="s">
        <v>4</v>
      </c>
      <c r="AF15" s="2030"/>
      <c r="AG15" s="1806" t="s">
        <v>9</v>
      </c>
      <c r="AH15" s="1798"/>
      <c r="AI15" s="1753" t="s">
        <v>4</v>
      </c>
      <c r="AJ15" s="2030"/>
      <c r="AK15" s="1806" t="s">
        <v>9</v>
      </c>
      <c r="AL15" s="1798"/>
      <c r="AM15" s="1753" t="s">
        <v>4</v>
      </c>
    </row>
    <row r="16" spans="1:39" ht="34.5" customHeight="1">
      <c r="A16" s="3260">
        <v>7</v>
      </c>
      <c r="B16" s="3083" t="s">
        <v>981</v>
      </c>
      <c r="C16" s="3084"/>
      <c r="D16" s="3084"/>
      <c r="E16" s="3085"/>
      <c r="F16" s="1433" t="s">
        <v>3</v>
      </c>
      <c r="G16" s="1009" t="str">
        <f>'XM.GUI MAIL'!$E$53</f>
        <v xml:space="preserve">6~10 </v>
      </c>
      <c r="H16" s="2226" t="str">
        <f>'XM.GUI MAIL'!$F$53</f>
        <v>(7±1)</v>
      </c>
      <c r="I16" s="2216">
        <f>'XM.GUI MAIL'!AD53</f>
        <v>5.9025799999999995</v>
      </c>
      <c r="J16" s="1408" t="s">
        <v>8</v>
      </c>
      <c r="K16" s="1347">
        <f>'XM.GUI MAIL'!AG53</f>
        <v>6.3101650000000031</v>
      </c>
      <c r="L16" s="1408" t="s">
        <v>10</v>
      </c>
      <c r="M16" s="1738">
        <f>'XM.GUI MAIL'!AK53</f>
        <v>6.0296900000000004</v>
      </c>
      <c r="N16" s="1408" t="s">
        <v>8</v>
      </c>
      <c r="O16" s="1347">
        <f>'XM.GUI MAIL'!AN53</f>
        <v>5.579282499999997</v>
      </c>
      <c r="P16" s="1408" t="s">
        <v>10</v>
      </c>
      <c r="Q16" s="1738">
        <f>'XM.GUI MAIL'!AR53</f>
        <v>6.1991700000000005</v>
      </c>
      <c r="R16" s="1408" t="s">
        <v>8</v>
      </c>
      <c r="S16" s="1347">
        <f>'XM.GUI MAIL'!AU53</f>
        <v>4.6047724999999966</v>
      </c>
      <c r="T16" s="57" t="s">
        <v>10</v>
      </c>
      <c r="U16" s="271"/>
      <c r="W16" s="3260">
        <v>7</v>
      </c>
      <c r="X16" s="3083" t="s">
        <v>981</v>
      </c>
      <c r="Y16" s="3084"/>
      <c r="Z16" s="3084"/>
      <c r="AA16" s="3085"/>
      <c r="AB16" s="2030"/>
      <c r="AC16" s="1806" t="s">
        <v>10</v>
      </c>
      <c r="AD16" s="1798"/>
      <c r="AE16" s="1753" t="s">
        <v>3</v>
      </c>
      <c r="AF16" s="2030"/>
      <c r="AG16" s="1806" t="s">
        <v>10</v>
      </c>
      <c r="AH16" s="1798"/>
      <c r="AI16" s="1753" t="s">
        <v>3</v>
      </c>
      <c r="AJ16" s="2030"/>
      <c r="AK16" s="1806" t="s">
        <v>10</v>
      </c>
      <c r="AL16" s="1798"/>
      <c r="AM16" s="1753" t="s">
        <v>3</v>
      </c>
    </row>
    <row r="17" spans="1:39" ht="34.5" customHeight="1">
      <c r="A17" s="3261"/>
      <c r="B17" s="3086"/>
      <c r="C17" s="3291"/>
      <c r="D17" s="3291"/>
      <c r="E17" s="3292"/>
      <c r="F17" s="1433" t="s">
        <v>5</v>
      </c>
      <c r="G17" s="1009" t="str">
        <f>'XM.GUI MAIL'!$E$54</f>
        <v>2~2.5</v>
      </c>
      <c r="H17" s="2226" t="str">
        <f>'XM.GUI MAIL'!$F$54</f>
        <v>(2.3±0.1 )</v>
      </c>
      <c r="I17" s="2216">
        <f>'XM.GUI MAIL'!AD54</f>
        <v>2.68</v>
      </c>
      <c r="J17" s="1408"/>
      <c r="K17" s="1347">
        <f>'XM.GUI MAIL'!AG54</f>
        <v>0</v>
      </c>
      <c r="L17" s="1408"/>
      <c r="M17" s="1738">
        <f>'XM.GUI MAIL'!AK54</f>
        <v>2.6</v>
      </c>
      <c r="N17" s="1408"/>
      <c r="O17" s="1347">
        <f>'XM.GUI MAIL'!AN54</f>
        <v>0</v>
      </c>
      <c r="P17" s="1408"/>
      <c r="Q17" s="1738">
        <f>'XM.GUI MAIL'!AR54</f>
        <v>2.9</v>
      </c>
      <c r="R17" s="1408"/>
      <c r="S17" s="1347">
        <f>'XM.GUI MAIL'!AU54</f>
        <v>0</v>
      </c>
      <c r="T17" s="57"/>
      <c r="U17" s="20"/>
      <c r="W17" s="3261"/>
      <c r="X17" s="3086"/>
      <c r="Y17" s="3291"/>
      <c r="Z17" s="3291"/>
      <c r="AA17" s="3292"/>
      <c r="AB17" s="2030"/>
      <c r="AC17" s="1806"/>
      <c r="AD17" s="1798"/>
      <c r="AE17" s="1753" t="s">
        <v>5</v>
      </c>
      <c r="AF17" s="2030"/>
      <c r="AG17" s="1806"/>
      <c r="AH17" s="1798"/>
      <c r="AI17" s="1753" t="s">
        <v>5</v>
      </c>
      <c r="AJ17" s="2030"/>
      <c r="AK17" s="1806"/>
      <c r="AL17" s="1798"/>
      <c r="AM17" s="1753" t="s">
        <v>5</v>
      </c>
    </row>
    <row r="18" spans="1:39" ht="34.5" customHeight="1">
      <c r="A18" s="1433">
        <v>8</v>
      </c>
      <c r="B18" s="3251" t="s">
        <v>58</v>
      </c>
      <c r="C18" s="3252"/>
      <c r="D18" s="3252"/>
      <c r="E18" s="3253"/>
      <c r="F18" s="1442" t="s">
        <v>6</v>
      </c>
      <c r="G18" s="1009" t="str">
        <f>'XM.GUI MAIL'!$E$55</f>
        <v xml:space="preserve">40~50 </v>
      </c>
      <c r="H18" s="2226" t="str">
        <f>'XM.GUI MAIL'!$F$55</f>
        <v>(45±5)</v>
      </c>
      <c r="I18" s="2217">
        <f>'XM.GUI MAIL'!AD55</f>
        <v>0.45054687500000001</v>
      </c>
      <c r="J18" s="1410" t="s">
        <v>8</v>
      </c>
      <c r="K18" s="1411">
        <f>'XM.GUI MAIL'!AG55</f>
        <v>0</v>
      </c>
      <c r="L18" s="1412" t="s">
        <v>10</v>
      </c>
      <c r="M18" s="1743">
        <f>'XM.GUI MAIL'!AK55</f>
        <v>0.47906250000000006</v>
      </c>
      <c r="N18" s="1410" t="s">
        <v>8</v>
      </c>
      <c r="O18" s="1411">
        <f>'XM.GUI MAIL'!AN55</f>
        <v>0</v>
      </c>
      <c r="P18" s="1412" t="s">
        <v>10</v>
      </c>
      <c r="Q18" s="1743">
        <f>'XM.GUI MAIL'!AR55</f>
        <v>0.45624999999999999</v>
      </c>
      <c r="R18" s="1408" t="s">
        <v>8</v>
      </c>
      <c r="S18" s="1347">
        <f>'XM.GUI MAIL'!AU55</f>
        <v>0</v>
      </c>
      <c r="T18" s="57" t="s">
        <v>10</v>
      </c>
      <c r="U18" s="271" t="s">
        <v>15</v>
      </c>
      <c r="W18" s="1445">
        <v>8</v>
      </c>
      <c r="X18" s="3251" t="s">
        <v>58</v>
      </c>
      <c r="Y18" s="3252"/>
      <c r="Z18" s="3252"/>
      <c r="AA18" s="3253"/>
      <c r="AB18" s="2030"/>
      <c r="AC18" s="1806" t="s">
        <v>10</v>
      </c>
      <c r="AD18" s="1798"/>
      <c r="AE18" s="1808" t="s">
        <v>6</v>
      </c>
      <c r="AF18" s="2030"/>
      <c r="AG18" s="1806" t="s">
        <v>10</v>
      </c>
      <c r="AH18" s="1798"/>
      <c r="AI18" s="1808" t="s">
        <v>6</v>
      </c>
      <c r="AJ18" s="2030"/>
      <c r="AK18" s="1806" t="s">
        <v>10</v>
      </c>
      <c r="AL18" s="1798"/>
      <c r="AM18" s="1808" t="s">
        <v>6</v>
      </c>
    </row>
    <row r="19" spans="1:39" ht="34.5" hidden="1" customHeight="1">
      <c r="A19" s="1433">
        <v>9</v>
      </c>
      <c r="B19" s="3251" t="s">
        <v>59</v>
      </c>
      <c r="C19" s="3252"/>
      <c r="D19" s="3252"/>
      <c r="E19" s="3253"/>
      <c r="F19" s="1442" t="s">
        <v>6</v>
      </c>
      <c r="G19" s="1009" t="str">
        <f>'XM.GUI MAIL'!$E$56</f>
        <v>(22±5) =17~27</v>
      </c>
      <c r="H19" s="2226" t="str">
        <f>'XM.GUI MAIL'!$F$56</f>
        <v>(22±5)</v>
      </c>
      <c r="I19" s="2217">
        <f>'XM.GUI MAIL'!AD56</f>
        <v>0</v>
      </c>
      <c r="J19" s="1408" t="s">
        <v>8</v>
      </c>
      <c r="K19" s="1347">
        <f>'XM.GUI MAIL'!AG56</f>
        <v>0</v>
      </c>
      <c r="L19" s="1408" t="s">
        <v>10</v>
      </c>
      <c r="M19" s="1743">
        <f>'XM.GUI MAIL'!AK56</f>
        <v>0</v>
      </c>
      <c r="N19" s="1408" t="s">
        <v>8</v>
      </c>
      <c r="O19" s="1347">
        <f>'XM.GUI MAIL'!AN56</f>
        <v>0</v>
      </c>
      <c r="P19" s="1408" t="s">
        <v>10</v>
      </c>
      <c r="Q19" s="1743">
        <f>'XM.GUI MAIL'!AR56</f>
        <v>0</v>
      </c>
      <c r="R19" s="1408" t="s">
        <v>8</v>
      </c>
      <c r="S19" s="1347">
        <f>'XM.GUI MAIL'!AU56</f>
        <v>0</v>
      </c>
      <c r="T19" s="57" t="s">
        <v>10</v>
      </c>
      <c r="U19" s="271" t="s">
        <v>15</v>
      </c>
      <c r="W19" s="1445">
        <v>9</v>
      </c>
      <c r="X19" s="3251" t="s">
        <v>59</v>
      </c>
      <c r="Y19" s="3252"/>
      <c r="Z19" s="3252"/>
      <c r="AA19" s="3253"/>
      <c r="AB19" s="2030"/>
      <c r="AC19" s="1806" t="s">
        <v>10</v>
      </c>
      <c r="AD19" s="1798"/>
      <c r="AE19" s="1808" t="s">
        <v>6</v>
      </c>
      <c r="AF19" s="2030"/>
      <c r="AG19" s="1806" t="s">
        <v>10</v>
      </c>
      <c r="AH19" s="1798"/>
      <c r="AI19" s="1808" t="s">
        <v>6</v>
      </c>
      <c r="AJ19" s="2030"/>
      <c r="AK19" s="1806" t="s">
        <v>10</v>
      </c>
      <c r="AL19" s="1798"/>
      <c r="AM19" s="1808" t="s">
        <v>6</v>
      </c>
    </row>
    <row r="20" spans="1:39" ht="34.5" hidden="1" customHeight="1">
      <c r="A20" s="1433">
        <v>11</v>
      </c>
      <c r="B20" s="3251" t="s">
        <v>108</v>
      </c>
      <c r="C20" s="3252"/>
      <c r="D20" s="3252"/>
      <c r="E20" s="3253"/>
      <c r="F20" s="1442" t="s">
        <v>6</v>
      </c>
      <c r="G20" s="1009" t="str">
        <f>'XM.GUI MAIL'!$E$57</f>
        <v>5~15</v>
      </c>
      <c r="H20" s="2226" t="str">
        <f>'XM.GUI MAIL'!$F$57</f>
        <v>(10±3)</v>
      </c>
      <c r="I20" s="2217">
        <f>'XM.GUI MAIL'!AD57</f>
        <v>0</v>
      </c>
      <c r="J20" s="1408" t="s">
        <v>8</v>
      </c>
      <c r="K20" s="1347">
        <f>'XM.GUI MAIL'!AG57</f>
        <v>0</v>
      </c>
      <c r="L20" s="1408" t="s">
        <v>10</v>
      </c>
      <c r="M20" s="1743">
        <f>'XM.GUI MAIL'!AK57</f>
        <v>0</v>
      </c>
      <c r="N20" s="1408" t="s">
        <v>8</v>
      </c>
      <c r="O20" s="1347">
        <f>'XM.GUI MAIL'!AN57</f>
        <v>0</v>
      </c>
      <c r="P20" s="1408" t="s">
        <v>10</v>
      </c>
      <c r="Q20" s="1743">
        <f>'XM.GUI MAIL'!AR57</f>
        <v>0</v>
      </c>
      <c r="R20" s="1408" t="s">
        <v>8</v>
      </c>
      <c r="S20" s="1347">
        <f>'XM.GUI MAIL'!AU57</f>
        <v>0</v>
      </c>
      <c r="T20" s="57" t="s">
        <v>10</v>
      </c>
      <c r="U20" s="271" t="s">
        <v>16</v>
      </c>
      <c r="W20" s="1445">
        <v>11</v>
      </c>
      <c r="X20" s="3251" t="s">
        <v>108</v>
      </c>
      <c r="Y20" s="3252"/>
      <c r="Z20" s="3252"/>
      <c r="AA20" s="3253"/>
      <c r="AB20" s="2030"/>
      <c r="AC20" s="1806" t="s">
        <v>10</v>
      </c>
      <c r="AD20" s="1798"/>
      <c r="AE20" s="1808" t="s">
        <v>6</v>
      </c>
      <c r="AF20" s="2030"/>
      <c r="AG20" s="1806" t="s">
        <v>10</v>
      </c>
      <c r="AH20" s="1798"/>
      <c r="AI20" s="1808" t="s">
        <v>6</v>
      </c>
      <c r="AJ20" s="2030"/>
      <c r="AK20" s="1806" t="s">
        <v>10</v>
      </c>
      <c r="AL20" s="1798"/>
      <c r="AM20" s="1808" t="s">
        <v>6</v>
      </c>
    </row>
    <row r="21" spans="1:39" ht="34.5" customHeight="1">
      <c r="A21" s="1433">
        <v>12</v>
      </c>
      <c r="B21" s="3251" t="s">
        <v>107</v>
      </c>
      <c r="C21" s="3252"/>
      <c r="D21" s="3252"/>
      <c r="E21" s="3253"/>
      <c r="F21" s="1442" t="s">
        <v>3</v>
      </c>
      <c r="G21" s="1009" t="str">
        <f>'XM.GUI MAIL'!$E$58</f>
        <v>0.5~1.5</v>
      </c>
      <c r="H21" s="2226" t="str">
        <f>'XM.GUI MAIL'!$F$58</f>
        <v>(1±0.4)</v>
      </c>
      <c r="I21" s="2219">
        <f>'XM.GUI MAIL'!AD58</f>
        <v>1.4112E-2</v>
      </c>
      <c r="J21" s="1410" t="s">
        <v>8</v>
      </c>
      <c r="K21" s="1415">
        <f>'XM.GUI MAIL'!AG58</f>
        <v>0</v>
      </c>
      <c r="L21" s="1412" t="s">
        <v>10</v>
      </c>
      <c r="M21" s="1774">
        <f>'XM.GUI MAIL'!AK58</f>
        <v>1.0584E-2</v>
      </c>
      <c r="N21" s="1410" t="s">
        <v>8</v>
      </c>
      <c r="O21" s="1415">
        <f>'XM.GUI MAIL'!AN58</f>
        <v>0</v>
      </c>
      <c r="P21" s="1412" t="s">
        <v>10</v>
      </c>
      <c r="Q21" s="1774">
        <f>'XM.GUI MAIL'!AR58</f>
        <v>1.0206E-2</v>
      </c>
      <c r="R21" s="1408" t="s">
        <v>8</v>
      </c>
      <c r="S21" s="79">
        <f>'XM.GUI MAIL'!AU58</f>
        <v>0</v>
      </c>
      <c r="T21" s="57" t="s">
        <v>10</v>
      </c>
      <c r="U21" s="271" t="s">
        <v>16</v>
      </c>
      <c r="W21" s="1445">
        <v>12</v>
      </c>
      <c r="X21" s="3251" t="s">
        <v>107</v>
      </c>
      <c r="Y21" s="3252"/>
      <c r="Z21" s="3252"/>
      <c r="AA21" s="3253"/>
      <c r="AB21" s="2030"/>
      <c r="AC21" s="1806" t="s">
        <v>10</v>
      </c>
      <c r="AD21" s="1798"/>
      <c r="AE21" s="1808" t="s">
        <v>3</v>
      </c>
      <c r="AF21" s="2030"/>
      <c r="AG21" s="1806" t="s">
        <v>10</v>
      </c>
      <c r="AH21" s="1798"/>
      <c r="AI21" s="1808" t="s">
        <v>3</v>
      </c>
      <c r="AJ21" s="2030"/>
      <c r="AK21" s="1806" t="s">
        <v>10</v>
      </c>
      <c r="AL21" s="1798"/>
      <c r="AM21" s="1808" t="s">
        <v>3</v>
      </c>
    </row>
    <row r="22" spans="1:39" ht="30.75" customHeight="1">
      <c r="A22" s="3260">
        <v>13</v>
      </c>
      <c r="B22" s="3083" t="s">
        <v>234</v>
      </c>
      <c r="C22" s="3084"/>
      <c r="D22" s="3084"/>
      <c r="E22" s="3085"/>
      <c r="F22" s="1433" t="s">
        <v>3</v>
      </c>
      <c r="G22" s="1009" t="str">
        <f>'XM.GUI MAIL'!$E$59</f>
        <v>5~8</v>
      </c>
      <c r="H22" s="2226" t="str">
        <f>'XM.GUI MAIL'!$F$59</f>
        <v>(6±0.5)</v>
      </c>
      <c r="I22" s="2220" t="str">
        <f>'XM.GUI MAIL'!AD59</f>
        <v>KO SX</v>
      </c>
      <c r="J22" s="1408" t="s">
        <v>8</v>
      </c>
      <c r="K22" s="79">
        <f>'XM.GUI MAIL'!AG59</f>
        <v>0</v>
      </c>
      <c r="L22" s="1409" t="s">
        <v>10</v>
      </c>
      <c r="M22" s="1840" t="str">
        <f>'XM.GUI MAIL'!AK59</f>
        <v>KO SX</v>
      </c>
      <c r="N22" s="1408" t="s">
        <v>8</v>
      </c>
      <c r="O22" s="79">
        <f>'XM.GUI MAIL'!AN59</f>
        <v>0</v>
      </c>
      <c r="P22" s="1409" t="s">
        <v>10</v>
      </c>
      <c r="Q22" s="1840" t="str">
        <f>'XM.GUI MAIL'!AR59</f>
        <v>KO SX</v>
      </c>
      <c r="R22" s="1408" t="s">
        <v>8</v>
      </c>
      <c r="S22" s="79">
        <f>'XM.GUI MAIL'!AU59</f>
        <v>0</v>
      </c>
      <c r="T22" s="57" t="s">
        <v>10</v>
      </c>
      <c r="U22" s="271"/>
      <c r="W22" s="3260">
        <v>13</v>
      </c>
      <c r="X22" s="3083" t="s">
        <v>234</v>
      </c>
      <c r="Y22" s="3084"/>
      <c r="Z22" s="3084"/>
      <c r="AA22" s="3085"/>
      <c r="AB22" s="2030"/>
      <c r="AC22" s="1806" t="s">
        <v>10</v>
      </c>
      <c r="AD22" s="1798"/>
      <c r="AE22" s="1753" t="s">
        <v>3</v>
      </c>
      <c r="AF22" s="2030"/>
      <c r="AG22" s="1806" t="s">
        <v>10</v>
      </c>
      <c r="AH22" s="1798"/>
      <c r="AI22" s="1753" t="s">
        <v>3</v>
      </c>
      <c r="AJ22" s="2030"/>
      <c r="AK22" s="1806" t="s">
        <v>10</v>
      </c>
      <c r="AL22" s="1798"/>
      <c r="AM22" s="1753" t="s">
        <v>3</v>
      </c>
    </row>
    <row r="23" spans="1:39" ht="30.75" customHeight="1">
      <c r="A23" s="3261"/>
      <c r="B23" s="3086"/>
      <c r="C23" s="3087"/>
      <c r="D23" s="3087"/>
      <c r="E23" s="3088"/>
      <c r="F23" s="1433" t="s">
        <v>5</v>
      </c>
      <c r="G23" s="1009" t="str">
        <f>'XM.GUI MAIL'!$E$60</f>
        <v>1.8~2.4</v>
      </c>
      <c r="H23" s="2226" t="str">
        <f>'XM.GUI MAIL'!$F$60</f>
        <v>(2.1±0.1 )</v>
      </c>
      <c r="I23" s="2221" t="str">
        <f>'XM.GUI MAIL'!AD60</f>
        <v>KO SX</v>
      </c>
      <c r="J23" s="1408"/>
      <c r="K23" s="1347">
        <f>'XM.GUI MAIL'!AG60</f>
        <v>0</v>
      </c>
      <c r="L23" s="1409"/>
      <c r="M23" s="2194" t="str">
        <f>'XM.GUI MAIL'!AK60</f>
        <v>KO SX</v>
      </c>
      <c r="N23" s="1408"/>
      <c r="O23" s="1347">
        <f>'XM.GUI MAIL'!AN60</f>
        <v>0</v>
      </c>
      <c r="P23" s="1409"/>
      <c r="Q23" s="2194" t="str">
        <f>'XM.GUI MAIL'!AR60</f>
        <v>KO SX</v>
      </c>
      <c r="R23" s="1408"/>
      <c r="S23" s="1347">
        <f>'XM.GUI MAIL'!AU60</f>
        <v>0</v>
      </c>
      <c r="T23" s="57"/>
      <c r="U23" s="271"/>
      <c r="W23" s="3261"/>
      <c r="X23" s="3086"/>
      <c r="Y23" s="3087"/>
      <c r="Z23" s="3087"/>
      <c r="AA23" s="3088"/>
      <c r="AB23" s="2031"/>
      <c r="AC23" s="1806"/>
      <c r="AD23" s="1802"/>
      <c r="AE23" s="1753"/>
      <c r="AF23" s="2031"/>
      <c r="AG23" s="1806"/>
      <c r="AH23" s="1802"/>
      <c r="AI23" s="1753"/>
      <c r="AJ23" s="2031"/>
      <c r="AK23" s="1806"/>
      <c r="AL23" s="1802"/>
      <c r="AM23" s="1753"/>
    </row>
    <row r="24" spans="1:39" ht="33" customHeight="1">
      <c r="A24" s="1433"/>
      <c r="B24" s="255"/>
      <c r="C24" s="256"/>
      <c r="D24" s="256"/>
      <c r="E24" s="256"/>
      <c r="F24" s="256"/>
      <c r="G24" s="258" t="s">
        <v>109</v>
      </c>
      <c r="H24" s="258"/>
      <c r="I24" s="256"/>
      <c r="J24" s="256"/>
      <c r="K24" s="256"/>
      <c r="L24" s="256"/>
      <c r="M24" s="256"/>
      <c r="N24" s="256"/>
      <c r="O24" s="256"/>
      <c r="P24" s="256"/>
      <c r="Q24" s="256"/>
      <c r="R24" s="256"/>
      <c r="S24" s="256"/>
      <c r="T24" s="256"/>
      <c r="U24" s="257"/>
      <c r="W24" s="1445"/>
      <c r="X24" s="255"/>
      <c r="Y24" s="256"/>
      <c r="Z24" s="256"/>
      <c r="AA24" s="256"/>
      <c r="AB24" s="256"/>
      <c r="AC24" s="256"/>
      <c r="AD24" s="256"/>
      <c r="AE24" s="256"/>
      <c r="AF24" s="256"/>
      <c r="AG24" s="1805"/>
      <c r="AH24" s="1805"/>
      <c r="AJ24" s="256"/>
      <c r="AK24" s="256"/>
      <c r="AL24" s="256"/>
      <c r="AM24" s="256"/>
    </row>
    <row r="25" spans="1:39" ht="33" customHeight="1">
      <c r="A25" s="1442" t="s">
        <v>7</v>
      </c>
      <c r="B25" s="3251" t="s">
        <v>61</v>
      </c>
      <c r="C25" s="3252"/>
      <c r="D25" s="3252"/>
      <c r="E25" s="3253"/>
      <c r="F25" s="1432" t="s">
        <v>63</v>
      </c>
      <c r="G25" s="978" t="s">
        <v>1310</v>
      </c>
      <c r="H25" s="2224" t="s">
        <v>1302</v>
      </c>
      <c r="I25" s="3300" t="s">
        <v>45</v>
      </c>
      <c r="J25" s="3298"/>
      <c r="K25" s="3297" t="s">
        <v>62</v>
      </c>
      <c r="L25" s="3298"/>
      <c r="M25" s="3297" t="s">
        <v>45</v>
      </c>
      <c r="N25" s="3298"/>
      <c r="O25" s="3297" t="s">
        <v>62</v>
      </c>
      <c r="P25" s="3298"/>
      <c r="Q25" s="3297" t="s">
        <v>45</v>
      </c>
      <c r="R25" s="3298"/>
      <c r="S25" s="3297" t="s">
        <v>62</v>
      </c>
      <c r="T25" s="3298"/>
      <c r="U25" s="1439"/>
      <c r="W25" s="1447" t="s">
        <v>7</v>
      </c>
      <c r="X25" s="3251" t="s">
        <v>61</v>
      </c>
      <c r="Y25" s="3252"/>
      <c r="Z25" s="3252"/>
      <c r="AA25" s="3253"/>
      <c r="AB25" s="3285" t="s">
        <v>1360</v>
      </c>
      <c r="AC25" s="3062"/>
      <c r="AD25" s="3062"/>
      <c r="AE25" s="3063"/>
      <c r="AF25" s="3285" t="s">
        <v>1360</v>
      </c>
      <c r="AG25" s="3062"/>
      <c r="AH25" s="3062"/>
      <c r="AI25" s="3063"/>
      <c r="AJ25" s="3285" t="s">
        <v>1360</v>
      </c>
      <c r="AK25" s="3062"/>
      <c r="AL25" s="3062"/>
      <c r="AM25" s="3063"/>
    </row>
    <row r="26" spans="1:39" ht="34.5" customHeight="1">
      <c r="A26" s="1442">
        <v>1</v>
      </c>
      <c r="B26" s="3251" t="s">
        <v>65</v>
      </c>
      <c r="C26" s="3252"/>
      <c r="D26" s="3252"/>
      <c r="E26" s="3253"/>
      <c r="F26" s="21" t="s">
        <v>105</v>
      </c>
      <c r="G26" s="1010" t="str">
        <f>'XM.GUI MAIL'!$E$63</f>
        <v>50~70</v>
      </c>
      <c r="H26" s="2242" t="str">
        <f>'XM.GUI MAIL'!$F$63</f>
        <v>(60±5)</v>
      </c>
      <c r="I26" s="3113">
        <f>'XM.GUI MAIL'!AD63</f>
        <v>57</v>
      </c>
      <c r="J26" s="3112"/>
      <c r="K26" s="3112">
        <f>'XM.GUI MAIL'!AG63</f>
        <v>56</v>
      </c>
      <c r="L26" s="3112"/>
      <c r="M26" s="3112">
        <f>'XM.GUI MAIL'!AK63</f>
        <v>55</v>
      </c>
      <c r="N26" s="3112"/>
      <c r="O26" s="3112">
        <f>'XM.GUI MAIL'!AN63</f>
        <v>54</v>
      </c>
      <c r="P26" s="3112"/>
      <c r="Q26" s="3112">
        <f>'XM.GUI MAIL'!AR63</f>
        <v>59</v>
      </c>
      <c r="R26" s="3112"/>
      <c r="S26" s="3112">
        <f>'XM.GUI MAIL'!AU63</f>
        <v>58</v>
      </c>
      <c r="T26" s="3112"/>
      <c r="U26" s="20"/>
      <c r="W26" s="1447">
        <v>1</v>
      </c>
      <c r="X26" s="3251" t="s">
        <v>65</v>
      </c>
      <c r="Y26" s="3252"/>
      <c r="Z26" s="3252"/>
      <c r="AA26" s="3253"/>
      <c r="AB26" s="1511"/>
      <c r="AC26" s="1794"/>
      <c r="AD26" s="1794"/>
      <c r="AE26" s="1512"/>
      <c r="AF26" s="1606"/>
      <c r="AG26" s="1794"/>
      <c r="AH26" s="1794"/>
      <c r="AI26" s="1512"/>
      <c r="AJ26" s="1511"/>
      <c r="AK26" s="1794"/>
      <c r="AL26" s="1794"/>
      <c r="AM26" s="1512"/>
    </row>
    <row r="27" spans="1:39" ht="34.5" customHeight="1">
      <c r="A27" s="1442">
        <v>2</v>
      </c>
      <c r="B27" s="3251" t="s">
        <v>66</v>
      </c>
      <c r="C27" s="3252" t="s">
        <v>66</v>
      </c>
      <c r="D27" s="3252" t="s">
        <v>66</v>
      </c>
      <c r="E27" s="3253" t="s">
        <v>66</v>
      </c>
      <c r="F27" s="21" t="s">
        <v>105</v>
      </c>
      <c r="G27" s="1010" t="str">
        <f>'XM.GUI MAIL'!$E$64</f>
        <v>50~70</v>
      </c>
      <c r="H27" s="2242" t="str">
        <f>'XM.GUI MAIL'!$F$64</f>
        <v>(60±5)</v>
      </c>
      <c r="I27" s="3113">
        <f>'XM.GUI MAIL'!AD64</f>
        <v>62</v>
      </c>
      <c r="J27" s="3112"/>
      <c r="K27" s="3112">
        <f>'XM.GUI MAIL'!AG64</f>
        <v>61</v>
      </c>
      <c r="L27" s="3112"/>
      <c r="M27" s="3112">
        <f>'XM.GUI MAIL'!AK64</f>
        <v>62</v>
      </c>
      <c r="N27" s="3112"/>
      <c r="O27" s="3112">
        <f>'XM.GUI MAIL'!AN64</f>
        <v>61</v>
      </c>
      <c r="P27" s="3112"/>
      <c r="Q27" s="3112">
        <f>'XM.GUI MAIL'!AR64</f>
        <v>61</v>
      </c>
      <c r="R27" s="3112"/>
      <c r="S27" s="3112">
        <f>'XM.GUI MAIL'!AU64</f>
        <v>60</v>
      </c>
      <c r="T27" s="3112"/>
      <c r="U27" s="20"/>
      <c r="W27" s="1447">
        <v>2</v>
      </c>
      <c r="X27" s="3251" t="s">
        <v>66</v>
      </c>
      <c r="Y27" s="3252" t="s">
        <v>66</v>
      </c>
      <c r="Z27" s="3252" t="s">
        <v>66</v>
      </c>
      <c r="AA27" s="3253" t="s">
        <v>66</v>
      </c>
      <c r="AB27" s="1511"/>
      <c r="AC27" s="1794"/>
      <c r="AD27" s="1794"/>
      <c r="AE27" s="1512"/>
      <c r="AF27" s="1606"/>
      <c r="AG27" s="1794"/>
      <c r="AH27" s="1794"/>
      <c r="AI27" s="1512"/>
      <c r="AJ27" s="1511"/>
      <c r="AK27" s="1794"/>
      <c r="AL27" s="1794"/>
      <c r="AM27" s="1512"/>
    </row>
    <row r="28" spans="1:39" ht="34.5" customHeight="1">
      <c r="A28" s="1442">
        <v>3</v>
      </c>
      <c r="B28" s="3251" t="s">
        <v>68</v>
      </c>
      <c r="C28" s="3252" t="s">
        <v>68</v>
      </c>
      <c r="D28" s="3252" t="s">
        <v>68</v>
      </c>
      <c r="E28" s="3253" t="s">
        <v>68</v>
      </c>
      <c r="F28" s="21" t="s">
        <v>105</v>
      </c>
      <c r="G28" s="1010" t="str">
        <f>'XM.GUI MAIL'!$E$65</f>
        <v>40~60</v>
      </c>
      <c r="H28" s="2242" t="str">
        <f>'XM.GUI MAIL'!$F$65</f>
        <v>(50±5)</v>
      </c>
      <c r="I28" s="3032">
        <f>'XM.GUI MAIL'!AD65</f>
        <v>53</v>
      </c>
      <c r="J28" s="3026"/>
      <c r="K28" s="3033">
        <f>'XM.GUI MAIL'!AG65</f>
        <v>52</v>
      </c>
      <c r="L28" s="3026"/>
      <c r="M28" s="3033">
        <f>'XM.GUI MAIL'!AK65</f>
        <v>53</v>
      </c>
      <c r="N28" s="3026"/>
      <c r="O28" s="3033">
        <f>'XM.GUI MAIL'!AN65</f>
        <v>52</v>
      </c>
      <c r="P28" s="3026"/>
      <c r="Q28" s="3033">
        <f>'XM.GUI MAIL'!AR65</f>
        <v>52</v>
      </c>
      <c r="R28" s="3026"/>
      <c r="S28" s="3033">
        <f>'XM.GUI MAIL'!AU65</f>
        <v>51</v>
      </c>
      <c r="T28" s="3026"/>
      <c r="U28" s="20"/>
      <c r="W28" s="1447">
        <v>3</v>
      </c>
      <c r="X28" s="3251" t="s">
        <v>68</v>
      </c>
      <c r="Y28" s="3252" t="s">
        <v>68</v>
      </c>
      <c r="Z28" s="3252" t="s">
        <v>68</v>
      </c>
      <c r="AA28" s="3253" t="s">
        <v>68</v>
      </c>
      <c r="AB28" s="1511"/>
      <c r="AC28" s="1794"/>
      <c r="AD28" s="1794"/>
      <c r="AE28" s="1512"/>
      <c r="AF28" s="1606"/>
      <c r="AG28" s="1794"/>
      <c r="AH28" s="1794"/>
      <c r="AI28" s="1512"/>
      <c r="AJ28" s="1511"/>
      <c r="AK28" s="1794"/>
      <c r="AL28" s="1794"/>
      <c r="AM28" s="1512"/>
    </row>
    <row r="29" spans="1:39" ht="34.5" customHeight="1">
      <c r="A29" s="1442">
        <v>4</v>
      </c>
      <c r="B29" s="3251" t="s">
        <v>67</v>
      </c>
      <c r="C29" s="3252" t="s">
        <v>67</v>
      </c>
      <c r="D29" s="3252" t="s">
        <v>67</v>
      </c>
      <c r="E29" s="3253" t="s">
        <v>67</v>
      </c>
      <c r="F29" s="21" t="s">
        <v>105</v>
      </c>
      <c r="G29" s="1010" t="str">
        <f>'XM.GUI MAIL'!$E$66</f>
        <v>40~60</v>
      </c>
      <c r="H29" s="2242" t="str">
        <f>'XM.GUI MAIL'!$F$66</f>
        <v>(50±5)</v>
      </c>
      <c r="I29" s="3032">
        <f>'XM.GUI MAIL'!AD66</f>
        <v>52</v>
      </c>
      <c r="J29" s="3026"/>
      <c r="K29" s="3033">
        <f>'XM.GUI MAIL'!AG66</f>
        <v>51</v>
      </c>
      <c r="L29" s="3026"/>
      <c r="M29" s="3033">
        <f>'XM.GUI MAIL'!AK66</f>
        <v>51</v>
      </c>
      <c r="N29" s="3026"/>
      <c r="O29" s="3033">
        <f>'XM.GUI MAIL'!AN66</f>
        <v>50</v>
      </c>
      <c r="P29" s="3026"/>
      <c r="Q29" s="3033">
        <f>'XM.GUI MAIL'!AR66</f>
        <v>52</v>
      </c>
      <c r="R29" s="3026"/>
      <c r="S29" s="3033">
        <f>'XM.GUI MAIL'!AU66</f>
        <v>51</v>
      </c>
      <c r="T29" s="3026"/>
      <c r="U29" s="20"/>
      <c r="W29" s="1447">
        <v>4</v>
      </c>
      <c r="X29" s="3251" t="s">
        <v>67</v>
      </c>
      <c r="Y29" s="3252" t="s">
        <v>67</v>
      </c>
      <c r="Z29" s="3252" t="s">
        <v>67</v>
      </c>
      <c r="AA29" s="3253" t="s">
        <v>67</v>
      </c>
      <c r="AB29" s="1511"/>
      <c r="AC29" s="1794"/>
      <c r="AD29" s="1794"/>
      <c r="AE29" s="1512"/>
      <c r="AF29" s="1606"/>
      <c r="AG29" s="1794"/>
      <c r="AH29" s="1794"/>
      <c r="AI29" s="1512"/>
      <c r="AJ29" s="1511"/>
      <c r="AK29" s="1794"/>
      <c r="AL29" s="1794"/>
      <c r="AM29" s="1512"/>
    </row>
    <row r="30" spans="1:39" ht="34.5" customHeight="1">
      <c r="A30" s="1442">
        <v>5</v>
      </c>
      <c r="B30" s="3251" t="s">
        <v>69</v>
      </c>
      <c r="C30" s="3252" t="s">
        <v>69</v>
      </c>
      <c r="D30" s="3252" t="s">
        <v>69</v>
      </c>
      <c r="E30" s="3253" t="s">
        <v>69</v>
      </c>
      <c r="F30" s="21" t="s">
        <v>105</v>
      </c>
      <c r="G30" s="1010" t="str">
        <f>'XM.GUI MAIL'!$E$67</f>
        <v>22~35</v>
      </c>
      <c r="H30" s="2242" t="str">
        <f>'XM.GUI MAIL'!$F$67</f>
        <v>(30±4)</v>
      </c>
      <c r="I30" s="3113">
        <f>'XM.GUI MAIL'!AD67</f>
        <v>34</v>
      </c>
      <c r="J30" s="3112"/>
      <c r="K30" s="3112">
        <f>'XM.GUI MAIL'!AG67</f>
        <v>34</v>
      </c>
      <c r="L30" s="3112"/>
      <c r="M30" s="3112">
        <f>'XM.GUI MAIL'!AK67</f>
        <v>34</v>
      </c>
      <c r="N30" s="3112"/>
      <c r="O30" s="3112">
        <f>'XM.GUI MAIL'!AN67</f>
        <v>33</v>
      </c>
      <c r="P30" s="3112"/>
      <c r="Q30" s="3112">
        <f>'XM.GUI MAIL'!AR67</f>
        <v>33</v>
      </c>
      <c r="R30" s="3112"/>
      <c r="S30" s="3112">
        <f>'XM.GUI MAIL'!AU67</f>
        <v>32</v>
      </c>
      <c r="T30" s="3112"/>
      <c r="U30" s="20"/>
      <c r="W30" s="1447">
        <v>5</v>
      </c>
      <c r="X30" s="3251" t="s">
        <v>69</v>
      </c>
      <c r="Y30" s="3252" t="s">
        <v>69</v>
      </c>
      <c r="Z30" s="3252" t="s">
        <v>69</v>
      </c>
      <c r="AA30" s="3253" t="s">
        <v>69</v>
      </c>
      <c r="AB30" s="1511"/>
      <c r="AC30" s="1794"/>
      <c r="AD30" s="1794"/>
      <c r="AE30" s="1512"/>
      <c r="AF30" s="1606"/>
      <c r="AG30" s="1794"/>
      <c r="AH30" s="1794"/>
      <c r="AI30" s="1512"/>
      <c r="AJ30" s="1511"/>
      <c r="AK30" s="1794"/>
      <c r="AL30" s="1794"/>
      <c r="AM30" s="1512"/>
    </row>
    <row r="31" spans="1:39" ht="34.5" customHeight="1">
      <c r="A31" s="1442">
        <v>6</v>
      </c>
      <c r="B31" s="3251" t="s">
        <v>982</v>
      </c>
      <c r="C31" s="3252" t="s">
        <v>982</v>
      </c>
      <c r="D31" s="3252" t="s">
        <v>982</v>
      </c>
      <c r="E31" s="3253" t="s">
        <v>982</v>
      </c>
      <c r="F31" s="21" t="s">
        <v>105</v>
      </c>
      <c r="G31" s="1010" t="str">
        <f>'XM.GUI MAIL'!$E$68</f>
        <v>30-38</v>
      </c>
      <c r="H31" s="2242" t="str">
        <f>'XM.GUI MAIL'!$F$68</f>
        <v>(34±2)</v>
      </c>
      <c r="I31" s="3113">
        <f>'XM.GUI MAIL'!AD68</f>
        <v>33</v>
      </c>
      <c r="J31" s="3112"/>
      <c r="K31" s="3112">
        <f>'XM.GUI MAIL'!AG68</f>
        <v>32</v>
      </c>
      <c r="L31" s="3112"/>
      <c r="M31" s="3112">
        <f>'XM.GUI MAIL'!AK68</f>
        <v>34</v>
      </c>
      <c r="N31" s="3112"/>
      <c r="O31" s="3112">
        <f>'XM.GUI MAIL'!AN68</f>
        <v>33</v>
      </c>
      <c r="P31" s="3112"/>
      <c r="Q31" s="3112">
        <f>'XM.GUI MAIL'!AR68</f>
        <v>34</v>
      </c>
      <c r="R31" s="3112"/>
      <c r="S31" s="3112">
        <f>'XM.GUI MAIL'!AU68</f>
        <v>33</v>
      </c>
      <c r="T31" s="3112"/>
      <c r="U31" s="22"/>
      <c r="W31" s="1447">
        <v>6</v>
      </c>
      <c r="X31" s="3251" t="s">
        <v>982</v>
      </c>
      <c r="Y31" s="3252" t="s">
        <v>982</v>
      </c>
      <c r="Z31" s="3252" t="s">
        <v>982</v>
      </c>
      <c r="AA31" s="3253" t="s">
        <v>982</v>
      </c>
      <c r="AB31" s="1511"/>
      <c r="AC31" s="1794"/>
      <c r="AD31" s="1794"/>
      <c r="AE31" s="1512"/>
      <c r="AF31" s="1606"/>
      <c r="AG31" s="1794"/>
      <c r="AH31" s="1794"/>
      <c r="AI31" s="1512"/>
      <c r="AJ31" s="1511"/>
      <c r="AK31" s="1794"/>
      <c r="AL31" s="1794"/>
      <c r="AM31" s="1512"/>
    </row>
    <row r="32" spans="1:39" ht="34.5" customHeight="1">
      <c r="A32" s="1442">
        <v>7</v>
      </c>
      <c r="B32" s="3251" t="s">
        <v>70</v>
      </c>
      <c r="C32" s="3252" t="s">
        <v>70</v>
      </c>
      <c r="D32" s="3252" t="s">
        <v>70</v>
      </c>
      <c r="E32" s="3253" t="s">
        <v>70</v>
      </c>
      <c r="F32" s="21" t="s">
        <v>105</v>
      </c>
      <c r="G32" s="1010" t="str">
        <f>'XM.GUI MAIL'!$E$69</f>
        <v>50~70</v>
      </c>
      <c r="H32" s="2242" t="str">
        <f>'XM.GUI MAIL'!$F$69</f>
        <v>(60±10)</v>
      </c>
      <c r="I32" s="3113">
        <f>'XM.GUI MAIL'!AD69</f>
        <v>58</v>
      </c>
      <c r="J32" s="3112"/>
      <c r="K32" s="3112">
        <f>'XM.GUI MAIL'!AG69</f>
        <v>57</v>
      </c>
      <c r="L32" s="3112"/>
      <c r="M32" s="3112">
        <f>'XM.GUI MAIL'!AK69</f>
        <v>55</v>
      </c>
      <c r="N32" s="3112"/>
      <c r="O32" s="3112">
        <f>'XM.GUI MAIL'!AN69</f>
        <v>54</v>
      </c>
      <c r="P32" s="3112"/>
      <c r="Q32" s="3112">
        <f>'XM.GUI MAIL'!AR69</f>
        <v>56</v>
      </c>
      <c r="R32" s="3112"/>
      <c r="S32" s="3112">
        <f>'XM.GUI MAIL'!AU69</f>
        <v>55</v>
      </c>
      <c r="T32" s="3112"/>
      <c r="U32" s="20"/>
      <c r="W32" s="1447">
        <v>7</v>
      </c>
      <c r="X32" s="3251" t="s">
        <v>70</v>
      </c>
      <c r="Y32" s="3252" t="s">
        <v>70</v>
      </c>
      <c r="Z32" s="3252" t="s">
        <v>70</v>
      </c>
      <c r="AA32" s="3253" t="s">
        <v>70</v>
      </c>
      <c r="AB32" s="1511"/>
      <c r="AC32" s="1794"/>
      <c r="AD32" s="1794"/>
      <c r="AE32" s="1512"/>
      <c r="AF32" s="1606"/>
      <c r="AG32" s="1794"/>
      <c r="AH32" s="1794"/>
      <c r="AI32" s="1512"/>
      <c r="AJ32" s="1511"/>
      <c r="AK32" s="1794"/>
      <c r="AL32" s="1794"/>
      <c r="AM32" s="1512"/>
    </row>
    <row r="33" spans="1:39" ht="34.5" customHeight="1">
      <c r="A33" s="1442">
        <v>8</v>
      </c>
      <c r="B33" s="3254" t="s">
        <v>71</v>
      </c>
      <c r="C33" s="3255" t="s">
        <v>71</v>
      </c>
      <c r="D33" s="3255" t="s">
        <v>71</v>
      </c>
      <c r="E33" s="3256" t="s">
        <v>71</v>
      </c>
      <c r="F33" s="21" t="s">
        <v>105</v>
      </c>
      <c r="G33" s="1010" t="str">
        <f>'XM.GUI MAIL'!$E$70</f>
        <v>80~100</v>
      </c>
      <c r="H33" s="2247" t="str">
        <f>'XM.GUI MAIL'!$F$70</f>
        <v>(90±5)</v>
      </c>
      <c r="I33" s="3142" t="s">
        <v>47</v>
      </c>
      <c r="J33" s="3141"/>
      <c r="K33" s="3026">
        <f>'XM.GUI MAIL'!AG70</f>
        <v>91</v>
      </c>
      <c r="L33" s="3026"/>
      <c r="M33" s="3140" t="s">
        <v>47</v>
      </c>
      <c r="N33" s="3141"/>
      <c r="O33" s="3026">
        <f>'XM.GUI MAIL'!AN70</f>
        <v>92</v>
      </c>
      <c r="P33" s="3026"/>
      <c r="Q33" s="3140" t="s">
        <v>47</v>
      </c>
      <c r="R33" s="3141"/>
      <c r="S33" s="3026">
        <f>'XM.GUI MAIL'!AU70</f>
        <v>90</v>
      </c>
      <c r="T33" s="3026"/>
      <c r="U33" s="20"/>
      <c r="W33" s="1447">
        <v>8</v>
      </c>
      <c r="X33" s="3254" t="s">
        <v>71</v>
      </c>
      <c r="Y33" s="3255" t="s">
        <v>71</v>
      </c>
      <c r="Z33" s="3255" t="s">
        <v>71</v>
      </c>
      <c r="AA33" s="3256" t="s">
        <v>71</v>
      </c>
      <c r="AB33" s="1511"/>
      <c r="AC33" s="1794"/>
      <c r="AD33" s="1794"/>
      <c r="AE33" s="1512"/>
      <c r="AF33" s="1792"/>
      <c r="AG33" s="1791"/>
      <c r="AH33" s="1791"/>
      <c r="AI33" s="1513"/>
      <c r="AJ33" s="1792"/>
      <c r="AK33" s="1791"/>
      <c r="AL33" s="1791"/>
      <c r="AM33" s="1513"/>
    </row>
    <row r="34" spans="1:39" ht="36.75" customHeight="1">
      <c r="A34" s="1433"/>
      <c r="B34" s="255"/>
      <c r="C34" s="256"/>
      <c r="D34" s="256"/>
      <c r="E34" s="256"/>
      <c r="F34" s="256"/>
      <c r="G34" s="258" t="s">
        <v>110</v>
      </c>
      <c r="H34" s="2246"/>
      <c r="I34" s="256"/>
      <c r="J34" s="256"/>
      <c r="K34" s="256"/>
      <c r="L34" s="256"/>
      <c r="M34" s="256"/>
      <c r="N34" s="256"/>
      <c r="O34" s="256"/>
      <c r="P34" s="256"/>
      <c r="Q34" s="256"/>
      <c r="R34" s="256"/>
      <c r="S34" s="256"/>
      <c r="T34" s="256"/>
      <c r="U34" s="257"/>
      <c r="W34" s="1445"/>
      <c r="X34" s="255"/>
      <c r="Y34" s="256"/>
      <c r="Z34" s="256"/>
      <c r="AA34" s="256"/>
      <c r="AB34" s="256"/>
      <c r="AC34" s="256"/>
      <c r="AD34" s="256"/>
      <c r="AE34" s="256"/>
      <c r="AF34" s="1809"/>
      <c r="AG34" s="1805"/>
      <c r="AH34" s="1805"/>
      <c r="AJ34" s="1809"/>
      <c r="AK34" s="1809"/>
      <c r="AL34" s="1809"/>
      <c r="AM34" s="1809"/>
    </row>
    <row r="35" spans="1:39" ht="35.25" customHeight="1">
      <c r="A35" s="1442" t="s">
        <v>7</v>
      </c>
      <c r="B35" s="3251" t="s">
        <v>92</v>
      </c>
      <c r="C35" s="3252"/>
      <c r="D35" s="3252"/>
      <c r="E35" s="3253"/>
      <c r="F35" s="1441" t="s">
        <v>93</v>
      </c>
      <c r="G35" s="978" t="s">
        <v>1310</v>
      </c>
      <c r="H35" s="2224" t="s">
        <v>1302</v>
      </c>
      <c r="I35" s="3255" t="s">
        <v>111</v>
      </c>
      <c r="J35" s="3255"/>
      <c r="K35" s="3255"/>
      <c r="L35" s="3256"/>
      <c r="M35" s="3254" t="s">
        <v>111</v>
      </c>
      <c r="N35" s="3255"/>
      <c r="O35" s="3255"/>
      <c r="P35" s="3256"/>
      <c r="Q35" s="3254" t="s">
        <v>111</v>
      </c>
      <c r="R35" s="3255"/>
      <c r="S35" s="3255"/>
      <c r="T35" s="3256"/>
      <c r="U35" s="1439"/>
      <c r="W35" s="1447" t="s">
        <v>7</v>
      </c>
      <c r="X35" s="3251" t="s">
        <v>92</v>
      </c>
      <c r="Y35" s="3252"/>
      <c r="Z35" s="3252"/>
      <c r="AA35" s="3253"/>
      <c r="AB35" s="3285" t="s">
        <v>1360</v>
      </c>
      <c r="AC35" s="3062"/>
      <c r="AD35" s="3062"/>
      <c r="AE35" s="3063"/>
      <c r="AF35" s="3285" t="s">
        <v>1360</v>
      </c>
      <c r="AG35" s="3062"/>
      <c r="AH35" s="3062"/>
      <c r="AI35" s="3063"/>
      <c r="AJ35" s="3285" t="s">
        <v>1360</v>
      </c>
      <c r="AK35" s="3062"/>
      <c r="AL35" s="3062"/>
      <c r="AM35" s="3063"/>
    </row>
    <row r="36" spans="1:39" ht="42.75" customHeight="1">
      <c r="A36" s="1433">
        <v>1</v>
      </c>
      <c r="B36" s="3288" t="s">
        <v>226</v>
      </c>
      <c r="C36" s="3289"/>
      <c r="D36" s="3289"/>
      <c r="E36" s="3290"/>
      <c r="F36" s="23" t="s">
        <v>48</v>
      </c>
      <c r="G36" s="267" t="str">
        <f>'XM.GUI MAIL'!$E$72</f>
        <v>100-200</v>
      </c>
      <c r="H36" s="1897" t="str">
        <f>'XM.GUI MAIL'!$F$72</f>
        <v>100-200</v>
      </c>
      <c r="I36" s="3230">
        <f>'XM.GUI MAIL'!AD72</f>
        <v>130</v>
      </c>
      <c r="J36" s="3230"/>
      <c r="K36" s="3230"/>
      <c r="L36" s="3230"/>
      <c r="M36" s="3198">
        <f>'XM.GUI MAIL'!AK72</f>
        <v>125</v>
      </c>
      <c r="N36" s="3230"/>
      <c r="O36" s="3230"/>
      <c r="P36" s="3230"/>
      <c r="Q36" s="3198">
        <f>'XM.GUI MAIL'!AR72</f>
        <v>130</v>
      </c>
      <c r="R36" s="3230"/>
      <c r="S36" s="3230"/>
      <c r="T36" s="3230"/>
      <c r="U36" s="22"/>
      <c r="W36" s="1445">
        <v>1</v>
      </c>
      <c r="X36" s="3288" t="s">
        <v>226</v>
      </c>
      <c r="Y36" s="3289"/>
      <c r="Z36" s="3289"/>
      <c r="AA36" s="3290"/>
      <c r="AB36" s="1511"/>
      <c r="AC36" s="1794"/>
      <c r="AD36" s="1794"/>
      <c r="AE36" s="1512"/>
      <c r="AF36" s="1606"/>
      <c r="AG36" s="1794"/>
      <c r="AH36" s="1794"/>
      <c r="AI36" s="1512"/>
      <c r="AJ36" s="1511"/>
      <c r="AK36" s="1794"/>
      <c r="AL36" s="1794"/>
      <c r="AM36" s="1512"/>
    </row>
    <row r="37" spans="1:39" ht="42.75" customHeight="1">
      <c r="A37" s="1433">
        <v>2</v>
      </c>
      <c r="B37" s="3288" t="s">
        <v>227</v>
      </c>
      <c r="C37" s="3289"/>
      <c r="D37" s="3289"/>
      <c r="E37" s="3290"/>
      <c r="F37" s="23" t="s">
        <v>48</v>
      </c>
      <c r="G37" s="267" t="str">
        <f>'XM.GUI MAIL'!$E$73</f>
        <v>20-50</v>
      </c>
      <c r="H37" s="1897" t="str">
        <f>'XM.GUI MAIL'!$F$73</f>
        <v>20-50</v>
      </c>
      <c r="I37" s="3230">
        <f>'XM.GUI MAIL'!AD73</f>
        <v>40</v>
      </c>
      <c r="J37" s="3230"/>
      <c r="K37" s="3230"/>
      <c r="L37" s="3230"/>
      <c r="M37" s="3198">
        <f>'XM.GUI MAIL'!AK73</f>
        <v>42</v>
      </c>
      <c r="N37" s="3230"/>
      <c r="O37" s="3230"/>
      <c r="P37" s="3230"/>
      <c r="Q37" s="3198">
        <f>'XM.GUI MAIL'!AR73</f>
        <v>40</v>
      </c>
      <c r="R37" s="3230"/>
      <c r="S37" s="3230"/>
      <c r="T37" s="3230"/>
      <c r="U37" s="22"/>
      <c r="W37" s="1445">
        <v>2</v>
      </c>
      <c r="X37" s="3288" t="s">
        <v>227</v>
      </c>
      <c r="Y37" s="3289"/>
      <c r="Z37" s="3289"/>
      <c r="AA37" s="3290"/>
      <c r="AB37" s="1507"/>
      <c r="AC37" s="1791"/>
      <c r="AD37" s="1791"/>
      <c r="AE37" s="1513"/>
      <c r="AF37" s="1792"/>
      <c r="AG37" s="1791"/>
      <c r="AH37" s="1791"/>
      <c r="AI37" s="1513"/>
      <c r="AJ37" s="1507"/>
      <c r="AK37" s="1791"/>
      <c r="AL37" s="1791"/>
      <c r="AM37" s="1513"/>
    </row>
  </sheetData>
  <sheetProtection formatCells="0" formatColumns="0" formatRows="0" insertColumns="0" insertRows="0" insertHyperlinks="0" deleteColumns="0" deleteRows="0" selectLockedCells="1" sort="0" autoFilter="0" pivotTables="0"/>
  <mergeCells count="177">
    <mergeCell ref="AJ5:AK5"/>
    <mergeCell ref="AL5:AM5"/>
    <mergeCell ref="AJ25:AM25"/>
    <mergeCell ref="AB35:AE35"/>
    <mergeCell ref="AJ35:AM35"/>
    <mergeCell ref="AB4:AE4"/>
    <mergeCell ref="AJ4:AM4"/>
    <mergeCell ref="B37:E37"/>
    <mergeCell ref="I37:L37"/>
    <mergeCell ref="M37:P37"/>
    <mergeCell ref="Q37:T37"/>
    <mergeCell ref="S33:T33"/>
    <mergeCell ref="B35:E35"/>
    <mergeCell ref="I35:L35"/>
    <mergeCell ref="M35:P35"/>
    <mergeCell ref="Q35:T35"/>
    <mergeCell ref="B36:E36"/>
    <mergeCell ref="I36:L36"/>
    <mergeCell ref="M36:P36"/>
    <mergeCell ref="Q36:T36"/>
    <mergeCell ref="B33:E33"/>
    <mergeCell ref="I33:J33"/>
    <mergeCell ref="K33:L33"/>
    <mergeCell ref="M33:N33"/>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S27:T27"/>
    <mergeCell ref="B28:E28"/>
    <mergeCell ref="I28:J28"/>
    <mergeCell ref="K28:L28"/>
    <mergeCell ref="M28:N28"/>
    <mergeCell ref="O28:P28"/>
    <mergeCell ref="Q28:R28"/>
    <mergeCell ref="S28:T28"/>
    <mergeCell ref="B27:E27"/>
    <mergeCell ref="I27:J27"/>
    <mergeCell ref="K27:L27"/>
    <mergeCell ref="M27:N27"/>
    <mergeCell ref="O27:P27"/>
    <mergeCell ref="Q27:R27"/>
    <mergeCell ref="O25:P25"/>
    <mergeCell ref="Q25:R25"/>
    <mergeCell ref="S25:T25"/>
    <mergeCell ref="B26:E26"/>
    <mergeCell ref="I26:J26"/>
    <mergeCell ref="K26:L26"/>
    <mergeCell ref="M26:N26"/>
    <mergeCell ref="O26:P26"/>
    <mergeCell ref="Q26:R26"/>
    <mergeCell ref="S26:T26"/>
    <mergeCell ref="A22:A23"/>
    <mergeCell ref="B22:E23"/>
    <mergeCell ref="B25:E25"/>
    <mergeCell ref="I25:J25"/>
    <mergeCell ref="K25:L25"/>
    <mergeCell ref="M25:N25"/>
    <mergeCell ref="A16:A17"/>
    <mergeCell ref="B16:E17"/>
    <mergeCell ref="B18:E18"/>
    <mergeCell ref="B19:E19"/>
    <mergeCell ref="B20:E20"/>
    <mergeCell ref="B21:E21"/>
    <mergeCell ref="A12:A13"/>
    <mergeCell ref="B12:C13"/>
    <mergeCell ref="D12:E12"/>
    <mergeCell ref="D13:E13"/>
    <mergeCell ref="B14:E14"/>
    <mergeCell ref="B15:E15"/>
    <mergeCell ref="A8:A9"/>
    <mergeCell ref="B8:C9"/>
    <mergeCell ref="D8:E8"/>
    <mergeCell ref="D9:E9"/>
    <mergeCell ref="A10:A11"/>
    <mergeCell ref="B10:C11"/>
    <mergeCell ref="D10:E10"/>
    <mergeCell ref="D11:E11"/>
    <mergeCell ref="S3:T3"/>
    <mergeCell ref="A4:A5"/>
    <mergeCell ref="B4:E5"/>
    <mergeCell ref="F4:F5"/>
    <mergeCell ref="G4:G5"/>
    <mergeCell ref="H4:H5"/>
    <mergeCell ref="I4:L4"/>
    <mergeCell ref="M4:P4"/>
    <mergeCell ref="Q4:T4"/>
    <mergeCell ref="H3:I3"/>
    <mergeCell ref="W6:W7"/>
    <mergeCell ref="X6:Y7"/>
    <mergeCell ref="Z6:AA6"/>
    <mergeCell ref="Z7:AA7"/>
    <mergeCell ref="W8:W9"/>
    <mergeCell ref="X8:Y9"/>
    <mergeCell ref="Z8:AA8"/>
    <mergeCell ref="Z9:AA9"/>
    <mergeCell ref="A1:R1"/>
    <mergeCell ref="A2:R2"/>
    <mergeCell ref="S2:T2"/>
    <mergeCell ref="W2:AE2"/>
    <mergeCell ref="X3:Z3"/>
    <mergeCell ref="W4:W5"/>
    <mergeCell ref="X4:AA5"/>
    <mergeCell ref="U4:U5"/>
    <mergeCell ref="J5:L5"/>
    <mergeCell ref="N5:P5"/>
    <mergeCell ref="R5:T5"/>
    <mergeCell ref="A6:A7"/>
    <mergeCell ref="B6:C7"/>
    <mergeCell ref="D6:E6"/>
    <mergeCell ref="D7:E7"/>
    <mergeCell ref="B3:D3"/>
    <mergeCell ref="W16:W17"/>
    <mergeCell ref="X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X14:AA14"/>
    <mergeCell ref="AC3:AD3"/>
    <mergeCell ref="AF4:AI4"/>
    <mergeCell ref="AF25:AI25"/>
    <mergeCell ref="AF35:AI35"/>
    <mergeCell ref="X36:AA36"/>
    <mergeCell ref="X37:AA37"/>
    <mergeCell ref="X33:AA33"/>
    <mergeCell ref="X35:AA35"/>
    <mergeCell ref="X31:AA31"/>
    <mergeCell ref="X32:AA32"/>
    <mergeCell ref="X29:AA29"/>
    <mergeCell ref="X30:AA30"/>
    <mergeCell ref="X27:AA27"/>
    <mergeCell ref="X28:AA28"/>
    <mergeCell ref="X25:AA25"/>
    <mergeCell ref="X26:AA26"/>
    <mergeCell ref="X15:AA15"/>
    <mergeCell ref="AB25:AE25"/>
    <mergeCell ref="AB5:AC5"/>
    <mergeCell ref="AD5:AE5"/>
    <mergeCell ref="AF5:AG5"/>
    <mergeCell ref="AH5:AI5"/>
  </mergeCells>
  <conditionalFormatting sqref="I36 M36 Q36">
    <cfRule type="expression" dxfId="2051" priority="1095">
      <formula>I36&lt;100</formula>
    </cfRule>
    <cfRule type="expression" dxfId="2050" priority="1096">
      <formula>I36&gt;200</formula>
    </cfRule>
  </conditionalFormatting>
  <conditionalFormatting sqref="I37 M37 Q37">
    <cfRule type="expression" dxfId="2049" priority="1093">
      <formula>I37&lt;20</formula>
    </cfRule>
    <cfRule type="expression" dxfId="2048" priority="1094">
      <formula>I37&gt;50</formula>
    </cfRule>
  </conditionalFormatting>
  <conditionalFormatting sqref="K30:L30">
    <cfRule type="cellIs" dxfId="2047" priority="333" operator="between">
      <formula>22</formula>
      <formula>25.99</formula>
    </cfRule>
    <cfRule type="cellIs" dxfId="2046" priority="334" operator="between">
      <formula>34.1</formula>
      <formula>35</formula>
    </cfRule>
    <cfRule type="expression" dxfId="2045" priority="335">
      <formula>K30&lt;22</formula>
    </cfRule>
    <cfRule type="expression" dxfId="2044" priority="336">
      <formula>K30&gt;35</formula>
    </cfRule>
  </conditionalFormatting>
  <conditionalFormatting sqref="K31:L31">
    <cfRule type="cellIs" dxfId="2043" priority="329" operator="between">
      <formula>30</formula>
      <formula>31.99</formula>
    </cfRule>
    <cfRule type="cellIs" dxfId="2042" priority="330" operator="between">
      <formula>36.1</formula>
      <formula>38</formula>
    </cfRule>
    <cfRule type="expression" dxfId="2041" priority="331">
      <formula>K31&lt;30</formula>
    </cfRule>
    <cfRule type="expression" dxfId="2040" priority="332">
      <formula>K31&gt;38</formula>
    </cfRule>
  </conditionalFormatting>
  <conditionalFormatting sqref="K33">
    <cfRule type="cellIs" dxfId="2039" priority="325" operator="between">
      <formula>80</formula>
      <formula>84.9</formula>
    </cfRule>
    <cfRule type="cellIs" dxfId="2038" priority="326" operator="between">
      <formula>95.1</formula>
      <formula>100</formula>
    </cfRule>
    <cfRule type="expression" dxfId="2037" priority="327">
      <formula>K33&lt;80</formula>
    </cfRule>
    <cfRule type="expression" dxfId="2036" priority="328">
      <formula>K33&gt;100</formula>
    </cfRule>
  </conditionalFormatting>
  <conditionalFormatting sqref="K26:L27">
    <cfRule type="cellIs" dxfId="2035" priority="321" operator="between">
      <formula>50</formula>
      <formula>54.9</formula>
    </cfRule>
    <cfRule type="cellIs" dxfId="2034" priority="322" operator="between">
      <formula>65.1</formula>
      <formula>70</formula>
    </cfRule>
    <cfRule type="expression" dxfId="2033" priority="323">
      <formula>K26&lt;50</formula>
    </cfRule>
    <cfRule type="expression" dxfId="2032" priority="324">
      <formula>K26&gt;70</formula>
    </cfRule>
  </conditionalFormatting>
  <conditionalFormatting sqref="K32">
    <cfRule type="expression" dxfId="2031" priority="316">
      <formula>K32&lt;50</formula>
    </cfRule>
    <cfRule type="expression" dxfId="2030" priority="317">
      <formula>K32&gt;70</formula>
    </cfRule>
  </conditionalFormatting>
  <conditionalFormatting sqref="I30:J30">
    <cfRule type="cellIs" dxfId="2029" priority="309" operator="between">
      <formula>22</formula>
      <formula>25.99</formula>
    </cfRule>
    <cfRule type="cellIs" dxfId="2028" priority="310" operator="between">
      <formula>34.1</formula>
      <formula>35</formula>
    </cfRule>
    <cfRule type="expression" dxfId="2027" priority="311">
      <formula>I30&lt;22</formula>
    </cfRule>
    <cfRule type="expression" dxfId="2026" priority="312">
      <formula>I30&gt;35</formula>
    </cfRule>
  </conditionalFormatting>
  <conditionalFormatting sqref="I31:J31">
    <cfRule type="cellIs" dxfId="2025" priority="305" operator="between">
      <formula>30</formula>
      <formula>31.99</formula>
    </cfRule>
    <cfRule type="cellIs" dxfId="2024" priority="306" operator="between">
      <formula>36.1</formula>
      <formula>38</formula>
    </cfRule>
    <cfRule type="expression" dxfId="2023" priority="307">
      <formula>I31&lt;30</formula>
    </cfRule>
    <cfRule type="expression" dxfId="2022" priority="308">
      <formula>I31&gt;38</formula>
    </cfRule>
  </conditionalFormatting>
  <conditionalFormatting sqref="I26:J27">
    <cfRule type="cellIs" dxfId="2021" priority="301" operator="between">
      <formula>50</formula>
      <formula>54.9</formula>
    </cfRule>
    <cfRule type="cellIs" dxfId="2020" priority="302" operator="between">
      <formula>65.1</formula>
      <formula>70</formula>
    </cfRule>
    <cfRule type="expression" dxfId="2019" priority="303">
      <formula>I26&lt;50</formula>
    </cfRule>
    <cfRule type="expression" dxfId="2018" priority="304">
      <formula>I26&gt;70</formula>
    </cfRule>
  </conditionalFormatting>
  <conditionalFormatting sqref="I32">
    <cfRule type="expression" dxfId="2017" priority="296">
      <formula>I32&lt;50</formula>
    </cfRule>
    <cfRule type="expression" dxfId="2016" priority="297">
      <formula>I32&gt;70</formula>
    </cfRule>
  </conditionalFormatting>
  <conditionalFormatting sqref="O30:P30">
    <cfRule type="cellIs" dxfId="2015" priority="289" operator="between">
      <formula>22</formula>
      <formula>25.99</formula>
    </cfRule>
    <cfRule type="cellIs" dxfId="2014" priority="290" operator="between">
      <formula>34.1</formula>
      <formula>35</formula>
    </cfRule>
    <cfRule type="expression" dxfId="2013" priority="291">
      <formula>O30&lt;22</formula>
    </cfRule>
    <cfRule type="expression" dxfId="2012" priority="292">
      <formula>O30&gt;35</formula>
    </cfRule>
  </conditionalFormatting>
  <conditionalFormatting sqref="O31:P31">
    <cfRule type="cellIs" dxfId="2011" priority="285" operator="between">
      <formula>30</formula>
      <formula>31.99</formula>
    </cfRule>
    <cfRule type="cellIs" dxfId="2010" priority="286" operator="between">
      <formula>36.1</formula>
      <formula>38</formula>
    </cfRule>
    <cfRule type="expression" dxfId="2009" priority="287">
      <formula>O31&lt;30</formula>
    </cfRule>
    <cfRule type="expression" dxfId="2008" priority="288">
      <formula>O31&gt;38</formula>
    </cfRule>
  </conditionalFormatting>
  <conditionalFormatting sqref="O33">
    <cfRule type="cellIs" dxfId="2007" priority="281" operator="between">
      <formula>80</formula>
      <formula>84.9</formula>
    </cfRule>
    <cfRule type="cellIs" dxfId="2006" priority="282" operator="between">
      <formula>95.1</formula>
      <formula>100</formula>
    </cfRule>
    <cfRule type="expression" dxfId="2005" priority="283">
      <formula>O33&lt;80</formula>
    </cfRule>
    <cfRule type="expression" dxfId="2004" priority="284">
      <formula>O33&gt;100</formula>
    </cfRule>
  </conditionalFormatting>
  <conditionalFormatting sqref="O26:P27">
    <cfRule type="cellIs" dxfId="2003" priority="277" operator="between">
      <formula>50</formula>
      <formula>54.9</formula>
    </cfRule>
    <cfRule type="cellIs" dxfId="2002" priority="278" operator="between">
      <formula>65.1</formula>
      <formula>70</formula>
    </cfRule>
    <cfRule type="expression" dxfId="2001" priority="279">
      <formula>O26&lt;50</formula>
    </cfRule>
    <cfRule type="expression" dxfId="2000" priority="280">
      <formula>O26&gt;70</formula>
    </cfRule>
  </conditionalFormatting>
  <conditionalFormatting sqref="O32">
    <cfRule type="expression" dxfId="1999" priority="272">
      <formula>O32&lt;50</formula>
    </cfRule>
    <cfRule type="expression" dxfId="1998" priority="273">
      <formula>O32&gt;70</formula>
    </cfRule>
  </conditionalFormatting>
  <conditionalFormatting sqref="M30:N30">
    <cfRule type="cellIs" dxfId="1997" priority="265" operator="between">
      <formula>22</formula>
      <formula>25.99</formula>
    </cfRule>
    <cfRule type="cellIs" dxfId="1996" priority="266" operator="between">
      <formula>34.1</formula>
      <formula>35</formula>
    </cfRule>
    <cfRule type="expression" dxfId="1995" priority="267">
      <formula>M30&lt;22</formula>
    </cfRule>
    <cfRule type="expression" dxfId="1994" priority="268">
      <formula>M30&gt;35</formula>
    </cfRule>
  </conditionalFormatting>
  <conditionalFormatting sqref="M31:N31">
    <cfRule type="cellIs" dxfId="1993" priority="261" operator="between">
      <formula>30</formula>
      <formula>31.99</formula>
    </cfRule>
    <cfRule type="cellIs" dxfId="1992" priority="262" operator="between">
      <formula>36.1</formula>
      <formula>38</formula>
    </cfRule>
    <cfRule type="expression" dxfId="1991" priority="263">
      <formula>M31&lt;30</formula>
    </cfRule>
    <cfRule type="expression" dxfId="1990" priority="264">
      <formula>M31&gt;38</formula>
    </cfRule>
  </conditionalFormatting>
  <conditionalFormatting sqref="M26:N27">
    <cfRule type="cellIs" dxfId="1989" priority="257" operator="between">
      <formula>50</formula>
      <formula>54.9</formula>
    </cfRule>
    <cfRule type="cellIs" dxfId="1988" priority="258" operator="between">
      <formula>65.1</formula>
      <formula>70</formula>
    </cfRule>
    <cfRule type="expression" dxfId="1987" priority="259">
      <formula>M26&lt;50</formula>
    </cfRule>
    <cfRule type="expression" dxfId="1986" priority="260">
      <formula>M26&gt;70</formula>
    </cfRule>
  </conditionalFormatting>
  <conditionalFormatting sqref="M32">
    <cfRule type="expression" dxfId="1985" priority="252">
      <formula>M32&lt;50</formula>
    </cfRule>
    <cfRule type="expression" dxfId="1984" priority="253">
      <formula>M32&gt;70</formula>
    </cfRule>
  </conditionalFormatting>
  <conditionalFormatting sqref="S30:T30">
    <cfRule type="cellIs" dxfId="1983" priority="245" operator="between">
      <formula>22</formula>
      <formula>25.99</formula>
    </cfRule>
    <cfRule type="cellIs" dxfId="1982" priority="246" operator="between">
      <formula>34.1</formula>
      <formula>35</formula>
    </cfRule>
    <cfRule type="expression" dxfId="1981" priority="247">
      <formula>S30&lt;22</formula>
    </cfRule>
    <cfRule type="expression" dxfId="1980" priority="248">
      <formula>S30&gt;35</formula>
    </cfRule>
  </conditionalFormatting>
  <conditionalFormatting sqref="S31:T31">
    <cfRule type="cellIs" dxfId="1979" priority="241" operator="between">
      <formula>30</formula>
      <formula>31.99</formula>
    </cfRule>
    <cfRule type="cellIs" dxfId="1978" priority="242" operator="between">
      <formula>36.1</formula>
      <formula>38</formula>
    </cfRule>
    <cfRule type="expression" dxfId="1977" priority="243">
      <formula>S31&lt;30</formula>
    </cfRule>
    <cfRule type="expression" dxfId="1976" priority="244">
      <formula>S31&gt;38</formula>
    </cfRule>
  </conditionalFormatting>
  <conditionalFormatting sqref="S33">
    <cfRule type="cellIs" dxfId="1975" priority="237" operator="between">
      <formula>80</formula>
      <formula>84.9</formula>
    </cfRule>
    <cfRule type="cellIs" dxfId="1974" priority="238" operator="between">
      <formula>95.1</formula>
      <formula>100</formula>
    </cfRule>
    <cfRule type="expression" dxfId="1973" priority="239">
      <formula>S33&lt;80</formula>
    </cfRule>
    <cfRule type="expression" dxfId="1972" priority="240">
      <formula>S33&gt;100</formula>
    </cfRule>
  </conditionalFormatting>
  <conditionalFormatting sqref="S26:T27">
    <cfRule type="cellIs" dxfId="1971" priority="233" operator="between">
      <formula>50</formula>
      <formula>54.9</formula>
    </cfRule>
    <cfRule type="cellIs" dxfId="1970" priority="234" operator="between">
      <formula>65.1</formula>
      <formula>70</formula>
    </cfRule>
    <cfRule type="expression" dxfId="1969" priority="235">
      <formula>S26&lt;50</formula>
    </cfRule>
    <cfRule type="expression" dxfId="1968" priority="236">
      <formula>S26&gt;70</formula>
    </cfRule>
  </conditionalFormatting>
  <conditionalFormatting sqref="S32">
    <cfRule type="expression" dxfId="1967" priority="228">
      <formula>S32&lt;50</formula>
    </cfRule>
    <cfRule type="expression" dxfId="1966" priority="229">
      <formula>S32&gt;70</formula>
    </cfRule>
  </conditionalFormatting>
  <conditionalFormatting sqref="Q30:R30">
    <cfRule type="cellIs" dxfId="1965" priority="221" operator="between">
      <formula>22</formula>
      <formula>25.99</formula>
    </cfRule>
    <cfRule type="cellIs" dxfId="1964" priority="222" operator="between">
      <formula>34.1</formula>
      <formula>35</formula>
    </cfRule>
    <cfRule type="expression" dxfId="1963" priority="223">
      <formula>Q30&lt;22</formula>
    </cfRule>
    <cfRule type="expression" dxfId="1962" priority="224">
      <formula>Q30&gt;35</formula>
    </cfRule>
  </conditionalFormatting>
  <conditionalFormatting sqref="Q31:R31">
    <cfRule type="cellIs" dxfId="1961" priority="217" operator="between">
      <formula>30</formula>
      <formula>31.99</formula>
    </cfRule>
    <cfRule type="cellIs" dxfId="1960" priority="218" operator="between">
      <formula>36.1</formula>
      <formula>38</formula>
    </cfRule>
    <cfRule type="expression" dxfId="1959" priority="219">
      <formula>Q31&lt;30</formula>
    </cfRule>
    <cfRule type="expression" dxfId="1958" priority="220">
      <formula>Q31&gt;38</formula>
    </cfRule>
  </conditionalFormatting>
  <conditionalFormatting sqref="Q26:R27">
    <cfRule type="cellIs" dxfId="1957" priority="213" operator="between">
      <formula>50</formula>
      <formula>54.9</formula>
    </cfRule>
    <cfRule type="cellIs" dxfId="1956" priority="214" operator="between">
      <formula>65.1</formula>
      <formula>70</formula>
    </cfRule>
    <cfRule type="expression" dxfId="1955" priority="215">
      <formula>Q26&lt;50</formula>
    </cfRule>
    <cfRule type="expression" dxfId="1954" priority="216">
      <formula>Q26&gt;70</formula>
    </cfRule>
  </conditionalFormatting>
  <conditionalFormatting sqref="Q32">
    <cfRule type="expression" dxfId="1953" priority="208">
      <formula>Q32&lt;50</formula>
    </cfRule>
    <cfRule type="expression" dxfId="1952" priority="209">
      <formula>Q32&gt;70</formula>
    </cfRule>
  </conditionalFormatting>
  <conditionalFormatting sqref="I19">
    <cfRule type="cellIs" dxfId="1951" priority="204" operator="between">
      <formula>15%</formula>
      <formula>16.99%</formula>
    </cfRule>
    <cfRule type="cellIs" dxfId="1950" priority="205" operator="between">
      <formula>27.01%</formula>
      <formula>30%</formula>
    </cfRule>
    <cfRule type="expression" dxfId="1949" priority="206">
      <formula>I19&lt;15%</formula>
    </cfRule>
    <cfRule type="expression" dxfId="1948" priority="207">
      <formula>I19&gt;30%</formula>
    </cfRule>
  </conditionalFormatting>
  <conditionalFormatting sqref="I15">
    <cfRule type="expression" dxfId="1947" priority="202">
      <formula>I15&lt;8</formula>
    </cfRule>
    <cfRule type="expression" dxfId="1946" priority="203">
      <formula>I15&gt;12</formula>
    </cfRule>
  </conditionalFormatting>
  <conditionalFormatting sqref="I17">
    <cfRule type="cellIs" dxfId="1945" priority="198" operator="between">
      <formula>2</formula>
      <formula>2.199</formula>
    </cfRule>
    <cfRule type="cellIs" dxfId="1944" priority="199" operator="between">
      <formula>2.41</formula>
      <formula>2.5</formula>
    </cfRule>
    <cfRule type="expression" dxfId="1943" priority="200">
      <formula>I17&lt;2</formula>
    </cfRule>
    <cfRule type="expression" dxfId="1942" priority="201">
      <formula>I17&gt;2.5</formula>
    </cfRule>
  </conditionalFormatting>
  <conditionalFormatting sqref="I20">
    <cfRule type="expression" dxfId="1941" priority="196">
      <formula>I20&lt;5%</formula>
    </cfRule>
    <cfRule type="expression" dxfId="1940" priority="197">
      <formula>I20&gt;15%</formula>
    </cfRule>
  </conditionalFormatting>
  <conditionalFormatting sqref="I20">
    <cfRule type="cellIs" dxfId="1939" priority="194" operator="between">
      <formula>5%</formula>
      <formula>6.99%</formula>
    </cfRule>
    <cfRule type="cellIs" dxfId="1938" priority="195" operator="between">
      <formula>13.1%</formula>
      <formula>15%</formula>
    </cfRule>
  </conditionalFormatting>
  <conditionalFormatting sqref="I6 I8">
    <cfRule type="cellIs" dxfId="1937" priority="190" operator="between">
      <formula>60</formula>
      <formula>64.99</formula>
    </cfRule>
    <cfRule type="cellIs" dxfId="1936" priority="191" operator="between">
      <formula>75.1</formula>
      <formula>80</formula>
    </cfRule>
    <cfRule type="expression" dxfId="1935" priority="192">
      <formula>I6&lt;60</formula>
    </cfRule>
    <cfRule type="expression" dxfId="1934" priority="193">
      <formula>I6&gt;80</formula>
    </cfRule>
  </conditionalFormatting>
  <conditionalFormatting sqref="I16">
    <cfRule type="cellIs" dxfId="1933" priority="187" operator="between">
      <formula>8.01</formula>
      <formula>10</formula>
    </cfRule>
    <cfRule type="expression" dxfId="1932" priority="188">
      <formula>I16&lt;6</formula>
    </cfRule>
    <cfRule type="expression" dxfId="1931" priority="189">
      <formula>I16&gt;10</formula>
    </cfRule>
  </conditionalFormatting>
  <conditionalFormatting sqref="I18">
    <cfRule type="cellIs" dxfId="1930" priority="183" operator="between">
      <formula>30%</formula>
      <formula>39.99%</formula>
    </cfRule>
    <cfRule type="cellIs" dxfId="1929" priority="184" operator="between">
      <formula>50.01%</formula>
      <formula>60%</formula>
    </cfRule>
    <cfRule type="expression" dxfId="1928" priority="185">
      <formula>I18&lt;30%</formula>
    </cfRule>
    <cfRule type="expression" dxfId="1927" priority="186">
      <formula>I18&gt;60%</formula>
    </cfRule>
  </conditionalFormatting>
  <conditionalFormatting sqref="I10">
    <cfRule type="expression" dxfId="1926" priority="181">
      <formula>I10&lt;50</formula>
    </cfRule>
    <cfRule type="expression" dxfId="1925" priority="182">
      <formula>I10&gt;70</formula>
    </cfRule>
  </conditionalFormatting>
  <conditionalFormatting sqref="I12">
    <cfRule type="expression" dxfId="1924" priority="179">
      <formula>I12&lt;50</formula>
    </cfRule>
    <cfRule type="expression" dxfId="1923" priority="180">
      <formula>I12&gt;70</formula>
    </cfRule>
  </conditionalFormatting>
  <conditionalFormatting sqref="I14">
    <cfRule type="cellIs" dxfId="1922" priority="175" operator="between">
      <formula>130</formula>
      <formula>132.99</formula>
    </cfRule>
    <cfRule type="cellIs" dxfId="1921" priority="176" operator="between">
      <formula>147.1</formula>
      <formula>150</formula>
    </cfRule>
    <cfRule type="expression" dxfId="1920" priority="177">
      <formula>I14&lt;130</formula>
    </cfRule>
    <cfRule type="expression" dxfId="1919" priority="178">
      <formula>I14&gt;150</formula>
    </cfRule>
  </conditionalFormatting>
  <conditionalFormatting sqref="I21">
    <cfRule type="cellIs" dxfId="1918" priority="171" operator="between">
      <formula>0.5%</formula>
      <formula>0.599%</formula>
    </cfRule>
    <cfRule type="cellIs" dxfId="1917" priority="172" operator="between">
      <formula>1.41%</formula>
      <formula>1.5%</formula>
    </cfRule>
    <cfRule type="expression" dxfId="1916" priority="173">
      <formula>I21&lt;0.5%</formula>
    </cfRule>
    <cfRule type="expression" dxfId="1915" priority="174">
      <formula>I21&gt;1.5%</formula>
    </cfRule>
  </conditionalFormatting>
  <conditionalFormatting sqref="M19">
    <cfRule type="cellIs" dxfId="1914" priority="167" operator="between">
      <formula>15%</formula>
      <formula>16.99%</formula>
    </cfRule>
    <cfRule type="cellIs" dxfId="1913" priority="168" operator="between">
      <formula>27.01%</formula>
      <formula>30%</formula>
    </cfRule>
    <cfRule type="expression" dxfId="1912" priority="169">
      <formula>M19&lt;15%</formula>
    </cfRule>
    <cfRule type="expression" dxfId="1911" priority="170">
      <formula>M19&gt;30%</formula>
    </cfRule>
  </conditionalFormatting>
  <conditionalFormatting sqref="M15">
    <cfRule type="expression" dxfId="1910" priority="165">
      <formula>M15&lt;8</formula>
    </cfRule>
    <cfRule type="expression" dxfId="1909" priority="166">
      <formula>M15&gt;12</formula>
    </cfRule>
  </conditionalFormatting>
  <conditionalFormatting sqref="M17">
    <cfRule type="cellIs" dxfId="1908" priority="161" operator="between">
      <formula>2</formula>
      <formula>2.199</formula>
    </cfRule>
    <cfRule type="cellIs" dxfId="1907" priority="162" operator="between">
      <formula>2.41</formula>
      <formula>2.5</formula>
    </cfRule>
    <cfRule type="expression" dxfId="1906" priority="163">
      <formula>M17&lt;2</formula>
    </cfRule>
    <cfRule type="expression" dxfId="1905" priority="164">
      <formula>M17&gt;2.5</formula>
    </cfRule>
  </conditionalFormatting>
  <conditionalFormatting sqref="M20">
    <cfRule type="expression" dxfId="1904" priority="159">
      <formula>M20&lt;5%</formula>
    </cfRule>
    <cfRule type="expression" dxfId="1903" priority="160">
      <formula>M20&gt;15%</formula>
    </cfRule>
  </conditionalFormatting>
  <conditionalFormatting sqref="M20">
    <cfRule type="cellIs" dxfId="1902" priority="157" operator="between">
      <formula>5%</formula>
      <formula>6.99%</formula>
    </cfRule>
    <cfRule type="cellIs" dxfId="1901" priority="158" operator="between">
      <formula>13.1%</formula>
      <formula>15%</formula>
    </cfRule>
  </conditionalFormatting>
  <conditionalFormatting sqref="M6 M8">
    <cfRule type="cellIs" dxfId="1900" priority="153" operator="between">
      <formula>60</formula>
      <formula>64.99</formula>
    </cfRule>
    <cfRule type="cellIs" dxfId="1899" priority="154" operator="between">
      <formula>75.1</formula>
      <formula>80</formula>
    </cfRule>
    <cfRule type="expression" dxfId="1898" priority="155">
      <formula>M6&lt;60</formula>
    </cfRule>
    <cfRule type="expression" dxfId="1897" priority="156">
      <formula>M6&gt;80</formula>
    </cfRule>
  </conditionalFormatting>
  <conditionalFormatting sqref="M16">
    <cfRule type="cellIs" dxfId="1896" priority="150" operator="between">
      <formula>8.01</formula>
      <formula>10</formula>
    </cfRule>
    <cfRule type="expression" dxfId="1895" priority="151">
      <formula>M16&lt;6</formula>
    </cfRule>
    <cfRule type="expression" dxfId="1894" priority="152">
      <formula>M16&gt;10</formula>
    </cfRule>
  </conditionalFormatting>
  <conditionalFormatting sqref="M18">
    <cfRule type="cellIs" dxfId="1893" priority="146" operator="between">
      <formula>30%</formula>
      <formula>39.99%</formula>
    </cfRule>
    <cfRule type="cellIs" dxfId="1892" priority="147" operator="between">
      <formula>50.01%</formula>
      <formula>60%</formula>
    </cfRule>
    <cfRule type="expression" dxfId="1891" priority="148">
      <formula>M18&lt;30%</formula>
    </cfRule>
    <cfRule type="expression" dxfId="1890" priority="149">
      <formula>M18&gt;60%</formula>
    </cfRule>
  </conditionalFormatting>
  <conditionalFormatting sqref="M10">
    <cfRule type="expression" dxfId="1889" priority="144">
      <formula>M10&lt;50</formula>
    </cfRule>
    <cfRule type="expression" dxfId="1888" priority="145">
      <formula>M10&gt;70</formula>
    </cfRule>
  </conditionalFormatting>
  <conditionalFormatting sqref="M12">
    <cfRule type="expression" dxfId="1887" priority="142">
      <formula>M12&lt;50</formula>
    </cfRule>
    <cfRule type="expression" dxfId="1886" priority="143">
      <formula>M12&gt;70</formula>
    </cfRule>
  </conditionalFormatting>
  <conditionalFormatting sqref="M14">
    <cfRule type="cellIs" dxfId="1885" priority="138" operator="between">
      <formula>130</formula>
      <formula>132.99</formula>
    </cfRule>
    <cfRule type="cellIs" dxfId="1884" priority="139" operator="between">
      <formula>147.1</formula>
      <formula>150</formula>
    </cfRule>
    <cfRule type="expression" dxfId="1883" priority="140">
      <formula>M14&lt;130</formula>
    </cfRule>
    <cfRule type="expression" dxfId="1882" priority="141">
      <formula>M14&gt;150</formula>
    </cfRule>
  </conditionalFormatting>
  <conditionalFormatting sqref="M21">
    <cfRule type="cellIs" dxfId="1881" priority="134" operator="between">
      <formula>0.5%</formula>
      <formula>0.599%</formula>
    </cfRule>
    <cfRule type="cellIs" dxfId="1880" priority="135" operator="between">
      <formula>1.41%</formula>
      <formula>1.5%</formula>
    </cfRule>
    <cfRule type="expression" dxfId="1879" priority="136">
      <formula>M21&lt;0.5%</formula>
    </cfRule>
    <cfRule type="expression" dxfId="1878" priority="137">
      <formula>M21&gt;1.5%</formula>
    </cfRule>
  </conditionalFormatting>
  <conditionalFormatting sqref="Q19">
    <cfRule type="cellIs" dxfId="1877" priority="130" operator="between">
      <formula>15%</formula>
      <formula>16.99%</formula>
    </cfRule>
    <cfRule type="cellIs" dxfId="1876" priority="131" operator="between">
      <formula>27.01%</formula>
      <formula>30%</formula>
    </cfRule>
    <cfRule type="expression" dxfId="1875" priority="132">
      <formula>Q19&lt;15%</formula>
    </cfRule>
    <cfRule type="expression" dxfId="1874" priority="133">
      <formula>Q19&gt;30%</formula>
    </cfRule>
  </conditionalFormatting>
  <conditionalFormatting sqref="Q15">
    <cfRule type="expression" dxfId="1873" priority="128">
      <formula>Q15&lt;8</formula>
    </cfRule>
    <cfRule type="expression" dxfId="1872" priority="129">
      <formula>Q15&gt;12</formula>
    </cfRule>
  </conditionalFormatting>
  <conditionalFormatting sqref="Q17">
    <cfRule type="cellIs" dxfId="1871" priority="124" operator="between">
      <formula>2</formula>
      <formula>2.199</formula>
    </cfRule>
    <cfRule type="cellIs" dxfId="1870" priority="125" operator="between">
      <formula>2.41</formula>
      <formula>2.5</formula>
    </cfRule>
    <cfRule type="expression" dxfId="1869" priority="126">
      <formula>Q17&lt;2</formula>
    </cfRule>
    <cfRule type="expression" dxfId="1868" priority="127">
      <formula>Q17&gt;2.5</formula>
    </cfRule>
  </conditionalFormatting>
  <conditionalFormatting sqref="Q20">
    <cfRule type="expression" dxfId="1867" priority="122">
      <formula>Q20&lt;5%</formula>
    </cfRule>
    <cfRule type="expression" dxfId="1866" priority="123">
      <formula>Q20&gt;15%</formula>
    </cfRule>
  </conditionalFormatting>
  <conditionalFormatting sqref="Q20">
    <cfRule type="cellIs" dxfId="1865" priority="120" operator="between">
      <formula>5%</formula>
      <formula>6.99%</formula>
    </cfRule>
    <cfRule type="cellIs" dxfId="1864" priority="121" operator="between">
      <formula>13.1%</formula>
      <formula>15%</formula>
    </cfRule>
  </conditionalFormatting>
  <conditionalFormatting sqref="Q6 Q8">
    <cfRule type="cellIs" dxfId="1863" priority="116" operator="between">
      <formula>60</formula>
      <formula>64.99</formula>
    </cfRule>
    <cfRule type="cellIs" dxfId="1862" priority="117" operator="between">
      <formula>75.1</formula>
      <formula>80</formula>
    </cfRule>
    <cfRule type="expression" dxfId="1861" priority="118">
      <formula>Q6&lt;60</formula>
    </cfRule>
    <cfRule type="expression" dxfId="1860" priority="119">
      <formula>Q6&gt;80</formula>
    </cfRule>
  </conditionalFormatting>
  <conditionalFormatting sqref="Q16">
    <cfRule type="cellIs" dxfId="1859" priority="113" operator="between">
      <formula>8.01</formula>
      <formula>10</formula>
    </cfRule>
    <cfRule type="expression" dxfId="1858" priority="114">
      <formula>Q16&lt;6</formula>
    </cfRule>
    <cfRule type="expression" dxfId="1857" priority="115">
      <formula>Q16&gt;10</formula>
    </cfRule>
  </conditionalFormatting>
  <conditionalFormatting sqref="Q18">
    <cfRule type="cellIs" dxfId="1856" priority="109" operator="between">
      <formula>30%</formula>
      <formula>39.99%</formula>
    </cfRule>
    <cfRule type="cellIs" dxfId="1855" priority="110" operator="between">
      <formula>50.01%</formula>
      <formula>60%</formula>
    </cfRule>
    <cfRule type="expression" dxfId="1854" priority="111">
      <formula>Q18&lt;30%</formula>
    </cfRule>
    <cfRule type="expression" dxfId="1853" priority="112">
      <formula>Q18&gt;60%</formula>
    </cfRule>
  </conditionalFormatting>
  <conditionalFormatting sqref="Q10">
    <cfRule type="expression" dxfId="1852" priority="107">
      <formula>Q10&lt;50</formula>
    </cfRule>
    <cfRule type="expression" dxfId="1851" priority="108">
      <formula>Q10&gt;70</formula>
    </cfRule>
  </conditionalFormatting>
  <conditionalFormatting sqref="Q12">
    <cfRule type="expression" dxfId="1850" priority="105">
      <formula>Q12&lt;50</formula>
    </cfRule>
    <cfRule type="expression" dxfId="1849" priority="106">
      <formula>Q12&gt;70</formula>
    </cfRule>
  </conditionalFormatting>
  <conditionalFormatting sqref="Q14">
    <cfRule type="cellIs" dxfId="1848" priority="101" operator="between">
      <formula>130</formula>
      <formula>132.99</formula>
    </cfRule>
    <cfRule type="cellIs" dxfId="1847" priority="102" operator="between">
      <formula>147.1</formula>
      <formula>150</formula>
    </cfRule>
    <cfRule type="expression" dxfId="1846" priority="103">
      <formula>Q14&lt;130</formula>
    </cfRule>
    <cfRule type="expression" dxfId="1845" priority="104">
      <formula>Q14&gt;150</formula>
    </cfRule>
  </conditionalFormatting>
  <conditionalFormatting sqref="Q21">
    <cfRule type="cellIs" dxfId="1844" priority="97" operator="between">
      <formula>0.5%</formula>
      <formula>0.599%</formula>
    </cfRule>
    <cfRule type="cellIs" dxfId="1843" priority="98" operator="between">
      <formula>1.41%</formula>
      <formula>1.5%</formula>
    </cfRule>
    <cfRule type="expression" dxfId="1842" priority="99">
      <formula>Q21&lt;0.5%</formula>
    </cfRule>
    <cfRule type="expression" dxfId="1841" priority="100">
      <formula>Q21&gt;1.5%</formula>
    </cfRule>
  </conditionalFormatting>
  <conditionalFormatting sqref="I23">
    <cfRule type="cellIs" dxfId="1840" priority="69" operator="between">
      <formula>1.8</formula>
      <formula>1.999</formula>
    </cfRule>
    <cfRule type="cellIs" dxfId="1839" priority="70" operator="between">
      <formula>2.21</formula>
      <formula>2.4</formula>
    </cfRule>
    <cfRule type="expression" dxfId="1838" priority="71">
      <formula>I23&lt;1.8</formula>
    </cfRule>
    <cfRule type="expression" dxfId="1837" priority="72">
      <formula>I23&gt;2.4</formula>
    </cfRule>
  </conditionalFormatting>
  <conditionalFormatting sqref="I22">
    <cfRule type="cellIs" dxfId="1836" priority="65" operator="between">
      <formula>5</formula>
      <formula>5.499</formula>
    </cfRule>
    <cfRule type="cellIs" dxfId="1835" priority="66" operator="between">
      <formula>6.51</formula>
      <formula>8</formula>
    </cfRule>
    <cfRule type="expression" dxfId="1834" priority="67">
      <formula>I22&lt;5</formula>
    </cfRule>
    <cfRule type="expression" dxfId="1833" priority="68">
      <formula>I22&gt;8</formula>
    </cfRule>
  </conditionalFormatting>
  <conditionalFormatting sqref="M23">
    <cfRule type="cellIs" dxfId="1832" priority="61" operator="between">
      <formula>1.8</formula>
      <formula>1.999</formula>
    </cfRule>
    <cfRule type="cellIs" dxfId="1831" priority="62" operator="between">
      <formula>2.21</formula>
      <formula>2.4</formula>
    </cfRule>
    <cfRule type="expression" dxfId="1830" priority="63">
      <formula>M23&lt;1.8</formula>
    </cfRule>
    <cfRule type="expression" dxfId="1829" priority="64">
      <formula>M23&gt;2.4</formula>
    </cfRule>
  </conditionalFormatting>
  <conditionalFormatting sqref="M22">
    <cfRule type="cellIs" dxfId="1828" priority="57" operator="between">
      <formula>5</formula>
      <formula>5.499</formula>
    </cfRule>
    <cfRule type="cellIs" dxfId="1827" priority="58" operator="between">
      <formula>6.51</formula>
      <formula>8</formula>
    </cfRule>
    <cfRule type="expression" dxfId="1826" priority="59">
      <formula>M22&lt;5</formula>
    </cfRule>
    <cfRule type="expression" dxfId="1825" priority="60">
      <formula>M22&gt;8</formula>
    </cfRule>
  </conditionalFormatting>
  <conditionalFormatting sqref="Q23">
    <cfRule type="cellIs" dxfId="1824" priority="53" operator="between">
      <formula>1.8</formula>
      <formula>1.999</formula>
    </cfRule>
    <cfRule type="cellIs" dxfId="1823" priority="54" operator="between">
      <formula>2.21</formula>
      <formula>2.4</formula>
    </cfRule>
    <cfRule type="expression" dxfId="1822" priority="55">
      <formula>Q23&lt;1.8</formula>
    </cfRule>
    <cfRule type="expression" dxfId="1821" priority="56">
      <formula>Q23&gt;2.4</formula>
    </cfRule>
  </conditionalFormatting>
  <conditionalFormatting sqref="Q22">
    <cfRule type="cellIs" dxfId="1820" priority="49" operator="between">
      <formula>5</formula>
      <formula>5.499</formula>
    </cfRule>
    <cfRule type="cellIs" dxfId="1819" priority="50" operator="between">
      <formula>6.51</formula>
      <formula>8</formula>
    </cfRule>
    <cfRule type="expression" dxfId="1818" priority="51">
      <formula>Q22&lt;5</formula>
    </cfRule>
    <cfRule type="expression" dxfId="1817" priority="52">
      <formula>Q22&gt;8</formula>
    </cfRule>
  </conditionalFormatting>
  <conditionalFormatting sqref="I28">
    <cfRule type="cellIs" dxfId="1816" priority="45" operator="between">
      <formula>40</formula>
      <formula>44.99</formula>
    </cfRule>
    <cfRule type="cellIs" dxfId="1815" priority="46" operator="between">
      <formula>55.1</formula>
      <formula>60</formula>
    </cfRule>
    <cfRule type="expression" dxfId="1814" priority="47">
      <formula>I28&lt;40</formula>
    </cfRule>
    <cfRule type="expression" dxfId="1813" priority="48">
      <formula>I28&gt;60</formula>
    </cfRule>
  </conditionalFormatting>
  <conditionalFormatting sqref="I29">
    <cfRule type="cellIs" dxfId="1812" priority="41" operator="between">
      <formula>40</formula>
      <formula>44.99</formula>
    </cfRule>
    <cfRule type="cellIs" dxfId="1811" priority="42" operator="between">
      <formula>55.1</formula>
      <formula>60</formula>
    </cfRule>
    <cfRule type="expression" dxfId="1810" priority="43">
      <formula>I29&lt;40</formula>
    </cfRule>
    <cfRule type="expression" dxfId="1809" priority="44">
      <formula>I29&gt;60</formula>
    </cfRule>
  </conditionalFormatting>
  <conditionalFormatting sqref="K28">
    <cfRule type="cellIs" dxfId="1808" priority="37" operator="between">
      <formula>40</formula>
      <formula>44.99</formula>
    </cfRule>
    <cfRule type="cellIs" dxfId="1807" priority="38" operator="between">
      <formula>55.1</formula>
      <formula>60</formula>
    </cfRule>
    <cfRule type="expression" dxfId="1806" priority="39">
      <formula>K28&lt;40</formula>
    </cfRule>
    <cfRule type="expression" dxfId="1805" priority="40">
      <formula>K28&gt;60</formula>
    </cfRule>
  </conditionalFormatting>
  <conditionalFormatting sqref="K29">
    <cfRule type="cellIs" dxfId="1804" priority="33" operator="between">
      <formula>40</formula>
      <formula>44.99</formula>
    </cfRule>
    <cfRule type="cellIs" dxfId="1803" priority="34" operator="between">
      <formula>55.1</formula>
      <formula>60</formula>
    </cfRule>
    <cfRule type="expression" dxfId="1802" priority="35">
      <formula>K29&lt;40</formula>
    </cfRule>
    <cfRule type="expression" dxfId="1801" priority="36">
      <formula>K29&gt;60</formula>
    </cfRule>
  </conditionalFormatting>
  <conditionalFormatting sqref="M28">
    <cfRule type="cellIs" dxfId="1800" priority="29" operator="between">
      <formula>40</formula>
      <formula>44.99</formula>
    </cfRule>
    <cfRule type="cellIs" dxfId="1799" priority="30" operator="between">
      <formula>55.1</formula>
      <formula>60</formula>
    </cfRule>
    <cfRule type="expression" dxfId="1798" priority="31">
      <formula>M28&lt;40</formula>
    </cfRule>
    <cfRule type="expression" dxfId="1797" priority="32">
      <formula>M28&gt;60</formula>
    </cfRule>
  </conditionalFormatting>
  <conditionalFormatting sqref="M29">
    <cfRule type="cellIs" dxfId="1796" priority="25" operator="between">
      <formula>40</formula>
      <formula>44.99</formula>
    </cfRule>
    <cfRule type="cellIs" dxfId="1795" priority="26" operator="between">
      <formula>55.1</formula>
      <formula>60</formula>
    </cfRule>
    <cfRule type="expression" dxfId="1794" priority="27">
      <formula>M29&lt;40</formula>
    </cfRule>
    <cfRule type="expression" dxfId="1793" priority="28">
      <formula>M29&gt;60</formula>
    </cfRule>
  </conditionalFormatting>
  <conditionalFormatting sqref="O28">
    <cfRule type="cellIs" dxfId="1792" priority="21" operator="between">
      <formula>40</formula>
      <formula>44.99</formula>
    </cfRule>
    <cfRule type="cellIs" dxfId="1791" priority="22" operator="between">
      <formula>55.1</formula>
      <formula>60</formula>
    </cfRule>
    <cfRule type="expression" dxfId="1790" priority="23">
      <formula>O28&lt;40</formula>
    </cfRule>
    <cfRule type="expression" dxfId="1789" priority="24">
      <formula>O28&gt;60</formula>
    </cfRule>
  </conditionalFormatting>
  <conditionalFormatting sqref="O29">
    <cfRule type="cellIs" dxfId="1788" priority="17" operator="between">
      <formula>40</formula>
      <formula>44.99</formula>
    </cfRule>
    <cfRule type="cellIs" dxfId="1787" priority="18" operator="between">
      <formula>55.1</formula>
      <formula>60</formula>
    </cfRule>
    <cfRule type="expression" dxfId="1786" priority="19">
      <formula>O29&lt;40</formula>
    </cfRule>
    <cfRule type="expression" dxfId="1785" priority="20">
      <formula>O29&gt;60</formula>
    </cfRule>
  </conditionalFormatting>
  <conditionalFormatting sqref="Q28">
    <cfRule type="cellIs" dxfId="1784" priority="13" operator="between">
      <formula>40</formula>
      <formula>44.99</formula>
    </cfRule>
    <cfRule type="cellIs" dxfId="1783" priority="14" operator="between">
      <formula>55.1</formula>
      <formula>60</formula>
    </cfRule>
    <cfRule type="expression" dxfId="1782" priority="15">
      <formula>Q28&lt;40</formula>
    </cfRule>
    <cfRule type="expression" dxfId="1781" priority="16">
      <formula>Q28&gt;60</formula>
    </cfRule>
  </conditionalFormatting>
  <conditionalFormatting sqref="Q29">
    <cfRule type="cellIs" dxfId="1780" priority="9" operator="between">
      <formula>40</formula>
      <formula>44.99</formula>
    </cfRule>
    <cfRule type="cellIs" dxfId="1779" priority="10" operator="between">
      <formula>55.1</formula>
      <formula>60</formula>
    </cfRule>
    <cfRule type="expression" dxfId="1778" priority="11">
      <formula>Q29&lt;40</formula>
    </cfRule>
    <cfRule type="expression" dxfId="1777" priority="12">
      <formula>Q29&gt;60</formula>
    </cfRule>
  </conditionalFormatting>
  <conditionalFormatting sqref="S28">
    <cfRule type="cellIs" dxfId="1776" priority="5" operator="between">
      <formula>40</formula>
      <formula>44.99</formula>
    </cfRule>
    <cfRule type="cellIs" dxfId="1775" priority="6" operator="between">
      <formula>55.1</formula>
      <formula>60</formula>
    </cfRule>
    <cfRule type="expression" dxfId="1774" priority="7">
      <formula>S28&lt;40</formula>
    </cfRule>
    <cfRule type="expression" dxfId="1773" priority="8">
      <formula>S28&gt;60</formula>
    </cfRule>
  </conditionalFormatting>
  <conditionalFormatting sqref="S29">
    <cfRule type="cellIs" dxfId="1772" priority="1" operator="between">
      <formula>40</formula>
      <formula>44.99</formula>
    </cfRule>
    <cfRule type="cellIs" dxfId="1771" priority="2" operator="between">
      <formula>55.1</formula>
      <formula>60</formula>
    </cfRule>
    <cfRule type="expression" dxfId="1770" priority="3">
      <formula>S29&lt;40</formula>
    </cfRule>
    <cfRule type="expression" dxfId="1769" priority="4">
      <formula>S29&gt;60</formula>
    </cfRule>
  </conditionalFormatting>
  <pageMargins left="0.32"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3.xml><?xml version="1.0" encoding="utf-8"?>
<worksheet xmlns="http://schemas.openxmlformats.org/spreadsheetml/2006/main" xmlns:r="http://schemas.openxmlformats.org/officeDocument/2006/relationships">
  <sheetPr>
    <tabColor theme="5" tint="0.39997558519241921"/>
  </sheetPr>
  <dimension ref="A1:AM46"/>
  <sheetViews>
    <sheetView topLeftCell="E1" zoomScale="55" zoomScaleNormal="55" workbookViewId="0">
      <selection activeCell="AL15" sqref="AL15"/>
    </sheetView>
  </sheetViews>
  <sheetFormatPr defaultRowHeight="16.5"/>
  <cols>
    <col min="1" max="1" width="5" style="8" customWidth="1"/>
    <col min="2" max="2" width="8.125" style="31" customWidth="1"/>
    <col min="3" max="3" width="7" style="31" customWidth="1"/>
    <col min="4" max="4" width="10.125" style="31" customWidth="1"/>
    <col min="5" max="5" width="3.25" style="31" customWidth="1"/>
    <col min="6" max="6" width="7.375" style="7" customWidth="1"/>
    <col min="7" max="7" width="14.375" style="7" customWidth="1"/>
    <col min="8" max="8" width="11" style="7" customWidth="1"/>
    <col min="9" max="9" width="10.5" style="7" customWidth="1"/>
    <col min="10" max="10" width="3.125" style="7" customWidth="1"/>
    <col min="11" max="11" width="9.375" style="7" customWidth="1"/>
    <col min="12" max="12" width="4" style="7" customWidth="1"/>
    <col min="13" max="13" width="8" style="7" customWidth="1"/>
    <col min="14" max="14" width="2.875" style="7" customWidth="1"/>
    <col min="15" max="15" width="7.5" style="7" customWidth="1"/>
    <col min="16" max="16" width="4.875" style="7" customWidth="1"/>
    <col min="17" max="17" width="10.625" style="7" customWidth="1"/>
    <col min="18" max="18" width="4.25" style="7" customWidth="1"/>
    <col min="19" max="19" width="8.375" style="7" customWidth="1"/>
    <col min="20" max="20" width="5.75" style="7" customWidth="1"/>
    <col min="21" max="21" width="12.875" style="8" customWidth="1"/>
    <col min="22" max="22" width="3.75" style="8" customWidth="1"/>
    <col min="23" max="23" width="5.625" style="8" customWidth="1"/>
    <col min="24" max="24" width="13.5" style="31" customWidth="1"/>
    <col min="25" max="25" width="7.5" style="31" customWidth="1"/>
    <col min="26" max="26" width="10.75" style="31" customWidth="1"/>
    <col min="27" max="27" width="3.875" style="31" customWidth="1"/>
    <col min="28" max="28" width="13.125" style="8" customWidth="1"/>
    <col min="29" max="29" width="6.375" style="8" customWidth="1"/>
    <col min="30" max="30" width="11.375" style="8" customWidth="1"/>
    <col min="31" max="31" width="6.375" style="8" customWidth="1"/>
    <col min="32" max="32" width="11.25" style="8" customWidth="1"/>
    <col min="33" max="33" width="6.875" style="8" customWidth="1"/>
    <col min="34" max="34" width="11.375" style="8" customWidth="1"/>
    <col min="35" max="35" width="6.625" style="8" customWidth="1"/>
    <col min="36" max="36" width="11.875" style="8" customWidth="1"/>
    <col min="37" max="37" width="6.875" style="8" customWidth="1"/>
    <col min="38" max="38" width="11.375" style="8" customWidth="1"/>
    <col min="39" max="39" width="6.625" style="8" customWidth="1"/>
    <col min="40" max="16384" width="9" style="8"/>
  </cols>
  <sheetData>
    <row r="1" spans="1:39" ht="28.5" customHeight="1">
      <c r="A1" s="3329" t="s">
        <v>135</v>
      </c>
      <c r="B1" s="3329"/>
      <c r="C1" s="3329"/>
      <c r="D1" s="3329"/>
      <c r="E1" s="3329"/>
      <c r="F1" s="3329"/>
      <c r="G1" s="3329"/>
      <c r="H1" s="3329"/>
      <c r="I1" s="3329"/>
      <c r="J1" s="3329"/>
      <c r="K1" s="3329"/>
      <c r="L1" s="3329"/>
      <c r="M1" s="3329"/>
      <c r="N1" s="3329"/>
      <c r="O1" s="3329"/>
      <c r="P1" s="3329"/>
      <c r="Q1" s="3329"/>
      <c r="R1" s="3329"/>
      <c r="S1" s="1438"/>
      <c r="T1" s="1438"/>
      <c r="U1" s="1456" t="s">
        <v>1361</v>
      </c>
      <c r="W1" s="3329"/>
      <c r="X1" s="3329"/>
      <c r="Y1" s="3329"/>
      <c r="Z1" s="3329"/>
      <c r="AA1" s="3329"/>
      <c r="AM1" s="1457" t="s">
        <v>1362</v>
      </c>
    </row>
    <row r="2" spans="1:39" ht="46.5" customHeight="1">
      <c r="A2" s="3330" t="s">
        <v>136</v>
      </c>
      <c r="B2" s="3330"/>
      <c r="C2" s="3330"/>
      <c r="D2" s="3330"/>
      <c r="E2" s="3330"/>
      <c r="F2" s="3330"/>
      <c r="G2" s="3330"/>
      <c r="H2" s="3330"/>
      <c r="I2" s="3330"/>
      <c r="J2" s="3330"/>
      <c r="K2" s="3330"/>
      <c r="L2" s="3330"/>
      <c r="M2" s="3330"/>
      <c r="N2" s="3330"/>
      <c r="O2" s="3330"/>
      <c r="P2" s="3330"/>
      <c r="Q2" s="3330"/>
      <c r="R2" s="3340"/>
      <c r="S2" s="3285" t="s">
        <v>88</v>
      </c>
      <c r="T2" s="3063"/>
      <c r="U2" s="1449" t="s">
        <v>1356</v>
      </c>
      <c r="W2" s="3330"/>
      <c r="X2" s="3330"/>
      <c r="Y2" s="3330"/>
      <c r="Z2" s="3330"/>
      <c r="AA2" s="3330"/>
      <c r="AI2" s="1007"/>
    </row>
    <row r="3" spans="1:39" ht="32.25" customHeight="1">
      <c r="A3" s="9"/>
      <c r="B3" s="1424" t="s">
        <v>127</v>
      </c>
      <c r="C3" s="1425"/>
      <c r="D3" s="1395"/>
      <c r="E3" s="1396"/>
      <c r="F3" s="2714" t="s">
        <v>1624</v>
      </c>
      <c r="G3" s="1819" t="str">
        <f>MENU!$AC$9</f>
        <v>Thứ 4,</v>
      </c>
      <c r="H3" s="3248" t="str">
        <f>MENU!$AD$9</f>
        <v>2024/05/22</v>
      </c>
      <c r="I3" s="3248"/>
      <c r="J3" s="28"/>
      <c r="K3" s="28"/>
      <c r="L3" s="29"/>
      <c r="M3" s="29"/>
      <c r="N3" s="29"/>
      <c r="O3" s="29"/>
      <c r="P3" s="29"/>
      <c r="Q3" s="29"/>
      <c r="R3" s="29"/>
      <c r="S3" s="3295" t="str">
        <f>MENU!AE7</f>
        <v>L.Yen</v>
      </c>
      <c r="T3" s="3296"/>
      <c r="U3" s="1434"/>
      <c r="W3" s="9"/>
      <c r="X3" s="1424" t="s">
        <v>127</v>
      </c>
      <c r="Y3" s="1425"/>
      <c r="Z3" s="1395"/>
      <c r="AA3" s="1396"/>
      <c r="AB3" s="1819" t="str">
        <f>MENU!$AC$9</f>
        <v>Thứ 4,</v>
      </c>
      <c r="AC3" s="3248" t="str">
        <f>MENU!$AD$9</f>
        <v>2024/05/22</v>
      </c>
      <c r="AD3" s="3248"/>
      <c r="AE3" s="26"/>
      <c r="AF3" s="26"/>
      <c r="AG3" s="452"/>
      <c r="AH3" s="452"/>
    </row>
    <row r="4" spans="1:39" s="62" customFormat="1" ht="32.25" customHeight="1">
      <c r="A4" s="3331" t="s">
        <v>7</v>
      </c>
      <c r="B4" s="3083" t="s">
        <v>76</v>
      </c>
      <c r="C4" s="3084"/>
      <c r="D4" s="3084"/>
      <c r="E4" s="3085"/>
      <c r="F4" s="3278" t="s">
        <v>124</v>
      </c>
      <c r="G4" s="3059" t="s">
        <v>1310</v>
      </c>
      <c r="H4" s="3109" t="s">
        <v>1302</v>
      </c>
      <c r="I4" s="3061">
        <v>0.80208333333333337</v>
      </c>
      <c r="J4" s="3062"/>
      <c r="K4" s="3062"/>
      <c r="L4" s="3063"/>
      <c r="M4" s="3117">
        <v>0.96875</v>
      </c>
      <c r="N4" s="3062"/>
      <c r="O4" s="3062"/>
      <c r="P4" s="3063"/>
      <c r="Q4" s="3117">
        <v>0.13541666666666666</v>
      </c>
      <c r="R4" s="3062"/>
      <c r="S4" s="3062"/>
      <c r="T4" s="3063"/>
      <c r="U4" s="3148" t="s">
        <v>38</v>
      </c>
      <c r="W4" s="3331" t="s">
        <v>7</v>
      </c>
      <c r="X4" s="3083" t="s">
        <v>76</v>
      </c>
      <c r="Y4" s="3084"/>
      <c r="Z4" s="3084"/>
      <c r="AA4" s="3085"/>
      <c r="AB4" s="3117">
        <v>0.80208333333333337</v>
      </c>
      <c r="AC4" s="3061"/>
      <c r="AD4" s="3061"/>
      <c r="AE4" s="3284"/>
      <c r="AF4" s="3117">
        <v>0.96875</v>
      </c>
      <c r="AG4" s="3061"/>
      <c r="AH4" s="3061"/>
      <c r="AI4" s="3284"/>
      <c r="AJ4" s="3117">
        <v>0.13541666666666666</v>
      </c>
      <c r="AK4" s="3061"/>
      <c r="AL4" s="3061"/>
      <c r="AM4" s="3284"/>
    </row>
    <row r="5" spans="1:39" s="62" customFormat="1" ht="36" customHeight="1">
      <c r="A5" s="3331"/>
      <c r="B5" s="3086"/>
      <c r="C5" s="3087"/>
      <c r="D5" s="3087"/>
      <c r="E5" s="3088"/>
      <c r="F5" s="3279"/>
      <c r="G5" s="3060"/>
      <c r="H5" s="3110"/>
      <c r="I5" s="2240" t="s">
        <v>129</v>
      </c>
      <c r="J5" s="3067" t="s">
        <v>1</v>
      </c>
      <c r="K5" s="3068"/>
      <c r="L5" s="3069"/>
      <c r="M5" s="53" t="s">
        <v>129</v>
      </c>
      <c r="N5" s="3067" t="s">
        <v>1</v>
      </c>
      <c r="O5" s="3068"/>
      <c r="P5" s="3069"/>
      <c r="Q5" s="53" t="s">
        <v>129</v>
      </c>
      <c r="R5" s="3067" t="s">
        <v>1</v>
      </c>
      <c r="S5" s="3068"/>
      <c r="T5" s="3069"/>
      <c r="U5" s="3149"/>
      <c r="W5" s="3331"/>
      <c r="X5" s="3086"/>
      <c r="Y5" s="3087"/>
      <c r="Z5" s="3087"/>
      <c r="AA5" s="3088"/>
      <c r="AB5" s="3251" t="s">
        <v>1448</v>
      </c>
      <c r="AC5" s="3287"/>
      <c r="AD5" s="3286" t="s">
        <v>1481</v>
      </c>
      <c r="AE5" s="3063"/>
      <c r="AF5" s="3251" t="s">
        <v>1448</v>
      </c>
      <c r="AG5" s="3287"/>
      <c r="AH5" s="3286" t="s">
        <v>1481</v>
      </c>
      <c r="AI5" s="3063"/>
      <c r="AJ5" s="3251" t="s">
        <v>1448</v>
      </c>
      <c r="AK5" s="3287"/>
      <c r="AL5" s="3286" t="s">
        <v>1481</v>
      </c>
      <c r="AM5" s="3063"/>
    </row>
    <row r="6" spans="1:39" ht="36" customHeight="1">
      <c r="A6" s="3322">
        <v>1</v>
      </c>
      <c r="B6" s="3333" t="s">
        <v>138</v>
      </c>
      <c r="C6" s="3334"/>
      <c r="D6" s="3263" t="s">
        <v>230</v>
      </c>
      <c r="E6" s="3264"/>
      <c r="F6" s="1433" t="s">
        <v>4</v>
      </c>
      <c r="G6" s="898" t="str">
        <f>'XM.GUI MAIL'!$E$78</f>
        <v>40~60</v>
      </c>
      <c r="H6" s="2222" t="str">
        <f>'XM.GUI MAIL'!$F$78</f>
        <v>(50±5)</v>
      </c>
      <c r="I6" s="2225">
        <f>'XM.GUI MAIL'!AD78</f>
        <v>49.973000000000006</v>
      </c>
      <c r="J6" s="55" t="s">
        <v>8</v>
      </c>
      <c r="K6" s="56">
        <f>'XM.GUI MAIL'!AG78</f>
        <v>0.41895899999990566</v>
      </c>
      <c r="L6" s="57" t="s">
        <v>9</v>
      </c>
      <c r="M6" s="1404">
        <f>'XM.GUI MAIL'!AK78</f>
        <v>49.973000000000006</v>
      </c>
      <c r="N6" s="55" t="s">
        <v>8</v>
      </c>
      <c r="O6" s="56">
        <f>'XM.GUI MAIL'!AN78</f>
        <v>0.41895899999990566</v>
      </c>
      <c r="P6" s="57" t="s">
        <v>9</v>
      </c>
      <c r="Q6" s="1404">
        <f>'XM.GUI MAIL'!AR78</f>
        <v>50.622</v>
      </c>
      <c r="R6" s="63" t="s">
        <v>8</v>
      </c>
      <c r="S6" s="64">
        <f>'XM.GUI MAIL'!AU78</f>
        <v>0</v>
      </c>
      <c r="T6" s="30" t="s">
        <v>9</v>
      </c>
      <c r="U6" s="1436" t="s">
        <v>39</v>
      </c>
      <c r="W6" s="3322">
        <v>1</v>
      </c>
      <c r="X6" s="3333" t="s">
        <v>138</v>
      </c>
      <c r="Y6" s="3334"/>
      <c r="Z6" s="3263" t="s">
        <v>230</v>
      </c>
      <c r="AA6" s="3264"/>
      <c r="AB6" s="2030"/>
      <c r="AC6" s="1811" t="s">
        <v>9</v>
      </c>
      <c r="AD6" s="1798"/>
      <c r="AE6" s="1753" t="s">
        <v>4</v>
      </c>
      <c r="AF6" s="2030"/>
      <c r="AG6" s="1811" t="s">
        <v>9</v>
      </c>
      <c r="AH6" s="1798"/>
      <c r="AI6" s="1753" t="s">
        <v>4</v>
      </c>
      <c r="AJ6" s="2030"/>
      <c r="AK6" s="1811" t="s">
        <v>9</v>
      </c>
      <c r="AL6" s="1798"/>
      <c r="AM6" s="1753" t="s">
        <v>4</v>
      </c>
    </row>
    <row r="7" spans="1:39" ht="33" customHeight="1">
      <c r="A7" s="3332"/>
      <c r="B7" s="3335"/>
      <c r="C7" s="3336"/>
      <c r="D7" s="3263" t="s">
        <v>231</v>
      </c>
      <c r="E7" s="3264"/>
      <c r="F7" s="1008"/>
      <c r="G7" s="898" t="s">
        <v>1271</v>
      </c>
      <c r="H7" s="2222"/>
      <c r="I7" s="2211"/>
      <c r="J7" s="55"/>
      <c r="K7" s="58">
        <f>K6/25*8.5</f>
        <v>0.1424460599999679</v>
      </c>
      <c r="L7" s="57" t="s">
        <v>10</v>
      </c>
      <c r="M7" s="1683"/>
      <c r="N7" s="55"/>
      <c r="O7" s="58">
        <f>O6/25*8.5</f>
        <v>0.1424460599999679</v>
      </c>
      <c r="P7" s="57" t="s">
        <v>10</v>
      </c>
      <c r="Q7" s="1683"/>
      <c r="R7" s="55"/>
      <c r="S7" s="58">
        <f>S6/25*8.5</f>
        <v>0</v>
      </c>
      <c r="T7" s="57" t="s">
        <v>10</v>
      </c>
      <c r="U7" s="1436"/>
      <c r="W7" s="3332"/>
      <c r="X7" s="3335"/>
      <c r="Y7" s="3336"/>
      <c r="Z7" s="3263" t="s">
        <v>231</v>
      </c>
      <c r="AA7" s="3264"/>
      <c r="AB7" s="2030"/>
      <c r="AC7" s="1811" t="s">
        <v>10</v>
      </c>
      <c r="AD7" s="1798"/>
      <c r="AE7" s="1812"/>
      <c r="AF7" s="2030"/>
      <c r="AG7" s="1811" t="s">
        <v>10</v>
      </c>
      <c r="AH7" s="1798"/>
      <c r="AI7" s="1812"/>
      <c r="AJ7" s="2030"/>
      <c r="AK7" s="1811" t="s">
        <v>10</v>
      </c>
      <c r="AL7" s="1798"/>
      <c r="AM7" s="1812"/>
    </row>
    <row r="8" spans="1:39" ht="36" customHeight="1">
      <c r="A8" s="3322">
        <v>2</v>
      </c>
      <c r="B8" s="3333" t="s">
        <v>139</v>
      </c>
      <c r="C8" s="3334"/>
      <c r="D8" s="3263" t="s">
        <v>230</v>
      </c>
      <c r="E8" s="3264"/>
      <c r="F8" s="1433" t="s">
        <v>4</v>
      </c>
      <c r="G8" s="898" t="str">
        <f>'XM.GUI MAIL'!$E$80</f>
        <v>40~60</v>
      </c>
      <c r="H8" s="2222" t="str">
        <f>'XM.GUI MAIL'!$F$80</f>
        <v>(50±5)</v>
      </c>
      <c r="I8" s="2225">
        <f>'XM.GUI MAIL'!AD80</f>
        <v>48.675000000000004</v>
      </c>
      <c r="J8" s="55" t="s">
        <v>8</v>
      </c>
      <c r="K8" s="56">
        <f>'XM.GUI MAIL'!AG80</f>
        <v>15.204374999999951</v>
      </c>
      <c r="L8" s="57" t="s">
        <v>9</v>
      </c>
      <c r="M8" s="1404">
        <f>'XM.GUI MAIL'!AK80</f>
        <v>49.323999999999998</v>
      </c>
      <c r="N8" s="55" t="s">
        <v>8</v>
      </c>
      <c r="O8" s="56">
        <f>'XM.GUI MAIL'!AN80</f>
        <v>7.7571000000000225</v>
      </c>
      <c r="P8" s="57" t="s">
        <v>9</v>
      </c>
      <c r="Q8" s="1404">
        <f>'XM.GUI MAIL'!AR80</f>
        <v>51.271000000000001</v>
      </c>
      <c r="R8" s="63" t="s">
        <v>8</v>
      </c>
      <c r="S8" s="64">
        <f>'XM.GUI MAIL'!AU80</f>
        <v>0</v>
      </c>
      <c r="T8" s="30" t="s">
        <v>9</v>
      </c>
      <c r="U8" s="1436" t="s">
        <v>39</v>
      </c>
      <c r="W8" s="3322">
        <v>2</v>
      </c>
      <c r="X8" s="3333" t="s">
        <v>139</v>
      </c>
      <c r="Y8" s="3334"/>
      <c r="Z8" s="3263" t="s">
        <v>230</v>
      </c>
      <c r="AA8" s="3264"/>
      <c r="AB8" s="2030">
        <v>15</v>
      </c>
      <c r="AC8" s="1811" t="s">
        <v>9</v>
      </c>
      <c r="AD8" s="1798">
        <v>49</v>
      </c>
      <c r="AE8" s="1753" t="s">
        <v>4</v>
      </c>
      <c r="AF8" s="2030"/>
      <c r="AG8" s="1811" t="s">
        <v>9</v>
      </c>
      <c r="AH8" s="1798"/>
      <c r="AI8" s="1753" t="s">
        <v>4</v>
      </c>
      <c r="AJ8" s="2030"/>
      <c r="AK8" s="1811" t="s">
        <v>9</v>
      </c>
      <c r="AL8" s="1798"/>
      <c r="AM8" s="1753" t="s">
        <v>4</v>
      </c>
    </row>
    <row r="9" spans="1:39" ht="36" customHeight="1">
      <c r="A9" s="3332"/>
      <c r="B9" s="3335"/>
      <c r="C9" s="3336"/>
      <c r="D9" s="3263" t="s">
        <v>231</v>
      </c>
      <c r="E9" s="3264"/>
      <c r="F9" s="1008"/>
      <c r="G9" s="898" t="s">
        <v>1271</v>
      </c>
      <c r="H9" s="2222"/>
      <c r="I9" s="2211"/>
      <c r="J9" s="55"/>
      <c r="K9" s="58">
        <f>K8/25*8.5</f>
        <v>5.1694874999999829</v>
      </c>
      <c r="L9" s="57" t="s">
        <v>10</v>
      </c>
      <c r="M9" s="1683"/>
      <c r="N9" s="55"/>
      <c r="O9" s="58">
        <f>O8/25*8.5</f>
        <v>2.6374140000000077</v>
      </c>
      <c r="P9" s="57" t="s">
        <v>10</v>
      </c>
      <c r="Q9" s="1683"/>
      <c r="R9" s="55"/>
      <c r="S9" s="58">
        <f>S8/25*8.5</f>
        <v>0</v>
      </c>
      <c r="T9" s="57" t="s">
        <v>10</v>
      </c>
      <c r="U9" s="1436"/>
      <c r="W9" s="3332"/>
      <c r="X9" s="3335"/>
      <c r="Y9" s="3336"/>
      <c r="Z9" s="3263" t="s">
        <v>231</v>
      </c>
      <c r="AA9" s="3264"/>
      <c r="AB9" s="2030">
        <v>5</v>
      </c>
      <c r="AC9" s="1811" t="s">
        <v>10</v>
      </c>
      <c r="AD9" s="1798"/>
      <c r="AE9" s="1812"/>
      <c r="AF9" s="2030"/>
      <c r="AG9" s="1811" t="s">
        <v>10</v>
      </c>
      <c r="AH9" s="1798"/>
      <c r="AI9" s="1812"/>
      <c r="AJ9" s="2030"/>
      <c r="AK9" s="1811" t="s">
        <v>10</v>
      </c>
      <c r="AL9" s="1798"/>
      <c r="AM9" s="1812"/>
    </row>
    <row r="10" spans="1:39" ht="36" customHeight="1">
      <c r="A10" s="3322">
        <v>3</v>
      </c>
      <c r="B10" s="3250" t="s">
        <v>140</v>
      </c>
      <c r="C10" s="3262"/>
      <c r="D10" s="3251" t="s">
        <v>232</v>
      </c>
      <c r="E10" s="3253" t="s">
        <v>232</v>
      </c>
      <c r="F10" s="1433" t="s">
        <v>4</v>
      </c>
      <c r="G10" s="898" t="str">
        <f>'XM.GUI MAIL'!$E$82</f>
        <v>50~70</v>
      </c>
      <c r="H10" s="2222" t="str">
        <f>'XM.GUI MAIL'!$F$82</f>
        <v>(60±5)</v>
      </c>
      <c r="I10" s="2225">
        <f>'XM.GUI MAIL'!AD82</f>
        <v>61.908000000000001</v>
      </c>
      <c r="J10" s="55" t="s">
        <v>8</v>
      </c>
      <c r="K10" s="56">
        <f>'XM.GUI MAIL'!AG82</f>
        <v>0</v>
      </c>
      <c r="L10" s="57" t="s">
        <v>9</v>
      </c>
      <c r="M10" s="1404">
        <f>'XM.GUI MAIL'!AK82</f>
        <v>61.446000000000005</v>
      </c>
      <c r="N10" s="55" t="s">
        <v>8</v>
      </c>
      <c r="O10" s="56">
        <f>'XM.GUI MAIL'!AN82</f>
        <v>0</v>
      </c>
      <c r="P10" s="57" t="s">
        <v>9</v>
      </c>
      <c r="Q10" s="1404">
        <f>'XM.GUI MAIL'!AR82</f>
        <v>61.908000000000001</v>
      </c>
      <c r="R10" s="55" t="s">
        <v>8</v>
      </c>
      <c r="S10" s="56">
        <f>'XM.GUI MAIL'!AU82</f>
        <v>0</v>
      </c>
      <c r="T10" s="57" t="s">
        <v>9</v>
      </c>
      <c r="U10" s="1436" t="s">
        <v>39</v>
      </c>
      <c r="W10" s="3322">
        <v>3</v>
      </c>
      <c r="X10" s="3250" t="s">
        <v>140</v>
      </c>
      <c r="Y10" s="3262"/>
      <c r="Z10" s="3251" t="s">
        <v>232</v>
      </c>
      <c r="AA10" s="3253" t="s">
        <v>232</v>
      </c>
      <c r="AB10" s="2030"/>
      <c r="AC10" s="1811" t="s">
        <v>9</v>
      </c>
      <c r="AD10" s="1798"/>
      <c r="AE10" s="1753" t="s">
        <v>4</v>
      </c>
      <c r="AF10" s="2030"/>
      <c r="AG10" s="1811" t="s">
        <v>9</v>
      </c>
      <c r="AH10" s="1798"/>
      <c r="AI10" s="1753" t="s">
        <v>4</v>
      </c>
      <c r="AJ10" s="2030"/>
      <c r="AK10" s="1811" t="s">
        <v>9</v>
      </c>
      <c r="AL10" s="1798"/>
      <c r="AM10" s="1753" t="s">
        <v>4</v>
      </c>
    </row>
    <row r="11" spans="1:39" ht="36" customHeight="1">
      <c r="A11" s="3323"/>
      <c r="B11" s="3262"/>
      <c r="C11" s="3262"/>
      <c r="D11" s="3251" t="s">
        <v>233</v>
      </c>
      <c r="E11" s="3253" t="s">
        <v>233</v>
      </c>
      <c r="F11" s="1008"/>
      <c r="G11" s="898" t="s">
        <v>1272</v>
      </c>
      <c r="H11" s="2222"/>
      <c r="I11" s="2211"/>
      <c r="J11" s="55"/>
      <c r="K11" s="58">
        <f>K10/25*8</f>
        <v>0</v>
      </c>
      <c r="L11" s="57" t="s">
        <v>10</v>
      </c>
      <c r="M11" s="1683"/>
      <c r="N11" s="55"/>
      <c r="O11" s="58">
        <f>O10/25*8</f>
        <v>0</v>
      </c>
      <c r="P11" s="57" t="s">
        <v>10</v>
      </c>
      <c r="Q11" s="1683"/>
      <c r="R11" s="55"/>
      <c r="S11" s="58">
        <f>S10/25*8</f>
        <v>0</v>
      </c>
      <c r="T11" s="57" t="s">
        <v>10</v>
      </c>
      <c r="U11" s="1436"/>
      <c r="W11" s="3323"/>
      <c r="X11" s="3262"/>
      <c r="Y11" s="3262"/>
      <c r="Z11" s="3251" t="s">
        <v>233</v>
      </c>
      <c r="AA11" s="3253" t="s">
        <v>233</v>
      </c>
      <c r="AB11" s="2030"/>
      <c r="AC11" s="1811" t="s">
        <v>10</v>
      </c>
      <c r="AD11" s="1798"/>
      <c r="AE11" s="1812"/>
      <c r="AF11" s="2030"/>
      <c r="AG11" s="1811" t="s">
        <v>10</v>
      </c>
      <c r="AH11" s="1798"/>
      <c r="AI11" s="1812"/>
      <c r="AJ11" s="2030"/>
      <c r="AK11" s="1811" t="s">
        <v>10</v>
      </c>
      <c r="AL11" s="1798"/>
      <c r="AM11" s="1812"/>
    </row>
    <row r="12" spans="1:39" ht="36" customHeight="1">
      <c r="A12" s="3322">
        <v>4</v>
      </c>
      <c r="B12" s="3250" t="s">
        <v>141</v>
      </c>
      <c r="C12" s="3262"/>
      <c r="D12" s="3251" t="s">
        <v>232</v>
      </c>
      <c r="E12" s="3253" t="s">
        <v>232</v>
      </c>
      <c r="F12" s="1433" t="s">
        <v>4</v>
      </c>
      <c r="G12" s="898" t="str">
        <f>'XM.GUI MAIL'!$E$84</f>
        <v>50~70</v>
      </c>
      <c r="H12" s="2222" t="str">
        <f>'XM.GUI MAIL'!$F$84</f>
        <v>(60±5)</v>
      </c>
      <c r="I12" s="2225">
        <f>'XM.GUI MAIL'!AD84</f>
        <v>60.06</v>
      </c>
      <c r="J12" s="55" t="s">
        <v>8</v>
      </c>
      <c r="K12" s="56">
        <f>'XM.GUI MAIL'!AG84</f>
        <v>0</v>
      </c>
      <c r="L12" s="57" t="s">
        <v>9</v>
      </c>
      <c r="M12" s="1404">
        <f>'XM.GUI MAIL'!AK84</f>
        <v>60.06</v>
      </c>
      <c r="N12" s="55" t="s">
        <v>8</v>
      </c>
      <c r="O12" s="56">
        <f>'XM.GUI MAIL'!AN84</f>
        <v>0</v>
      </c>
      <c r="P12" s="57" t="s">
        <v>9</v>
      </c>
      <c r="Q12" s="1404">
        <f>'XM.GUI MAIL'!AR84</f>
        <v>60.06</v>
      </c>
      <c r="R12" s="55" t="s">
        <v>8</v>
      </c>
      <c r="S12" s="56">
        <f>'XM.GUI MAIL'!AU84</f>
        <v>0</v>
      </c>
      <c r="T12" s="57" t="s">
        <v>9</v>
      </c>
      <c r="U12" s="1436" t="s">
        <v>39</v>
      </c>
      <c r="W12" s="3322">
        <v>4</v>
      </c>
      <c r="X12" s="3250" t="s">
        <v>141</v>
      </c>
      <c r="Y12" s="3262"/>
      <c r="Z12" s="3251" t="s">
        <v>232</v>
      </c>
      <c r="AA12" s="3253" t="s">
        <v>232</v>
      </c>
      <c r="AB12" s="2030"/>
      <c r="AC12" s="1811" t="s">
        <v>9</v>
      </c>
      <c r="AD12" s="1798"/>
      <c r="AE12" s="1753" t="s">
        <v>4</v>
      </c>
      <c r="AF12" s="2030"/>
      <c r="AG12" s="1811" t="s">
        <v>9</v>
      </c>
      <c r="AH12" s="1798"/>
      <c r="AI12" s="1753" t="s">
        <v>4</v>
      </c>
      <c r="AJ12" s="2030"/>
      <c r="AK12" s="1811" t="s">
        <v>9</v>
      </c>
      <c r="AL12" s="1798"/>
      <c r="AM12" s="1753" t="s">
        <v>4</v>
      </c>
    </row>
    <row r="13" spans="1:39" ht="33" customHeight="1">
      <c r="A13" s="3323"/>
      <c r="B13" s="3262"/>
      <c r="C13" s="3262"/>
      <c r="D13" s="3251" t="s">
        <v>233</v>
      </c>
      <c r="E13" s="3253" t="s">
        <v>233</v>
      </c>
      <c r="F13" s="1008"/>
      <c r="G13" s="898" t="s">
        <v>1272</v>
      </c>
      <c r="H13" s="2222"/>
      <c r="I13" s="2211"/>
      <c r="J13" s="55"/>
      <c r="K13" s="58">
        <f>K12/25*8</f>
        <v>0</v>
      </c>
      <c r="L13" s="57" t="s">
        <v>10</v>
      </c>
      <c r="M13" s="1683"/>
      <c r="N13" s="55"/>
      <c r="O13" s="58">
        <f>O12/25*8</f>
        <v>0</v>
      </c>
      <c r="P13" s="57" t="s">
        <v>10</v>
      </c>
      <c r="Q13" s="1683"/>
      <c r="R13" s="55"/>
      <c r="S13" s="58">
        <f>S12/25*8</f>
        <v>0</v>
      </c>
      <c r="T13" s="57" t="s">
        <v>10</v>
      </c>
      <c r="U13" s="1436"/>
      <c r="W13" s="3323"/>
      <c r="X13" s="3262"/>
      <c r="Y13" s="3262"/>
      <c r="Z13" s="3251" t="s">
        <v>233</v>
      </c>
      <c r="AA13" s="3253" t="s">
        <v>233</v>
      </c>
      <c r="AB13" s="2030"/>
      <c r="AC13" s="1811" t="s">
        <v>10</v>
      </c>
      <c r="AD13" s="1798"/>
      <c r="AE13" s="1812"/>
      <c r="AF13" s="2030"/>
      <c r="AG13" s="1811" t="s">
        <v>10</v>
      </c>
      <c r="AH13" s="1798"/>
      <c r="AI13" s="1812"/>
      <c r="AJ13" s="2030"/>
      <c r="AK13" s="1811" t="s">
        <v>10</v>
      </c>
      <c r="AL13" s="1798"/>
      <c r="AM13" s="1812"/>
    </row>
    <row r="14" spans="1:39" ht="36" customHeight="1">
      <c r="A14" s="3322">
        <v>5</v>
      </c>
      <c r="B14" s="3324" t="s">
        <v>113</v>
      </c>
      <c r="C14" s="3326" t="s">
        <v>19</v>
      </c>
      <c r="D14" s="3327"/>
      <c r="E14" s="3328"/>
      <c r="F14" s="1433" t="s">
        <v>4</v>
      </c>
      <c r="G14" s="1444" t="str">
        <f>'XM.GUI MAIL'!$E$86</f>
        <v>135~ 145</v>
      </c>
      <c r="H14" s="2241" t="str">
        <f>'XM.GUI MAIL'!$F$86</f>
        <v>(140±5)</v>
      </c>
      <c r="I14" s="2227">
        <f>'XM.GUI MAIL'!AD86</f>
        <v>140</v>
      </c>
      <c r="J14" s="55" t="s">
        <v>8</v>
      </c>
      <c r="K14" s="56">
        <f>'XM.GUI MAIL'!AG86</f>
        <v>0</v>
      </c>
      <c r="L14" s="57" t="s">
        <v>9</v>
      </c>
      <c r="M14" s="78">
        <f>'XM.GUI MAIL'!AK86</f>
        <v>140</v>
      </c>
      <c r="N14" s="1059" t="s">
        <v>8</v>
      </c>
      <c r="O14" s="56">
        <f>'XM.GUI MAIL'!AN86</f>
        <v>0</v>
      </c>
      <c r="P14" s="57" t="s">
        <v>9</v>
      </c>
      <c r="Q14" s="78">
        <f>'XM.GUI MAIL'!AR86</f>
        <v>139.19999999999999</v>
      </c>
      <c r="R14" s="55" t="s">
        <v>8</v>
      </c>
      <c r="S14" s="56">
        <f>'XM.GUI MAIL'!AU86</f>
        <v>42.452800000000607</v>
      </c>
      <c r="T14" s="57" t="s">
        <v>9</v>
      </c>
      <c r="U14" s="1436" t="s">
        <v>40</v>
      </c>
      <c r="W14" s="3322">
        <v>5</v>
      </c>
      <c r="X14" s="3324" t="s">
        <v>113</v>
      </c>
      <c r="Y14" s="3326" t="s">
        <v>19</v>
      </c>
      <c r="Z14" s="3327"/>
      <c r="AA14" s="3328"/>
      <c r="AB14" s="2030"/>
      <c r="AC14" s="1811" t="s">
        <v>9</v>
      </c>
      <c r="AD14" s="1798"/>
      <c r="AE14" s="1753" t="s">
        <v>4</v>
      </c>
      <c r="AF14" s="2030"/>
      <c r="AG14" s="1811" t="s">
        <v>9</v>
      </c>
      <c r="AH14" s="1798"/>
      <c r="AI14" s="1753" t="s">
        <v>4</v>
      </c>
      <c r="AJ14" s="2030">
        <v>50</v>
      </c>
      <c r="AK14" s="1811" t="s">
        <v>9</v>
      </c>
      <c r="AL14" s="1798">
        <v>140</v>
      </c>
      <c r="AM14" s="1753" t="s">
        <v>4</v>
      </c>
    </row>
    <row r="15" spans="1:39" ht="36" customHeight="1">
      <c r="A15" s="3323"/>
      <c r="B15" s="3325"/>
      <c r="C15" s="3326" t="s">
        <v>20</v>
      </c>
      <c r="D15" s="3327"/>
      <c r="E15" s="3328"/>
      <c r="F15" s="1008"/>
      <c r="G15" s="1444" t="str">
        <f>'XM.GUI MAIL'!$E$87</f>
        <v>7~10</v>
      </c>
      <c r="H15" s="2241" t="str">
        <f>'XM.GUI MAIL'!$F$87</f>
        <v>(8.5±1)</v>
      </c>
      <c r="I15" s="2228">
        <f>'XM.GUI MAIL'!AD87</f>
        <v>8.5150000000000006</v>
      </c>
      <c r="J15" s="63" t="s">
        <v>8</v>
      </c>
      <c r="K15" s="818">
        <f>'XM.GUI MAIL'!AG87</f>
        <v>0</v>
      </c>
      <c r="L15" s="1061" t="s">
        <v>9</v>
      </c>
      <c r="M15" s="1930">
        <f>'XM.GUI MAIL'!AK87</f>
        <v>8.4500000000000011</v>
      </c>
      <c r="N15" s="817" t="s">
        <v>8</v>
      </c>
      <c r="O15" s="818">
        <f>'XM.GUI MAIL'!AN87</f>
        <v>2.6532999999999434</v>
      </c>
      <c r="P15" s="1061" t="s">
        <v>9</v>
      </c>
      <c r="Q15" s="1930">
        <f>'XM.GUI MAIL'!AR87</f>
        <v>8.32</v>
      </c>
      <c r="R15" s="63" t="s">
        <v>8</v>
      </c>
      <c r="S15" s="64">
        <f>'XM.GUI MAIL'!AU87</f>
        <v>9.5518799999999846</v>
      </c>
      <c r="T15" s="104" t="s">
        <v>9</v>
      </c>
      <c r="U15" s="1436" t="s">
        <v>41</v>
      </c>
      <c r="W15" s="3323"/>
      <c r="X15" s="3325"/>
      <c r="Y15" s="3326" t="s">
        <v>20</v>
      </c>
      <c r="Z15" s="3327"/>
      <c r="AA15" s="3328"/>
      <c r="AB15" s="2030"/>
      <c r="AC15" s="1811" t="s">
        <v>9</v>
      </c>
      <c r="AD15" s="1798"/>
      <c r="AE15" s="1812"/>
      <c r="AF15" s="2030"/>
      <c r="AG15" s="1811" t="s">
        <v>9</v>
      </c>
      <c r="AH15" s="1798"/>
      <c r="AI15" s="1812"/>
      <c r="AJ15" s="2030"/>
      <c r="AK15" s="1811" t="s">
        <v>9</v>
      </c>
      <c r="AL15" s="1798"/>
      <c r="AM15" s="1812"/>
    </row>
    <row r="16" spans="1:39" s="7" customFormat="1" ht="36" customHeight="1">
      <c r="A16" s="3322">
        <v>6</v>
      </c>
      <c r="B16" s="3310" t="s">
        <v>1153</v>
      </c>
      <c r="C16" s="3311"/>
      <c r="D16" s="3311"/>
      <c r="E16" s="3314"/>
      <c r="F16" s="77" t="s">
        <v>3</v>
      </c>
      <c r="G16" s="1444" t="str">
        <f>'XM.GUI MAIL'!$E$88</f>
        <v>5~8</v>
      </c>
      <c r="H16" s="2241" t="str">
        <f>'XM.GUI MAIL'!$F$88</f>
        <v>(6±1)</v>
      </c>
      <c r="I16" s="2229">
        <f>'XM.GUI MAIL'!AD88</f>
        <v>6.2839100000000006</v>
      </c>
      <c r="J16" s="55" t="s">
        <v>8</v>
      </c>
      <c r="K16" s="56">
        <f>'XM.GUI MAIL'!AG88</f>
        <v>0</v>
      </c>
      <c r="L16" s="57" t="s">
        <v>10</v>
      </c>
      <c r="M16" s="595">
        <f>'XM.GUI MAIL'!AK88</f>
        <v>6.2415399999999996</v>
      </c>
      <c r="N16" s="1059" t="s">
        <v>8</v>
      </c>
      <c r="O16" s="56">
        <f>'XM.GUI MAIL'!AN88</f>
        <v>0</v>
      </c>
      <c r="P16" s="57" t="s">
        <v>10</v>
      </c>
      <c r="Q16" s="595">
        <f>'XM.GUI MAIL'!AR88</f>
        <v>6.3262799999999997</v>
      </c>
      <c r="R16" s="63" t="s">
        <v>8</v>
      </c>
      <c r="S16" s="64">
        <f>'XM.GUI MAIL'!AU88</f>
        <v>0</v>
      </c>
      <c r="T16" s="30" t="s">
        <v>10</v>
      </c>
      <c r="U16" s="1436" t="s">
        <v>42</v>
      </c>
      <c r="W16" s="3322">
        <v>6</v>
      </c>
      <c r="X16" s="3310" t="s">
        <v>1153</v>
      </c>
      <c r="Y16" s="3311"/>
      <c r="Z16" s="3311"/>
      <c r="AA16" s="3314"/>
      <c r="AB16" s="2030"/>
      <c r="AC16" s="1811" t="s">
        <v>10</v>
      </c>
      <c r="AD16" s="1798"/>
      <c r="AE16" s="1813" t="s">
        <v>3</v>
      </c>
      <c r="AF16" s="2030"/>
      <c r="AG16" s="1811" t="s">
        <v>10</v>
      </c>
      <c r="AH16" s="1798"/>
      <c r="AI16" s="1813" t="s">
        <v>3</v>
      </c>
      <c r="AJ16" s="2030"/>
      <c r="AK16" s="1811" t="s">
        <v>10</v>
      </c>
      <c r="AL16" s="1798"/>
      <c r="AM16" s="1813" t="s">
        <v>3</v>
      </c>
    </row>
    <row r="17" spans="1:39" ht="29.25" customHeight="1">
      <c r="A17" s="3323"/>
      <c r="B17" s="3312"/>
      <c r="C17" s="3313"/>
      <c r="D17" s="3313"/>
      <c r="E17" s="3315"/>
      <c r="F17" s="77" t="s">
        <v>5</v>
      </c>
      <c r="G17" s="1444" t="str">
        <f>'XM.GUI MAIL'!$E$89</f>
        <v>2.0~2.4</v>
      </c>
      <c r="H17" s="2241" t="str">
        <f>'XM.GUI MAIL'!$F$89</f>
        <v>(2.2±0.1)</v>
      </c>
      <c r="I17" s="2228">
        <f>'XM.GUI MAIL'!AD89</f>
        <v>2.1800000000000002</v>
      </c>
      <c r="J17" s="817"/>
      <c r="K17" s="56">
        <f>'XM.GUI MAIL'!AG89</f>
        <v>0</v>
      </c>
      <c r="L17" s="1062"/>
      <c r="M17" s="1930">
        <f>'XM.GUI MAIL'!AK89</f>
        <v>2.15</v>
      </c>
      <c r="N17" s="817"/>
      <c r="O17" s="818"/>
      <c r="P17" s="1062"/>
      <c r="Q17" s="1930">
        <f>'XM.GUI MAIL'!AR89</f>
        <v>2.1800000000000002</v>
      </c>
      <c r="R17" s="63"/>
      <c r="S17" s="64"/>
      <c r="T17" s="30"/>
      <c r="U17" s="103"/>
      <c r="W17" s="3323"/>
      <c r="X17" s="3312"/>
      <c r="Y17" s="3313"/>
      <c r="Z17" s="3313"/>
      <c r="AA17" s="3315"/>
      <c r="AB17" s="2030"/>
      <c r="AC17" s="1811"/>
      <c r="AD17" s="1798"/>
      <c r="AE17" s="1813" t="s">
        <v>5</v>
      </c>
      <c r="AF17" s="2030"/>
      <c r="AG17" s="1811"/>
      <c r="AH17" s="1798"/>
      <c r="AI17" s="1813" t="s">
        <v>5</v>
      </c>
      <c r="AJ17" s="2030"/>
      <c r="AK17" s="1811"/>
      <c r="AL17" s="1798"/>
      <c r="AM17" s="1813" t="s">
        <v>5</v>
      </c>
    </row>
    <row r="18" spans="1:39" ht="36" customHeight="1">
      <c r="A18" s="1440">
        <v>7</v>
      </c>
      <c r="B18" s="3213" t="s">
        <v>1621</v>
      </c>
      <c r="C18" s="3214"/>
      <c r="D18" s="3214"/>
      <c r="E18" s="3215"/>
      <c r="F18" s="77" t="s">
        <v>6</v>
      </c>
      <c r="G18" s="1010" t="str">
        <f>'XM.GUI MAIL'!E90</f>
        <v>40~50</v>
      </c>
      <c r="H18" s="2242" t="str">
        <f>'XM.GUI MAIL'!F90</f>
        <v>(45±5)</v>
      </c>
      <c r="I18" s="1754">
        <f>'XM.GUI MAIL'!AD90</f>
        <v>0.41062500000000002</v>
      </c>
      <c r="J18" s="63" t="s">
        <v>8</v>
      </c>
      <c r="K18" s="64">
        <f>'XM.GUI MAIL'!AG90</f>
        <v>127.33874999999998</v>
      </c>
      <c r="L18" s="30" t="s">
        <v>10</v>
      </c>
      <c r="M18" s="1754">
        <f>'XM.GUI MAIL'!AK90</f>
        <v>0.42887499999999995</v>
      </c>
      <c r="N18" s="63" t="s">
        <v>8</v>
      </c>
      <c r="O18" s="64">
        <f>'XM.GUI MAIL'!AN90</f>
        <v>68.318250000000191</v>
      </c>
      <c r="P18" s="30" t="s">
        <v>10</v>
      </c>
      <c r="Q18" s="1754">
        <f>'XM.GUI MAIL'!AR90</f>
        <v>0.42431249999999998</v>
      </c>
      <c r="R18" s="63" t="s">
        <v>8</v>
      </c>
      <c r="S18" s="64">
        <f>'XM.GUI MAIL'!AU90</f>
        <v>83.073375000000098</v>
      </c>
      <c r="T18" s="30" t="s">
        <v>10</v>
      </c>
      <c r="U18" s="1436" t="s">
        <v>43</v>
      </c>
      <c r="W18" s="1446">
        <v>7</v>
      </c>
      <c r="X18" s="3213" t="s">
        <v>1621</v>
      </c>
      <c r="Y18" s="3214"/>
      <c r="Z18" s="3214"/>
      <c r="AA18" s="3215"/>
      <c r="AB18" s="2030">
        <v>100</v>
      </c>
      <c r="AC18" s="1811"/>
      <c r="AD18" s="1798">
        <v>42.7</v>
      </c>
      <c r="AE18" s="1813" t="s">
        <v>6</v>
      </c>
      <c r="AF18" s="2030"/>
      <c r="AG18" s="1811"/>
      <c r="AH18" s="1798"/>
      <c r="AI18" s="1813" t="s">
        <v>6</v>
      </c>
      <c r="AJ18" s="2030"/>
      <c r="AK18" s="1811"/>
      <c r="AL18" s="1798"/>
      <c r="AM18" s="1813" t="s">
        <v>6</v>
      </c>
    </row>
    <row r="19" spans="1:39" ht="36" hidden="1" customHeight="1">
      <c r="A19" s="2284">
        <v>8</v>
      </c>
      <c r="B19" s="3200" t="s">
        <v>1615</v>
      </c>
      <c r="C19" s="3201"/>
      <c r="D19" s="3201"/>
      <c r="E19" s="3202"/>
      <c r="F19" s="77" t="s">
        <v>6</v>
      </c>
      <c r="G19" s="1010" t="str">
        <f>'XM.GUI MAIL'!E91</f>
        <v>15~25</v>
      </c>
      <c r="H19" s="2242" t="str">
        <f>'XM.GUI MAIL'!F91</f>
        <v>(18±2)</v>
      </c>
      <c r="I19" s="1743">
        <f>'XM.GUI MAIL'!AD91</f>
        <v>0</v>
      </c>
      <c r="J19" s="63" t="s">
        <v>8</v>
      </c>
      <c r="K19" s="64">
        <f>'XM.GUI MAIL'!AG91</f>
        <v>0</v>
      </c>
      <c r="L19" s="30" t="s">
        <v>10</v>
      </c>
      <c r="M19" s="1743">
        <f>'XM.GUI MAIL'!AK91</f>
        <v>0</v>
      </c>
      <c r="N19" s="63" t="s">
        <v>8</v>
      </c>
      <c r="O19" s="64">
        <f>'XM.GUI MAIL'!AN91</f>
        <v>0</v>
      </c>
      <c r="P19" s="30" t="s">
        <v>10</v>
      </c>
      <c r="Q19" s="1743">
        <f>'XM.GUI MAIL'!AR91</f>
        <v>0</v>
      </c>
      <c r="R19" s="63" t="s">
        <v>8</v>
      </c>
      <c r="S19" s="64">
        <f>'XM.GUI MAIL'!AU91</f>
        <v>0</v>
      </c>
      <c r="T19" s="30" t="s">
        <v>10</v>
      </c>
      <c r="U19" s="2283" t="s">
        <v>43</v>
      </c>
      <c r="W19" s="2284">
        <v>7</v>
      </c>
      <c r="X19" s="3200" t="s">
        <v>1615</v>
      </c>
      <c r="Y19" s="3201"/>
      <c r="Z19" s="3201"/>
      <c r="AA19" s="3202"/>
      <c r="AB19" s="2030"/>
      <c r="AC19" s="1811"/>
      <c r="AD19" s="1798"/>
      <c r="AE19" s="1813" t="s">
        <v>6</v>
      </c>
      <c r="AF19" s="2030"/>
      <c r="AG19" s="1811"/>
      <c r="AH19" s="1798"/>
      <c r="AI19" s="1813" t="s">
        <v>6</v>
      </c>
      <c r="AJ19" s="2030"/>
      <c r="AK19" s="1811"/>
      <c r="AL19" s="1798"/>
      <c r="AM19" s="1813" t="s">
        <v>6</v>
      </c>
    </row>
    <row r="20" spans="1:39" ht="36" customHeight="1">
      <c r="A20" s="1440">
        <v>9</v>
      </c>
      <c r="B20" s="3213" t="s">
        <v>1613</v>
      </c>
      <c r="C20" s="3214"/>
      <c r="D20" s="3214"/>
      <c r="E20" s="3215"/>
      <c r="F20" s="77" t="s">
        <v>6</v>
      </c>
      <c r="G20" s="1010" t="str">
        <f>'XM.GUI MAIL'!E92</f>
        <v>40~50</v>
      </c>
      <c r="H20" s="2242" t="str">
        <f>'XM.GUI MAIL'!F92</f>
        <v>(45±5)</v>
      </c>
      <c r="I20" s="1754">
        <f>'XM.GUI MAIL'!AD92</f>
        <v>0.46993750000000001</v>
      </c>
      <c r="J20" s="1410" t="s">
        <v>8</v>
      </c>
      <c r="K20" s="1411">
        <f>'XM.GUI MAIL'!AG92</f>
        <v>0</v>
      </c>
      <c r="L20" s="30" t="s">
        <v>10</v>
      </c>
      <c r="M20" s="1754">
        <f>'XM.GUI MAIL'!AK92</f>
        <v>0.46537500000000004</v>
      </c>
      <c r="N20" s="1410" t="s">
        <v>8</v>
      </c>
      <c r="O20" s="1411">
        <f>'XM.GUI MAIL'!AN92</f>
        <v>0</v>
      </c>
      <c r="P20" s="30" t="s">
        <v>10</v>
      </c>
      <c r="Q20" s="1754">
        <f>'XM.GUI MAIL'!AR92</f>
        <v>0.46081249999999996</v>
      </c>
      <c r="R20" s="63" t="s">
        <v>8</v>
      </c>
      <c r="S20" s="64">
        <f>'XM.GUI MAIL'!AU92</f>
        <v>0</v>
      </c>
      <c r="T20" s="30" t="s">
        <v>10</v>
      </c>
      <c r="U20" s="1011" t="s">
        <v>43</v>
      </c>
      <c r="W20" s="1446">
        <v>8</v>
      </c>
      <c r="X20" s="3213" t="s">
        <v>1613</v>
      </c>
      <c r="Y20" s="3214"/>
      <c r="Z20" s="3214"/>
      <c r="AA20" s="3215"/>
      <c r="AB20" s="2030"/>
      <c r="AC20" s="1811" t="s">
        <v>10</v>
      </c>
      <c r="AD20" s="1798"/>
      <c r="AE20" s="1813" t="s">
        <v>6</v>
      </c>
      <c r="AF20" s="2030"/>
      <c r="AG20" s="1811" t="s">
        <v>10</v>
      </c>
      <c r="AH20" s="1798"/>
      <c r="AI20" s="1813" t="s">
        <v>6</v>
      </c>
      <c r="AJ20" s="2030"/>
      <c r="AK20" s="1811" t="s">
        <v>10</v>
      </c>
      <c r="AL20" s="1798"/>
      <c r="AM20" s="1813" t="s">
        <v>6</v>
      </c>
    </row>
    <row r="21" spans="1:39" ht="36" customHeight="1">
      <c r="A21" s="1440">
        <v>10</v>
      </c>
      <c r="B21" s="3213" t="s">
        <v>1614</v>
      </c>
      <c r="C21" s="3214"/>
      <c r="D21" s="3214"/>
      <c r="E21" s="3215"/>
      <c r="F21" s="77" t="s">
        <v>6</v>
      </c>
      <c r="G21" s="1010" t="str">
        <f>'XM.GUI MAIL'!E93</f>
        <v>40~50</v>
      </c>
      <c r="H21" s="2242" t="str">
        <f>'XM.GUI MAIL'!F93</f>
        <v>(45±5)</v>
      </c>
      <c r="I21" s="1754">
        <f>'XM.GUI MAIL'!AD93</f>
        <v>0.47906250000000006</v>
      </c>
      <c r="J21" s="1410" t="s">
        <v>8</v>
      </c>
      <c r="K21" s="1411">
        <f>'XM.GUI MAIL'!AG93</f>
        <v>0</v>
      </c>
      <c r="L21" s="1412" t="s">
        <v>10</v>
      </c>
      <c r="M21" s="1754">
        <f>'XM.GUI MAIL'!AK93</f>
        <v>0.47906250000000006</v>
      </c>
      <c r="N21" s="1410" t="s">
        <v>8</v>
      </c>
      <c r="O21" s="1411">
        <f>'XM.GUI MAIL'!AN93</f>
        <v>0</v>
      </c>
      <c r="P21" s="1412" t="s">
        <v>10</v>
      </c>
      <c r="Q21" s="1754">
        <f>'XM.GUI MAIL'!AR93</f>
        <v>0.46993750000000001</v>
      </c>
      <c r="R21" s="63" t="s">
        <v>8</v>
      </c>
      <c r="S21" s="64">
        <f>'XM.GUI MAIL'!AU93</f>
        <v>0</v>
      </c>
      <c r="T21" s="30" t="s">
        <v>10</v>
      </c>
      <c r="U21" s="1436" t="s">
        <v>44</v>
      </c>
      <c r="W21" s="1446">
        <v>9</v>
      </c>
      <c r="X21" s="3213" t="s">
        <v>1614</v>
      </c>
      <c r="Y21" s="3214"/>
      <c r="Z21" s="3214"/>
      <c r="AA21" s="3215"/>
      <c r="AB21" s="2030"/>
      <c r="AC21" s="1811" t="s">
        <v>10</v>
      </c>
      <c r="AD21" s="1798"/>
      <c r="AE21" s="1813" t="s">
        <v>6</v>
      </c>
      <c r="AF21" s="2030"/>
      <c r="AG21" s="1811" t="s">
        <v>10</v>
      </c>
      <c r="AH21" s="1798"/>
      <c r="AI21" s="1813" t="s">
        <v>6</v>
      </c>
      <c r="AJ21" s="2030"/>
      <c r="AK21" s="1811" t="s">
        <v>10</v>
      </c>
      <c r="AL21" s="1798"/>
      <c r="AM21" s="1813" t="s">
        <v>6</v>
      </c>
    </row>
    <row r="22" spans="1:39" ht="36" customHeight="1">
      <c r="A22" s="1440">
        <v>11</v>
      </c>
      <c r="B22" s="3319" t="s">
        <v>980</v>
      </c>
      <c r="C22" s="3320" t="s">
        <v>980</v>
      </c>
      <c r="D22" s="3320" t="s">
        <v>980</v>
      </c>
      <c r="E22" s="3321" t="s">
        <v>980</v>
      </c>
      <c r="F22" s="77" t="s">
        <v>6</v>
      </c>
      <c r="G22" s="1010" t="str">
        <f>'XM.GUI MAIL'!$E$94</f>
        <v>(1±0.4)=0.6~1.4</v>
      </c>
      <c r="H22" s="2242" t="str">
        <f>'XM.GUI MAIL'!$F$94</f>
        <v>(1±0.4)</v>
      </c>
      <c r="I22" s="2230">
        <f>'XM.GUI MAIL'!AD94</f>
        <v>7.8120000000000004E-3</v>
      </c>
      <c r="J22" s="1410" t="s">
        <v>8</v>
      </c>
      <c r="K22" s="1415">
        <f>'XM.GUI MAIL'!AG94</f>
        <v>6.2597086092715228</v>
      </c>
      <c r="L22" s="1412" t="s">
        <v>10</v>
      </c>
      <c r="M22" s="2186">
        <f>'XM.GUI MAIL'!AK94</f>
        <v>8.064E-3</v>
      </c>
      <c r="N22" s="1410" t="s">
        <v>8</v>
      </c>
      <c r="O22" s="1415">
        <f>'XM.GUI MAIL'!AN94</f>
        <v>5.5387549668874172</v>
      </c>
      <c r="P22" s="1412" t="s">
        <v>10</v>
      </c>
      <c r="Q22" s="2186">
        <f>'XM.GUI MAIL'!AR94</f>
        <v>8.064E-3</v>
      </c>
      <c r="R22" s="63" t="s">
        <v>8</v>
      </c>
      <c r="S22" s="66">
        <f>'XM.GUI MAIL'!AU94</f>
        <v>5.5387549668874172</v>
      </c>
      <c r="T22" s="68" t="s">
        <v>10</v>
      </c>
      <c r="U22" s="1436" t="s">
        <v>44</v>
      </c>
      <c r="W22" s="1446">
        <v>10</v>
      </c>
      <c r="X22" s="3319" t="s">
        <v>980</v>
      </c>
      <c r="Y22" s="3320" t="s">
        <v>980</v>
      </c>
      <c r="Z22" s="3320" t="s">
        <v>980</v>
      </c>
      <c r="AA22" s="3321" t="s">
        <v>980</v>
      </c>
      <c r="AB22" s="2030"/>
      <c r="AC22" s="1811" t="s">
        <v>10</v>
      </c>
      <c r="AD22" s="1798"/>
      <c r="AE22" s="1813" t="s">
        <v>6</v>
      </c>
      <c r="AF22" s="2030"/>
      <c r="AG22" s="1811" t="s">
        <v>10</v>
      </c>
      <c r="AH22" s="1798"/>
      <c r="AI22" s="1813" t="s">
        <v>6</v>
      </c>
      <c r="AJ22" s="2030"/>
      <c r="AK22" s="1811" t="s">
        <v>10</v>
      </c>
      <c r="AL22" s="1798"/>
      <c r="AM22" s="1813" t="s">
        <v>6</v>
      </c>
    </row>
    <row r="23" spans="1:39" s="19" customFormat="1" ht="31.5" customHeight="1">
      <c r="A23" s="3260">
        <v>12</v>
      </c>
      <c r="B23" s="3083" t="str">
        <f>'[6]XM.GUI MAIL'!$C$94</f>
        <v>Nồng độ   Cr2O3 （K) 三價鉻 
FINIDIP 124  (49)</v>
      </c>
      <c r="C23" s="3084"/>
      <c r="D23" s="3084"/>
      <c r="E23" s="3085"/>
      <c r="F23" s="2" t="s">
        <v>3</v>
      </c>
      <c r="G23" s="898" t="str">
        <f>'XM.GUI MAIL'!$E$95</f>
        <v>5~8</v>
      </c>
      <c r="H23" s="2222" t="str">
        <f>'XM.GUI MAIL'!$F$95</f>
        <v>(6±0.5)</v>
      </c>
      <c r="I23" s="2194">
        <f>'XM.GUI MAIL'!AD95</f>
        <v>5.76</v>
      </c>
      <c r="J23" s="63" t="s">
        <v>8</v>
      </c>
      <c r="K23" s="66">
        <f>'XM.GUI MAIL'!AG95</f>
        <v>8.9860042105263229</v>
      </c>
      <c r="L23" s="68" t="s">
        <v>10</v>
      </c>
      <c r="M23" s="2194">
        <f>'XM.GUI MAIL'!AK95</f>
        <v>5.76</v>
      </c>
      <c r="N23" s="63" t="s">
        <v>8</v>
      </c>
      <c r="O23" s="66">
        <f>'XM.GUI MAIL'!AN95</f>
        <v>8.9860042105263229</v>
      </c>
      <c r="P23" s="68" t="s">
        <v>10</v>
      </c>
      <c r="Q23" s="2194">
        <f>'XM.GUI MAIL'!AR95</f>
        <v>5.7200000000000006</v>
      </c>
      <c r="R23" s="63" t="s">
        <v>8</v>
      </c>
      <c r="S23" s="66">
        <f>'XM.GUI MAIL'!AU95</f>
        <v>10.483671578947346</v>
      </c>
      <c r="T23" s="68" t="s">
        <v>10</v>
      </c>
      <c r="U23" s="271"/>
      <c r="W23" s="3260">
        <v>11</v>
      </c>
      <c r="X23" s="3083" t="s">
        <v>74</v>
      </c>
      <c r="Y23" s="3084"/>
      <c r="Z23" s="3084"/>
      <c r="AA23" s="3085"/>
      <c r="AB23" s="2030"/>
      <c r="AC23" s="1811" t="s">
        <v>10</v>
      </c>
      <c r="AD23" s="1798"/>
      <c r="AE23" s="1814" t="s">
        <v>3</v>
      </c>
      <c r="AF23" s="2030"/>
      <c r="AG23" s="1811" t="s">
        <v>10</v>
      </c>
      <c r="AH23" s="1798"/>
      <c r="AI23" s="1814" t="s">
        <v>3</v>
      </c>
      <c r="AJ23" s="2030"/>
      <c r="AK23" s="1811" t="s">
        <v>10</v>
      </c>
      <c r="AL23" s="1798"/>
      <c r="AM23" s="1814" t="s">
        <v>3</v>
      </c>
    </row>
    <row r="24" spans="1:39" s="19" customFormat="1" ht="31.5" customHeight="1">
      <c r="A24" s="3261"/>
      <c r="B24" s="3341"/>
      <c r="C24" s="3291"/>
      <c r="D24" s="3291"/>
      <c r="E24" s="3292"/>
      <c r="F24" s="2" t="s">
        <v>5</v>
      </c>
      <c r="G24" s="898" t="str">
        <f>'XM.GUI MAIL'!$E$96</f>
        <v>1.8~2.4</v>
      </c>
      <c r="H24" s="2222" t="str">
        <f>'XM.GUI MAIL'!$F$96</f>
        <v>(2.1±0.1)</v>
      </c>
      <c r="I24" s="1768">
        <f>'XM.GUI MAIL'!AD96</f>
        <v>2</v>
      </c>
      <c r="J24" s="63" t="s">
        <v>8</v>
      </c>
      <c r="K24" s="66">
        <f>'XM.GUI MAIL'!AG96</f>
        <v>0</v>
      </c>
      <c r="L24" s="68" t="s">
        <v>10</v>
      </c>
      <c r="M24" s="1768">
        <f>'XM.GUI MAIL'!AK96</f>
        <v>2.0299999999999998</v>
      </c>
      <c r="N24" s="63" t="s">
        <v>8</v>
      </c>
      <c r="O24" s="66">
        <f>'XM.GUI MAIL'!AN96</f>
        <v>0</v>
      </c>
      <c r="P24" s="68" t="s">
        <v>10</v>
      </c>
      <c r="Q24" s="1768">
        <f>'XM.GUI MAIL'!AR96</f>
        <v>2.02</v>
      </c>
      <c r="R24" s="63" t="s">
        <v>8</v>
      </c>
      <c r="S24" s="66">
        <f>'XM.GUI MAIL'!AU96</f>
        <v>0</v>
      </c>
      <c r="T24" s="68"/>
      <c r="U24" s="271"/>
      <c r="W24" s="3261"/>
      <c r="X24" s="3086"/>
      <c r="Y24" s="3087"/>
      <c r="Z24" s="3087"/>
      <c r="AA24" s="3088"/>
      <c r="AB24" s="2031"/>
      <c r="AC24" s="1811"/>
      <c r="AD24" s="1802"/>
      <c r="AE24" s="1753"/>
      <c r="AF24" s="2031"/>
      <c r="AG24" s="1811"/>
      <c r="AH24" s="1802"/>
      <c r="AI24" s="1753"/>
      <c r="AJ24" s="2031"/>
      <c r="AK24" s="1811"/>
      <c r="AL24" s="1802"/>
      <c r="AM24" s="1753"/>
    </row>
    <row r="25" spans="1:39" s="19" customFormat="1" ht="32.25" hidden="1" customHeight="1">
      <c r="A25" s="1194"/>
      <c r="B25" s="3304" t="s">
        <v>1154</v>
      </c>
      <c r="C25" s="3305"/>
      <c r="D25" s="3305"/>
      <c r="E25" s="3306"/>
      <c r="F25" s="633" t="s">
        <v>3</v>
      </c>
      <c r="G25" s="1384" t="str">
        <f>'XM.GUI MAIL'!$E$97</f>
        <v>8~16 %</v>
      </c>
      <c r="H25" s="1384"/>
      <c r="I25" s="1184" t="str">
        <f>'XM.GUI MAIL'!AD97</f>
        <v/>
      </c>
      <c r="J25" s="1195" t="s">
        <v>8</v>
      </c>
      <c r="K25" s="1196" t="str">
        <f>'XM.GUI MAIL'!AG97</f>
        <v/>
      </c>
      <c r="L25" s="1200" t="s">
        <v>10</v>
      </c>
      <c r="M25" s="1184" t="str">
        <f>'XM.GUI MAIL'!AK97</f>
        <v/>
      </c>
      <c r="N25" s="1195" t="s">
        <v>8</v>
      </c>
      <c r="O25" s="1196" t="str">
        <f>'XM.GUI MAIL'!AN97</f>
        <v/>
      </c>
      <c r="P25" s="1200" t="s">
        <v>10</v>
      </c>
      <c r="Q25" s="1184" t="str">
        <f>'XM.GUI MAIL'!AR97</f>
        <v/>
      </c>
      <c r="R25" s="1195" t="s">
        <v>8</v>
      </c>
      <c r="S25" s="1196" t="str">
        <f>'XM.GUI MAIL'!AU97</f>
        <v/>
      </c>
      <c r="T25" s="30"/>
      <c r="U25" s="103"/>
      <c r="W25" s="1194"/>
      <c r="X25" s="3304" t="s">
        <v>1154</v>
      </c>
      <c r="Y25" s="3305"/>
      <c r="Z25" s="3305"/>
      <c r="AA25" s="3306"/>
      <c r="AB25" s="1453"/>
      <c r="AC25" s="1453"/>
      <c r="AD25" s="1453"/>
      <c r="AE25" s="1453"/>
      <c r="AF25" s="1453"/>
      <c r="AG25" s="699"/>
      <c r="AH25" s="699"/>
      <c r="AJ25" s="8"/>
      <c r="AK25" s="8"/>
      <c r="AL25" s="8"/>
    </row>
    <row r="26" spans="1:39" s="19" customFormat="1" ht="32.25" hidden="1" customHeight="1">
      <c r="A26" s="1194"/>
      <c r="B26" s="3307"/>
      <c r="C26" s="3308"/>
      <c r="D26" s="3308"/>
      <c r="E26" s="3309"/>
      <c r="F26" s="633" t="s">
        <v>5</v>
      </c>
      <c r="G26" s="1384" t="str">
        <f>'XM.GUI MAIL'!$E$98</f>
        <v>1.8~2.4</v>
      </c>
      <c r="H26" s="1384"/>
      <c r="I26" s="1201">
        <f>'XM.GUI MAIL'!AD98</f>
        <v>0</v>
      </c>
      <c r="J26" s="1195" t="s">
        <v>8</v>
      </c>
      <c r="K26" s="1198"/>
      <c r="L26" s="1200" t="s">
        <v>10</v>
      </c>
      <c r="M26" s="1201">
        <f>'XM.GUI MAIL'!AK98</f>
        <v>0</v>
      </c>
      <c r="N26" s="1195" t="s">
        <v>8</v>
      </c>
      <c r="O26" s="1198"/>
      <c r="P26" s="1200" t="s">
        <v>10</v>
      </c>
      <c r="Q26" s="1201">
        <f>'XM.GUI MAIL'!AR98</f>
        <v>0</v>
      </c>
      <c r="R26" s="1195" t="s">
        <v>8</v>
      </c>
      <c r="S26" s="1198"/>
      <c r="T26" s="30"/>
      <c r="U26" s="103"/>
      <c r="W26" s="1194"/>
      <c r="X26" s="3307"/>
      <c r="Y26" s="3308"/>
      <c r="Z26" s="3308"/>
      <c r="AA26" s="3309"/>
      <c r="AB26" s="1453"/>
      <c r="AC26" s="1453"/>
      <c r="AD26" s="1453"/>
      <c r="AE26" s="1453"/>
      <c r="AF26" s="1453"/>
      <c r="AG26" s="699"/>
      <c r="AH26" s="699"/>
      <c r="AJ26" s="8"/>
      <c r="AK26" s="8"/>
      <c r="AL26" s="8"/>
    </row>
    <row r="27" spans="1:39" ht="30.75" customHeight="1">
      <c r="A27" s="1440"/>
      <c r="B27" s="251"/>
      <c r="C27" s="252"/>
      <c r="D27" s="252"/>
      <c r="E27" s="252"/>
      <c r="F27" s="252"/>
      <c r="G27" s="2171" t="s">
        <v>2</v>
      </c>
      <c r="H27" s="990"/>
      <c r="I27" s="254"/>
      <c r="J27" s="252"/>
      <c r="K27" s="252"/>
      <c r="L27" s="252"/>
      <c r="M27" s="252"/>
      <c r="N27" s="252"/>
      <c r="O27" s="252"/>
      <c r="P27" s="252"/>
      <c r="Q27" s="252"/>
      <c r="R27" s="252"/>
      <c r="S27" s="252"/>
      <c r="T27" s="252"/>
      <c r="U27" s="253"/>
      <c r="W27" s="1446"/>
      <c r="X27" s="251"/>
      <c r="Y27" s="252"/>
      <c r="Z27" s="252"/>
      <c r="AA27" s="252"/>
      <c r="AB27" s="252"/>
      <c r="AC27" s="252"/>
      <c r="AD27" s="252"/>
      <c r="AE27" s="252"/>
      <c r="AF27" s="252"/>
      <c r="AG27" s="166"/>
      <c r="AH27" s="166"/>
    </row>
    <row r="28" spans="1:39" ht="56.25" customHeight="1">
      <c r="A28" s="1440" t="s">
        <v>7</v>
      </c>
      <c r="B28" s="3195" t="s">
        <v>21</v>
      </c>
      <c r="C28" s="3196"/>
      <c r="D28" s="3196"/>
      <c r="E28" s="3197"/>
      <c r="F28" s="75" t="s">
        <v>22</v>
      </c>
      <c r="G28" s="978" t="s">
        <v>1310</v>
      </c>
      <c r="H28" s="2224" t="s">
        <v>1302</v>
      </c>
      <c r="I28" s="3338" t="s">
        <v>24</v>
      </c>
      <c r="J28" s="3339"/>
      <c r="K28" s="3337" t="s">
        <v>25</v>
      </c>
      <c r="L28" s="3339"/>
      <c r="M28" s="3337" t="s">
        <v>24</v>
      </c>
      <c r="N28" s="3339"/>
      <c r="O28" s="3337" t="s">
        <v>25</v>
      </c>
      <c r="P28" s="3339"/>
      <c r="Q28" s="3337" t="s">
        <v>24</v>
      </c>
      <c r="R28" s="3339"/>
      <c r="S28" s="3337" t="s">
        <v>25</v>
      </c>
      <c r="T28" s="3339"/>
      <c r="U28" s="10"/>
      <c r="W28" s="1446" t="s">
        <v>7</v>
      </c>
      <c r="X28" s="3195" t="s">
        <v>21</v>
      </c>
      <c r="Y28" s="3196"/>
      <c r="Z28" s="3196"/>
      <c r="AA28" s="3197"/>
      <c r="AB28" s="3285" t="s">
        <v>1360</v>
      </c>
      <c r="AC28" s="3062"/>
      <c r="AD28" s="3062"/>
      <c r="AE28" s="3063"/>
      <c r="AF28" s="3285" t="s">
        <v>1360</v>
      </c>
      <c r="AG28" s="3062"/>
      <c r="AH28" s="3062"/>
      <c r="AI28" s="3063"/>
      <c r="AJ28" s="3285" t="s">
        <v>1360</v>
      </c>
      <c r="AK28" s="3062"/>
      <c r="AL28" s="3062"/>
      <c r="AM28" s="3063"/>
    </row>
    <row r="29" spans="1:39" ht="35.25" customHeight="1">
      <c r="A29" s="1440">
        <v>1</v>
      </c>
      <c r="B29" s="3195" t="s">
        <v>34</v>
      </c>
      <c r="C29" s="3196"/>
      <c r="D29" s="3196"/>
      <c r="E29" s="3197"/>
      <c r="F29" s="11" t="s">
        <v>26</v>
      </c>
      <c r="G29" s="1012" t="str">
        <f>'XM.GUI MAIL'!$E$105</f>
        <v>50~70</v>
      </c>
      <c r="H29" s="2226" t="str">
        <f>'XM.GUI MAIL'!$F$105</f>
        <v>(60±5)</v>
      </c>
      <c r="I29" s="3113">
        <f>'XM.GUI MAIL'!AD105</f>
        <v>61</v>
      </c>
      <c r="J29" s="3112"/>
      <c r="K29" s="3112">
        <f>'XM.GUI MAIL'!AG105</f>
        <v>60</v>
      </c>
      <c r="L29" s="3112"/>
      <c r="M29" s="3112">
        <f>'XM.GUI MAIL'!AK105</f>
        <v>61</v>
      </c>
      <c r="N29" s="3112"/>
      <c r="O29" s="3112">
        <f>'XM.GUI MAIL'!AN105</f>
        <v>60</v>
      </c>
      <c r="P29" s="3112"/>
      <c r="Q29" s="3112">
        <f>'XM.GUI MAIL'!AR105</f>
        <v>61</v>
      </c>
      <c r="R29" s="3112"/>
      <c r="S29" s="3112">
        <f>'XM.GUI MAIL'!AU105</f>
        <v>60</v>
      </c>
      <c r="T29" s="3112"/>
      <c r="U29" s="1440"/>
      <c r="W29" s="1446">
        <v>1</v>
      </c>
      <c r="X29" s="3195" t="s">
        <v>34</v>
      </c>
      <c r="Y29" s="3196"/>
      <c r="Z29" s="3196"/>
      <c r="AA29" s="3197"/>
      <c r="AB29" s="1511"/>
      <c r="AC29" s="1794"/>
      <c r="AD29" s="1794"/>
      <c r="AE29" s="1512"/>
      <c r="AF29" s="1606"/>
      <c r="AG29" s="1794"/>
      <c r="AH29" s="1794"/>
      <c r="AI29" s="1512"/>
      <c r="AJ29" s="1511"/>
      <c r="AK29" s="1794"/>
      <c r="AL29" s="1794"/>
      <c r="AM29" s="1512"/>
    </row>
    <row r="30" spans="1:39" ht="35.25" customHeight="1">
      <c r="A30" s="1440">
        <v>2</v>
      </c>
      <c r="B30" s="3195" t="s">
        <v>35</v>
      </c>
      <c r="C30" s="3196"/>
      <c r="D30" s="3196"/>
      <c r="E30" s="3197"/>
      <c r="F30" s="11" t="s">
        <v>26</v>
      </c>
      <c r="G30" s="1012" t="str">
        <f>'XM.GUI MAIL'!$E$106</f>
        <v>50~70</v>
      </c>
      <c r="H30" s="2226" t="str">
        <f>'XM.GUI MAIL'!$F$106</f>
        <v>(60±5)</v>
      </c>
      <c r="I30" s="3113">
        <f>'XM.GUI MAIL'!AD106</f>
        <v>61</v>
      </c>
      <c r="J30" s="3112"/>
      <c r="K30" s="3112">
        <f>'XM.GUI MAIL'!AG106</f>
        <v>60</v>
      </c>
      <c r="L30" s="3112"/>
      <c r="M30" s="3112">
        <f>'XM.GUI MAIL'!AK106</f>
        <v>61</v>
      </c>
      <c r="N30" s="3112"/>
      <c r="O30" s="3112">
        <f>'XM.GUI MAIL'!AN106</f>
        <v>60</v>
      </c>
      <c r="P30" s="3112"/>
      <c r="Q30" s="3112">
        <f>'XM.GUI MAIL'!AR106</f>
        <v>62</v>
      </c>
      <c r="R30" s="3112"/>
      <c r="S30" s="3112">
        <f>'XM.GUI MAIL'!AU106</f>
        <v>61</v>
      </c>
      <c r="T30" s="3112"/>
      <c r="U30" s="1440"/>
      <c r="W30" s="1446">
        <v>2</v>
      </c>
      <c r="X30" s="3195" t="s">
        <v>35</v>
      </c>
      <c r="Y30" s="3196"/>
      <c r="Z30" s="3196"/>
      <c r="AA30" s="3197"/>
      <c r="AB30" s="1511"/>
      <c r="AC30" s="1794"/>
      <c r="AD30" s="1794"/>
      <c r="AE30" s="1512"/>
      <c r="AF30" s="1606"/>
      <c r="AG30" s="1794"/>
      <c r="AH30" s="1794"/>
      <c r="AI30" s="1512"/>
      <c r="AJ30" s="1511"/>
      <c r="AK30" s="1794"/>
      <c r="AL30" s="1794"/>
      <c r="AM30" s="1512"/>
    </row>
    <row r="31" spans="1:39" ht="35.25" customHeight="1">
      <c r="A31" s="1440">
        <v>3</v>
      </c>
      <c r="B31" s="3195" t="s">
        <v>27</v>
      </c>
      <c r="C31" s="3196"/>
      <c r="D31" s="3196"/>
      <c r="E31" s="3197"/>
      <c r="F31" s="11" t="s">
        <v>26</v>
      </c>
      <c r="G31" s="1012" t="str">
        <f>'XM.GUI MAIL'!$E$107</f>
        <v>50~70</v>
      </c>
      <c r="H31" s="2226" t="str">
        <f>'XM.GUI MAIL'!$F$107</f>
        <v>(60±5)</v>
      </c>
      <c r="I31" s="3113">
        <f>'XM.GUI MAIL'!AD107</f>
        <v>61</v>
      </c>
      <c r="J31" s="3112"/>
      <c r="K31" s="3112">
        <f>'XM.GUI MAIL'!AG107</f>
        <v>60</v>
      </c>
      <c r="L31" s="3112"/>
      <c r="M31" s="3112">
        <f>'XM.GUI MAIL'!AK107</f>
        <v>61</v>
      </c>
      <c r="N31" s="3112"/>
      <c r="O31" s="3112">
        <f>'XM.GUI MAIL'!AN107</f>
        <v>60</v>
      </c>
      <c r="P31" s="3112"/>
      <c r="Q31" s="3112">
        <f>'XM.GUI MAIL'!AR107</f>
        <v>61</v>
      </c>
      <c r="R31" s="3112"/>
      <c r="S31" s="3112">
        <f>'XM.GUI MAIL'!AU107</f>
        <v>60</v>
      </c>
      <c r="T31" s="3112"/>
      <c r="U31" s="1440"/>
      <c r="W31" s="1446">
        <v>3</v>
      </c>
      <c r="X31" s="3195" t="s">
        <v>27</v>
      </c>
      <c r="Y31" s="3196"/>
      <c r="Z31" s="3196"/>
      <c r="AA31" s="3197"/>
      <c r="AB31" s="1511"/>
      <c r="AC31" s="1794"/>
      <c r="AD31" s="1794"/>
      <c r="AE31" s="1512"/>
      <c r="AF31" s="1606"/>
      <c r="AG31" s="1794"/>
      <c r="AH31" s="1794"/>
      <c r="AI31" s="1512"/>
      <c r="AJ31" s="1511"/>
      <c r="AK31" s="1794"/>
      <c r="AL31" s="1794"/>
      <c r="AM31" s="1512"/>
    </row>
    <row r="32" spans="1:39" ht="35.25" customHeight="1">
      <c r="A32" s="1440">
        <v>4</v>
      </c>
      <c r="B32" s="3195" t="s">
        <v>28</v>
      </c>
      <c r="C32" s="3196"/>
      <c r="D32" s="3196"/>
      <c r="E32" s="3197"/>
      <c r="F32" s="11" t="s">
        <v>26</v>
      </c>
      <c r="G32" s="1012" t="str">
        <f>'XM.GUI MAIL'!$E$108</f>
        <v>50~70</v>
      </c>
      <c r="H32" s="2226" t="str">
        <f>'XM.GUI MAIL'!$F$108</f>
        <v>(60±5)</v>
      </c>
      <c r="I32" s="3113">
        <f>'XM.GUI MAIL'!AD108</f>
        <v>60</v>
      </c>
      <c r="J32" s="3112"/>
      <c r="K32" s="3112">
        <f>'XM.GUI MAIL'!AG108</f>
        <v>59</v>
      </c>
      <c r="L32" s="3112"/>
      <c r="M32" s="3112">
        <f>'XM.GUI MAIL'!AK108</f>
        <v>60</v>
      </c>
      <c r="N32" s="3112"/>
      <c r="O32" s="3112">
        <f>'XM.GUI MAIL'!AN108</f>
        <v>59</v>
      </c>
      <c r="P32" s="3112"/>
      <c r="Q32" s="3112">
        <f>'XM.GUI MAIL'!AR108</f>
        <v>60</v>
      </c>
      <c r="R32" s="3112"/>
      <c r="S32" s="3112">
        <f>'XM.GUI MAIL'!AU108</f>
        <v>59</v>
      </c>
      <c r="T32" s="3112"/>
      <c r="U32" s="1440"/>
      <c r="W32" s="1446">
        <v>4</v>
      </c>
      <c r="X32" s="3195" t="s">
        <v>28</v>
      </c>
      <c r="Y32" s="3196"/>
      <c r="Z32" s="3196"/>
      <c r="AA32" s="3197"/>
      <c r="AB32" s="1511"/>
      <c r="AC32" s="1794"/>
      <c r="AD32" s="1794"/>
      <c r="AE32" s="1512"/>
      <c r="AF32" s="1606"/>
      <c r="AG32" s="1794"/>
      <c r="AH32" s="1794"/>
      <c r="AI32" s="1512"/>
      <c r="AJ32" s="1511"/>
      <c r="AK32" s="1794"/>
      <c r="AL32" s="1794"/>
      <c r="AM32" s="1512"/>
    </row>
    <row r="33" spans="1:39" ht="35.25" customHeight="1">
      <c r="A33" s="1440">
        <v>5</v>
      </c>
      <c r="B33" s="3195" t="s">
        <v>29</v>
      </c>
      <c r="C33" s="3196"/>
      <c r="D33" s="3196"/>
      <c r="E33" s="3197"/>
      <c r="F33" s="11" t="s">
        <v>26</v>
      </c>
      <c r="G33" s="1012" t="str">
        <f>'XM.GUI MAIL'!$E$109</f>
        <v>22~28</v>
      </c>
      <c r="H33" s="2226" t="str">
        <f>'XM.GUI MAIL'!$F$109</f>
        <v>(25±3)</v>
      </c>
      <c r="I33" s="3199">
        <f>'XM.GUI MAIL'!AD109</f>
        <v>25</v>
      </c>
      <c r="J33" s="3166"/>
      <c r="K33" s="3166">
        <f>'XM.GUI MAIL'!AG109</f>
        <v>24</v>
      </c>
      <c r="L33" s="3166"/>
      <c r="M33" s="3166">
        <f>'XM.GUI MAIL'!AK109</f>
        <v>25</v>
      </c>
      <c r="N33" s="3166"/>
      <c r="O33" s="3166">
        <f>'XM.GUI MAIL'!AN109</f>
        <v>24</v>
      </c>
      <c r="P33" s="3166"/>
      <c r="Q33" s="3166">
        <f>'XM.GUI MAIL'!AR109</f>
        <v>26</v>
      </c>
      <c r="R33" s="3166"/>
      <c r="S33" s="3166">
        <f>'XM.GUI MAIL'!AU109</f>
        <v>25</v>
      </c>
      <c r="T33" s="3166"/>
      <c r="U33" s="1440"/>
      <c r="W33" s="1446">
        <v>5</v>
      </c>
      <c r="X33" s="3195" t="s">
        <v>29</v>
      </c>
      <c r="Y33" s="3196"/>
      <c r="Z33" s="3196"/>
      <c r="AA33" s="3197"/>
      <c r="AB33" s="1511"/>
      <c r="AC33" s="1794"/>
      <c r="AD33" s="1794"/>
      <c r="AE33" s="1512"/>
      <c r="AF33" s="1606"/>
      <c r="AG33" s="1794"/>
      <c r="AH33" s="1794"/>
      <c r="AI33" s="1512"/>
      <c r="AJ33" s="1511"/>
      <c r="AK33" s="1794"/>
      <c r="AL33" s="1794"/>
      <c r="AM33" s="1512"/>
    </row>
    <row r="34" spans="1:39" ht="35.25" customHeight="1">
      <c r="A34" s="1440">
        <v>6</v>
      </c>
      <c r="B34" s="3195" t="s">
        <v>1276</v>
      </c>
      <c r="C34" s="3196"/>
      <c r="D34" s="3196"/>
      <c r="E34" s="3197"/>
      <c r="F34" s="11" t="s">
        <v>26</v>
      </c>
      <c r="G34" s="1012" t="str">
        <f>'XM.GUI MAIL'!$E$110</f>
        <v>30~40</v>
      </c>
      <c r="H34" s="2226" t="str">
        <f>'XM.GUI MAIL'!$F$110</f>
        <v>(34±3)</v>
      </c>
      <c r="I34" s="3113">
        <f>'XM.GUI MAIL'!AD110</f>
        <v>34</v>
      </c>
      <c r="J34" s="3112"/>
      <c r="K34" s="3112">
        <f>'XM.GUI MAIL'!AG110</f>
        <v>33</v>
      </c>
      <c r="L34" s="3112"/>
      <c r="M34" s="3112">
        <f>'XM.GUI MAIL'!AK110</f>
        <v>34</v>
      </c>
      <c r="N34" s="3112"/>
      <c r="O34" s="3112">
        <f>'XM.GUI MAIL'!AN110</f>
        <v>33</v>
      </c>
      <c r="P34" s="3112"/>
      <c r="Q34" s="3112">
        <f>'XM.GUI MAIL'!AR110</f>
        <v>34</v>
      </c>
      <c r="R34" s="3112"/>
      <c r="S34" s="3112">
        <f>'XM.GUI MAIL'!AU110</f>
        <v>33</v>
      </c>
      <c r="T34" s="3112"/>
      <c r="U34" s="1440"/>
      <c r="W34" s="1446">
        <v>6</v>
      </c>
      <c r="X34" s="3195" t="s">
        <v>1276</v>
      </c>
      <c r="Y34" s="3196"/>
      <c r="Z34" s="3196"/>
      <c r="AA34" s="3197"/>
      <c r="AB34" s="1511"/>
      <c r="AC34" s="1794"/>
      <c r="AD34" s="1794"/>
      <c r="AE34" s="1512"/>
      <c r="AF34" s="1606"/>
      <c r="AG34" s="1794"/>
      <c r="AH34" s="1794"/>
      <c r="AI34" s="1512"/>
      <c r="AJ34" s="1511"/>
      <c r="AK34" s="1794"/>
      <c r="AL34" s="1794"/>
      <c r="AM34" s="1512"/>
    </row>
    <row r="35" spans="1:39" ht="35.25" customHeight="1">
      <c r="A35" s="1440">
        <v>7</v>
      </c>
      <c r="B35" s="3195" t="s">
        <v>31</v>
      </c>
      <c r="C35" s="3196"/>
      <c r="D35" s="3196"/>
      <c r="E35" s="3197"/>
      <c r="F35" s="11" t="s">
        <v>26</v>
      </c>
      <c r="G35" s="1012" t="str">
        <f>'XM.GUI MAIL'!$E$111</f>
        <v>55~65</v>
      </c>
      <c r="H35" s="2226" t="str">
        <f>'XM.GUI MAIL'!$F$111</f>
        <v>(60±5)</v>
      </c>
      <c r="I35" s="3113">
        <f>'XM.GUI MAIL'!AD111</f>
        <v>57</v>
      </c>
      <c r="J35" s="3112"/>
      <c r="K35" s="3112">
        <f>'XM.GUI MAIL'!AG111</f>
        <v>56</v>
      </c>
      <c r="L35" s="3112"/>
      <c r="M35" s="3112">
        <f>'XM.GUI MAIL'!AK111</f>
        <v>58</v>
      </c>
      <c r="N35" s="3112"/>
      <c r="O35" s="3112">
        <f>'XM.GUI MAIL'!AN111</f>
        <v>57</v>
      </c>
      <c r="P35" s="3112"/>
      <c r="Q35" s="3112">
        <f>'XM.GUI MAIL'!AR111</f>
        <v>59</v>
      </c>
      <c r="R35" s="3112"/>
      <c r="S35" s="3112">
        <f>'XM.GUI MAIL'!AU111</f>
        <v>58</v>
      </c>
      <c r="T35" s="3112"/>
      <c r="U35" s="1440"/>
      <c r="W35" s="1446">
        <v>7</v>
      </c>
      <c r="X35" s="3195" t="s">
        <v>31</v>
      </c>
      <c r="Y35" s="3196"/>
      <c r="Z35" s="3196"/>
      <c r="AA35" s="3197"/>
      <c r="AB35" s="1511"/>
      <c r="AC35" s="1794"/>
      <c r="AD35" s="1794"/>
      <c r="AE35" s="1512"/>
      <c r="AF35" s="1606"/>
      <c r="AG35" s="1794"/>
      <c r="AH35" s="1794"/>
      <c r="AI35" s="1512"/>
      <c r="AJ35" s="1511"/>
      <c r="AK35" s="1794"/>
      <c r="AL35" s="1794"/>
      <c r="AM35" s="1512"/>
    </row>
    <row r="36" spans="1:39" ht="35.25" customHeight="1">
      <c r="A36" s="1440">
        <v>8</v>
      </c>
      <c r="B36" s="3195" t="s">
        <v>32</v>
      </c>
      <c r="C36" s="3196"/>
      <c r="D36" s="3196"/>
      <c r="E36" s="3197"/>
      <c r="F36" s="11" t="s">
        <v>26</v>
      </c>
      <c r="G36" s="1012" t="str">
        <f>'XM.GUI MAIL'!$E$112</f>
        <v>80~100</v>
      </c>
      <c r="H36" s="2226" t="str">
        <f>'XM.GUI MAIL'!$F$112</f>
        <v>(90±5)</v>
      </c>
      <c r="I36" s="3159" t="s">
        <v>47</v>
      </c>
      <c r="J36" s="3191"/>
      <c r="K36" s="3112">
        <f>'XM.GUI MAIL'!AG112</f>
        <v>94</v>
      </c>
      <c r="L36" s="3112"/>
      <c r="M36" s="3191" t="s">
        <v>47</v>
      </c>
      <c r="N36" s="3191"/>
      <c r="O36" s="3112">
        <f>'XM.GUI MAIL'!AN112</f>
        <v>92</v>
      </c>
      <c r="P36" s="3112"/>
      <c r="Q36" s="3191" t="s">
        <v>47</v>
      </c>
      <c r="R36" s="3191"/>
      <c r="S36" s="3112">
        <f>'XM.GUI MAIL'!AU112</f>
        <v>92</v>
      </c>
      <c r="T36" s="3112"/>
      <c r="U36" s="1440"/>
      <c r="W36" s="1446">
        <v>8</v>
      </c>
      <c r="X36" s="3195" t="s">
        <v>32</v>
      </c>
      <c r="Y36" s="3196"/>
      <c r="Z36" s="3196"/>
      <c r="AA36" s="3197"/>
      <c r="AB36" s="1511"/>
      <c r="AC36" s="1794"/>
      <c r="AD36" s="1794"/>
      <c r="AE36" s="1512"/>
      <c r="AF36" s="1606"/>
      <c r="AG36" s="1794"/>
      <c r="AH36" s="1794"/>
      <c r="AI36" s="1512"/>
      <c r="AJ36" s="1511"/>
      <c r="AK36" s="1794"/>
      <c r="AL36" s="1794"/>
      <c r="AM36" s="1512"/>
    </row>
    <row r="37" spans="1:39" ht="35.25" customHeight="1">
      <c r="A37" s="2165"/>
      <c r="B37" s="3195" t="s">
        <v>1287</v>
      </c>
      <c r="C37" s="3196"/>
      <c r="D37" s="3196"/>
      <c r="E37" s="3197"/>
      <c r="F37" s="11" t="s">
        <v>26</v>
      </c>
      <c r="G37" s="1012" t="str">
        <f>'XM.GUI MAIL'!$E$113</f>
        <v>40~60</v>
      </c>
      <c r="H37" s="2226" t="str">
        <f>'XM.GUI MAIL'!$F$113</f>
        <v>(50±10)</v>
      </c>
      <c r="I37" s="3190">
        <f>'XM.GUI MAIL'!AD113</f>
        <v>60</v>
      </c>
      <c r="J37" s="3188"/>
      <c r="K37" s="3188">
        <f>'XM.GUI MAIL'!AG113</f>
        <v>59</v>
      </c>
      <c r="L37" s="3188"/>
      <c r="M37" s="3188">
        <f>'XM.GUI MAIL'!AK113</f>
        <v>59</v>
      </c>
      <c r="N37" s="3188"/>
      <c r="O37" s="3188">
        <f>'XM.GUI MAIL'!AN113</f>
        <v>58</v>
      </c>
      <c r="P37" s="3188"/>
      <c r="Q37" s="3188">
        <f>'XM.GUI MAIL'!AR113</f>
        <v>59</v>
      </c>
      <c r="R37" s="3188"/>
      <c r="S37" s="3188">
        <f>'XM.GUI MAIL'!AU113</f>
        <v>58</v>
      </c>
      <c r="T37" s="3188"/>
      <c r="U37" s="896"/>
      <c r="W37" s="2165"/>
      <c r="X37" s="3195" t="s">
        <v>1287</v>
      </c>
      <c r="Y37" s="3196"/>
      <c r="Z37" s="3196"/>
      <c r="AA37" s="3197"/>
      <c r="AB37" s="2166"/>
      <c r="AC37" s="2167"/>
      <c r="AD37" s="2167"/>
      <c r="AE37" s="1512"/>
      <c r="AF37" s="2166"/>
      <c r="AG37" s="2167"/>
      <c r="AH37" s="2167"/>
      <c r="AI37" s="1512"/>
      <c r="AJ37" s="2166"/>
      <c r="AK37" s="2167"/>
      <c r="AL37" s="2167"/>
      <c r="AM37" s="1512"/>
    </row>
    <row r="38" spans="1:39" ht="35.25" customHeight="1">
      <c r="A38" s="2165"/>
      <c r="B38" s="3192" t="s">
        <v>1290</v>
      </c>
      <c r="C38" s="3193"/>
      <c r="D38" s="3193"/>
      <c r="E38" s="3194"/>
      <c r="F38" s="11" t="s">
        <v>26</v>
      </c>
      <c r="G38" s="1012" t="str">
        <f>'XM.GUI MAIL'!$E$114</f>
        <v>50~70</v>
      </c>
      <c r="H38" s="2226" t="str">
        <f>'XM.GUI MAIL'!$F$114</f>
        <v>(60±10)</v>
      </c>
      <c r="I38" s="3190">
        <f>'XM.GUI MAIL'!AD114</f>
        <v>58</v>
      </c>
      <c r="J38" s="3188"/>
      <c r="K38" s="3188">
        <f>'XM.GUI MAIL'!AG114</f>
        <v>57</v>
      </c>
      <c r="L38" s="3188"/>
      <c r="M38" s="3188">
        <f>'XM.GUI MAIL'!AK114</f>
        <v>60</v>
      </c>
      <c r="N38" s="3188"/>
      <c r="O38" s="3188">
        <f>'XM.GUI MAIL'!AN114</f>
        <v>59</v>
      </c>
      <c r="P38" s="3188"/>
      <c r="Q38" s="3188">
        <f>'XM.GUI MAIL'!AR114</f>
        <v>55</v>
      </c>
      <c r="R38" s="3188"/>
      <c r="S38" s="3188">
        <f>'XM.GUI MAIL'!AU114</f>
        <v>54</v>
      </c>
      <c r="T38" s="3188"/>
      <c r="U38" s="896"/>
      <c r="W38" s="2165"/>
      <c r="X38" s="2162"/>
      <c r="Y38" s="2163"/>
      <c r="Z38" s="2163"/>
      <c r="AA38" s="2164"/>
      <c r="AB38" s="2166"/>
      <c r="AC38" s="2167"/>
      <c r="AD38" s="2167"/>
      <c r="AE38" s="1512"/>
      <c r="AF38" s="2459"/>
      <c r="AG38" s="2454"/>
      <c r="AH38" s="2454"/>
      <c r="AI38" s="2462"/>
      <c r="AJ38" s="2459"/>
      <c r="AK38" s="2454"/>
      <c r="AL38" s="2454"/>
      <c r="AM38" s="2462"/>
    </row>
    <row r="39" spans="1:39" ht="35.25" hidden="1" customHeight="1">
      <c r="A39" s="1440">
        <v>9</v>
      </c>
      <c r="B39" s="3195" t="s">
        <v>989</v>
      </c>
      <c r="C39" s="3196"/>
      <c r="D39" s="3196"/>
      <c r="E39" s="3197"/>
      <c r="F39" s="11" t="s">
        <v>26</v>
      </c>
      <c r="G39" s="1012" t="str">
        <f>'XM.GUI MAIL'!$E$115</f>
        <v>20~30</v>
      </c>
      <c r="H39" s="2226" t="str">
        <f>'XM.GUI MAIL'!$F$115</f>
        <v>20~30</v>
      </c>
      <c r="I39" s="3187">
        <f>'XM.GUI MAIL'!AD115</f>
        <v>0</v>
      </c>
      <c r="J39" s="3022"/>
      <c r="K39" s="3035">
        <f>'XM.GUI MAIL'!AG115</f>
        <v>0</v>
      </c>
      <c r="L39" s="3022"/>
      <c r="M39" s="3035">
        <f>'XM.GUI MAIL'!AK114</f>
        <v>60</v>
      </c>
      <c r="N39" s="3022"/>
      <c r="O39" s="3035">
        <f>'XM.GUI MAIL'!AN114</f>
        <v>59</v>
      </c>
      <c r="P39" s="3022"/>
      <c r="Q39" s="3035">
        <f>'XM.GUI MAIL'!AR115</f>
        <v>0</v>
      </c>
      <c r="R39" s="3022"/>
      <c r="S39" s="3035">
        <f>'XM.GUI MAIL'!AU115</f>
        <v>0</v>
      </c>
      <c r="T39" s="3022"/>
      <c r="U39" s="896"/>
      <c r="W39" s="1446">
        <v>9</v>
      </c>
      <c r="X39" s="3195" t="s">
        <v>989</v>
      </c>
      <c r="Y39" s="3196"/>
      <c r="Z39" s="3196"/>
      <c r="AA39" s="3197"/>
      <c r="AB39" s="1511"/>
      <c r="AC39" s="1794"/>
      <c r="AD39" s="1794"/>
      <c r="AE39" s="1512"/>
      <c r="AF39" s="2161"/>
      <c r="AG39" s="2160"/>
      <c r="AH39" s="1810"/>
      <c r="AI39" s="1513"/>
      <c r="AJ39" s="1507"/>
      <c r="AK39" s="1791"/>
      <c r="AL39" s="1791"/>
      <c r="AM39" s="1513"/>
    </row>
    <row r="40" spans="1:39" ht="32.25" hidden="1" customHeight="1">
      <c r="A40" s="1440"/>
      <c r="B40" s="3301" t="s">
        <v>1279</v>
      </c>
      <c r="C40" s="3302"/>
      <c r="D40" s="3302"/>
      <c r="E40" s="3303"/>
      <c r="F40" s="11" t="s">
        <v>26</v>
      </c>
      <c r="G40" s="1012" t="str">
        <f>'XM.GUI MAIL'!$E$116</f>
        <v>35~45</v>
      </c>
      <c r="H40" s="1401"/>
      <c r="I40" s="3046">
        <f>'XM.GUI MAIL'!AD116</f>
        <v>0</v>
      </c>
      <c r="J40" s="3047"/>
      <c r="K40" s="3046">
        <f>'XM.GUI MAIL'!AG116</f>
        <v>0</v>
      </c>
      <c r="L40" s="3047"/>
      <c r="M40" s="3046">
        <f>'XM.GUI MAIL'!AK116</f>
        <v>0</v>
      </c>
      <c r="N40" s="3047"/>
      <c r="O40" s="3046">
        <f>'XM.GUI MAIL'!AM116</f>
        <v>0</v>
      </c>
      <c r="P40" s="3047"/>
      <c r="Q40" s="3046">
        <f>'XM.GUI MAIL'!AR116</f>
        <v>0</v>
      </c>
      <c r="R40" s="3047"/>
      <c r="S40" s="3046">
        <f>'XM.GUI MAIL'!AU116</f>
        <v>0</v>
      </c>
      <c r="T40" s="3047"/>
      <c r="U40" s="896"/>
      <c r="W40" s="1446"/>
      <c r="X40" s="3301" t="s">
        <v>1279</v>
      </c>
      <c r="Y40" s="3302"/>
      <c r="Z40" s="3302"/>
      <c r="AA40" s="3303"/>
      <c r="AB40" s="1453"/>
      <c r="AC40" s="1453"/>
      <c r="AD40" s="1453"/>
      <c r="AE40" s="1453"/>
      <c r="AF40" s="2170"/>
      <c r="AG40" s="699"/>
      <c r="AH40" s="699"/>
    </row>
    <row r="41" spans="1:39" ht="30.75" customHeight="1">
      <c r="A41" s="1440"/>
      <c r="B41" s="251"/>
      <c r="C41" s="252"/>
      <c r="D41" s="252"/>
      <c r="E41" s="252"/>
      <c r="F41" s="252"/>
      <c r="G41" s="2171" t="s">
        <v>224</v>
      </c>
      <c r="H41" s="990"/>
      <c r="I41" s="254"/>
      <c r="J41" s="252"/>
      <c r="K41" s="252"/>
      <c r="L41" s="252"/>
      <c r="M41" s="252"/>
      <c r="N41" s="252"/>
      <c r="O41" s="252"/>
      <c r="P41" s="252"/>
      <c r="Q41" s="252"/>
      <c r="R41" s="252"/>
      <c r="S41" s="252"/>
      <c r="T41" s="252"/>
      <c r="U41" s="253"/>
      <c r="W41" s="1446"/>
      <c r="X41" s="251"/>
      <c r="Y41" s="252"/>
      <c r="Z41" s="252"/>
      <c r="AA41" s="252"/>
      <c r="AB41" s="252"/>
      <c r="AC41" s="252"/>
      <c r="AD41" s="252"/>
      <c r="AE41" s="252"/>
      <c r="AF41" s="252"/>
      <c r="AG41" s="166"/>
      <c r="AH41" s="166"/>
    </row>
    <row r="42" spans="1:39" ht="36.75" customHeight="1">
      <c r="A42" s="1440" t="s">
        <v>7</v>
      </c>
      <c r="B42" s="3195" t="s">
        <v>33</v>
      </c>
      <c r="C42" s="3196"/>
      <c r="D42" s="3196"/>
      <c r="E42" s="3197"/>
      <c r="F42" s="75" t="s">
        <v>18</v>
      </c>
      <c r="G42" s="978" t="s">
        <v>1310</v>
      </c>
      <c r="H42" s="2224" t="s">
        <v>1302</v>
      </c>
      <c r="I42" s="3338" t="s">
        <v>142</v>
      </c>
      <c r="J42" s="3338"/>
      <c r="K42" s="3338"/>
      <c r="L42" s="3339"/>
      <c r="M42" s="3337" t="s">
        <v>142</v>
      </c>
      <c r="N42" s="3338"/>
      <c r="O42" s="3338"/>
      <c r="P42" s="3339"/>
      <c r="Q42" s="3337" t="s">
        <v>142</v>
      </c>
      <c r="R42" s="3338"/>
      <c r="S42" s="3338"/>
      <c r="T42" s="3339"/>
      <c r="U42" s="10"/>
      <c r="W42" s="1446" t="s">
        <v>7</v>
      </c>
      <c r="X42" s="3195" t="s">
        <v>33</v>
      </c>
      <c r="Y42" s="3196"/>
      <c r="Z42" s="3196"/>
      <c r="AA42" s="3197"/>
      <c r="AB42" s="3285" t="s">
        <v>1360</v>
      </c>
      <c r="AC42" s="3062"/>
      <c r="AD42" s="3062"/>
      <c r="AE42" s="3063"/>
      <c r="AF42" s="3285" t="s">
        <v>1360</v>
      </c>
      <c r="AG42" s="3062"/>
      <c r="AH42" s="3062"/>
      <c r="AI42" s="3063"/>
      <c r="AJ42" s="3285" t="s">
        <v>1360</v>
      </c>
      <c r="AK42" s="3062"/>
      <c r="AL42" s="3062"/>
      <c r="AM42" s="3063"/>
    </row>
    <row r="43" spans="1:39" ht="36.75" customHeight="1">
      <c r="A43" s="1440">
        <v>1</v>
      </c>
      <c r="B43" s="3200" t="s">
        <v>1109</v>
      </c>
      <c r="C43" s="3201"/>
      <c r="D43" s="3201"/>
      <c r="E43" s="3202"/>
      <c r="F43" s="77" t="s">
        <v>48</v>
      </c>
      <c r="G43" s="1444" t="str">
        <f>'XM.GUI MAIL'!$E$120</f>
        <v>30~50 
(40)</v>
      </c>
      <c r="H43" s="2241" t="str">
        <f>'XM.GUI MAIL'!$F$120</f>
        <v>30~50 
(40)</v>
      </c>
      <c r="I43" s="3230">
        <f>'XM.GUI MAIL'!AD120</f>
        <v>42</v>
      </c>
      <c r="J43" s="3230"/>
      <c r="K43" s="3230"/>
      <c r="L43" s="3230"/>
      <c r="M43" s="3198">
        <f>'XM.GUI MAIL'!AK120</f>
        <v>43</v>
      </c>
      <c r="N43" s="3230"/>
      <c r="O43" s="3230"/>
      <c r="P43" s="3230"/>
      <c r="Q43" s="3198">
        <f>'XM.GUI MAIL'!AR120</f>
        <v>42</v>
      </c>
      <c r="R43" s="3230"/>
      <c r="S43" s="3230"/>
      <c r="T43" s="3230"/>
      <c r="U43" s="1440"/>
      <c r="W43" s="1446">
        <v>1</v>
      </c>
      <c r="X43" s="3200" t="s">
        <v>1109</v>
      </c>
      <c r="Y43" s="3201"/>
      <c r="Z43" s="3201"/>
      <c r="AA43" s="3202"/>
      <c r="AB43" s="1511"/>
      <c r="AC43" s="1794"/>
      <c r="AD43" s="1794"/>
      <c r="AE43" s="1512"/>
      <c r="AF43" s="1606"/>
      <c r="AG43" s="1794"/>
      <c r="AH43" s="1794"/>
      <c r="AI43" s="1512"/>
      <c r="AJ43" s="1511"/>
      <c r="AK43" s="1794"/>
      <c r="AL43" s="1794"/>
      <c r="AM43" s="1512"/>
    </row>
    <row r="44" spans="1:39" ht="36.75" customHeight="1">
      <c r="A44" s="1440">
        <v>2</v>
      </c>
      <c r="B44" s="3200" t="s">
        <v>226</v>
      </c>
      <c r="C44" s="3201"/>
      <c r="D44" s="3201"/>
      <c r="E44" s="3202"/>
      <c r="F44" s="77" t="s">
        <v>48</v>
      </c>
      <c r="G44" s="1444" t="str">
        <f>'XM.GUI MAIL'!$E$121</f>
        <v>160~220
(180)</v>
      </c>
      <c r="H44" s="2241" t="str">
        <f>'XM.GUI MAIL'!$F$121</f>
        <v>160~220
(180)</v>
      </c>
      <c r="I44" s="3230">
        <f>'XM.GUI MAIL'!AD121</f>
        <v>170</v>
      </c>
      <c r="J44" s="3230"/>
      <c r="K44" s="3230"/>
      <c r="L44" s="3230"/>
      <c r="M44" s="3198">
        <f>'XM.GUI MAIL'!AK121</f>
        <v>170</v>
      </c>
      <c r="N44" s="3230"/>
      <c r="O44" s="3230"/>
      <c r="P44" s="3230"/>
      <c r="Q44" s="3198">
        <f>'XM.GUI MAIL'!AR121</f>
        <v>175</v>
      </c>
      <c r="R44" s="3230"/>
      <c r="S44" s="3230"/>
      <c r="T44" s="3230"/>
      <c r="U44" s="1440"/>
      <c r="W44" s="1446">
        <v>2</v>
      </c>
      <c r="X44" s="3200" t="s">
        <v>226</v>
      </c>
      <c r="Y44" s="3201"/>
      <c r="Z44" s="3201"/>
      <c r="AA44" s="3202"/>
      <c r="AB44" s="1507"/>
      <c r="AC44" s="1791"/>
      <c r="AD44" s="1791"/>
      <c r="AE44" s="1513"/>
      <c r="AF44" s="1600"/>
      <c r="AG44" s="1791"/>
      <c r="AH44" s="1791"/>
      <c r="AI44" s="1513"/>
      <c r="AJ44" s="1507"/>
      <c r="AK44" s="1791"/>
      <c r="AL44" s="1791"/>
      <c r="AM44" s="1513"/>
    </row>
    <row r="45" spans="1:39">
      <c r="AF45" s="31"/>
      <c r="AG45" s="31"/>
      <c r="AH45" s="31"/>
      <c r="AI45" s="31"/>
    </row>
    <row r="46" spans="1:39">
      <c r="AF46" s="31"/>
      <c r="AG46" s="31"/>
      <c r="AH46" s="31"/>
      <c r="AI46" s="31"/>
    </row>
  </sheetData>
  <sheetProtection selectLockedCells="1"/>
  <mergeCells count="217">
    <mergeCell ref="M37:N37"/>
    <mergeCell ref="O37:P37"/>
    <mergeCell ref="Q37:R37"/>
    <mergeCell ref="S37:T37"/>
    <mergeCell ref="B37:E37"/>
    <mergeCell ref="X37:AA37"/>
    <mergeCell ref="I30:J30"/>
    <mergeCell ref="K30:L30"/>
    <mergeCell ref="M30:N30"/>
    <mergeCell ref="O30:P30"/>
    <mergeCell ref="Q30:R30"/>
    <mergeCell ref="S30:T30"/>
    <mergeCell ref="S31:T31"/>
    <mergeCell ref="B32:E32"/>
    <mergeCell ref="I32:J32"/>
    <mergeCell ref="K32:L32"/>
    <mergeCell ref="M32:N32"/>
    <mergeCell ref="O32:P32"/>
    <mergeCell ref="Q32:R32"/>
    <mergeCell ref="S32:T32"/>
    <mergeCell ref="B31:E31"/>
    <mergeCell ref="I31:J31"/>
    <mergeCell ref="K31:L31"/>
    <mergeCell ref="M31:N31"/>
    <mergeCell ref="M38:N38"/>
    <mergeCell ref="O38:P38"/>
    <mergeCell ref="Q38:R38"/>
    <mergeCell ref="S38:T38"/>
    <mergeCell ref="AJ5:AK5"/>
    <mergeCell ref="AL5:AM5"/>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B30:E30"/>
    <mergeCell ref="X19:AA19"/>
    <mergeCell ref="I37:J37"/>
    <mergeCell ref="K37:L37"/>
    <mergeCell ref="AJ4:AM4"/>
    <mergeCell ref="AB28:AE28"/>
    <mergeCell ref="AJ28:AM28"/>
    <mergeCell ref="AB42:AE42"/>
    <mergeCell ref="AJ42:AM42"/>
    <mergeCell ref="B44:E44"/>
    <mergeCell ref="I44:L44"/>
    <mergeCell ref="M44:P44"/>
    <mergeCell ref="Q44:T44"/>
    <mergeCell ref="B42:E42"/>
    <mergeCell ref="I42:L42"/>
    <mergeCell ref="M42:P42"/>
    <mergeCell ref="Q42:T42"/>
    <mergeCell ref="B43:E43"/>
    <mergeCell ref="I43:L43"/>
    <mergeCell ref="M43:P43"/>
    <mergeCell ref="Q43:T43"/>
    <mergeCell ref="S39:T39"/>
    <mergeCell ref="B40:E40"/>
    <mergeCell ref="I40:J40"/>
    <mergeCell ref="K40:L40"/>
    <mergeCell ref="M40:N40"/>
    <mergeCell ref="O40:P40"/>
    <mergeCell ref="Q40:R40"/>
    <mergeCell ref="S40:T40"/>
    <mergeCell ref="B39:E39"/>
    <mergeCell ref="I39:J39"/>
    <mergeCell ref="K39:L39"/>
    <mergeCell ref="M39:N39"/>
    <mergeCell ref="O39:P39"/>
    <mergeCell ref="Q39:R39"/>
    <mergeCell ref="S35:T35"/>
    <mergeCell ref="B36:E36"/>
    <mergeCell ref="I36:J36"/>
    <mergeCell ref="K36:L36"/>
    <mergeCell ref="M36:N36"/>
    <mergeCell ref="O36:P36"/>
    <mergeCell ref="Q36:R36"/>
    <mergeCell ref="S36:T36"/>
    <mergeCell ref="B35:E35"/>
    <mergeCell ref="I35:J35"/>
    <mergeCell ref="K35:L35"/>
    <mergeCell ref="M35:N35"/>
    <mergeCell ref="O35:P35"/>
    <mergeCell ref="Q35:R35"/>
    <mergeCell ref="B38:E38"/>
    <mergeCell ref="I38:J38"/>
    <mergeCell ref="K38:L38"/>
    <mergeCell ref="O31:P31"/>
    <mergeCell ref="Q31:R31"/>
    <mergeCell ref="K28:L28"/>
    <mergeCell ref="M28:N28"/>
    <mergeCell ref="O28:P28"/>
    <mergeCell ref="Q28:R28"/>
    <mergeCell ref="S28:T28"/>
    <mergeCell ref="B29:E29"/>
    <mergeCell ref="I29:J29"/>
    <mergeCell ref="K29:L29"/>
    <mergeCell ref="M29:N29"/>
    <mergeCell ref="O29:P29"/>
    <mergeCell ref="Q29:R29"/>
    <mergeCell ref="S29:T29"/>
    <mergeCell ref="B22:E22"/>
    <mergeCell ref="A23:A24"/>
    <mergeCell ref="B23:E24"/>
    <mergeCell ref="B25:E26"/>
    <mergeCell ref="B28:E28"/>
    <mergeCell ref="I28:J28"/>
    <mergeCell ref="A16:A17"/>
    <mergeCell ref="B16:D17"/>
    <mergeCell ref="E16:E17"/>
    <mergeCell ref="B18:E18"/>
    <mergeCell ref="B20:E20"/>
    <mergeCell ref="B21:E21"/>
    <mergeCell ref="B19:E19"/>
    <mergeCell ref="A14:A15"/>
    <mergeCell ref="B14:B15"/>
    <mergeCell ref="C14:E14"/>
    <mergeCell ref="C15:E15"/>
    <mergeCell ref="A8:A9"/>
    <mergeCell ref="B8:C9"/>
    <mergeCell ref="D8:E8"/>
    <mergeCell ref="D9:E9"/>
    <mergeCell ref="A10:A11"/>
    <mergeCell ref="B10:C11"/>
    <mergeCell ref="D10:E10"/>
    <mergeCell ref="D11:E11"/>
    <mergeCell ref="F4:F5"/>
    <mergeCell ref="G4:G5"/>
    <mergeCell ref="H4:H5"/>
    <mergeCell ref="I4:L4"/>
    <mergeCell ref="M4:P4"/>
    <mergeCell ref="Q4:T4"/>
    <mergeCell ref="A12:A13"/>
    <mergeCell ref="B12:C13"/>
    <mergeCell ref="D12:E12"/>
    <mergeCell ref="D13:E13"/>
    <mergeCell ref="Z6:AA6"/>
    <mergeCell ref="Z7:AA7"/>
    <mergeCell ref="W8:W9"/>
    <mergeCell ref="X8:Y9"/>
    <mergeCell ref="Z8:AA8"/>
    <mergeCell ref="Z9:AA9"/>
    <mergeCell ref="A1:R1"/>
    <mergeCell ref="A2:R2"/>
    <mergeCell ref="S2:T2"/>
    <mergeCell ref="W1:AA1"/>
    <mergeCell ref="W2:AA2"/>
    <mergeCell ref="W4:W5"/>
    <mergeCell ref="X4:AA5"/>
    <mergeCell ref="U4:U5"/>
    <mergeCell ref="J5:L5"/>
    <mergeCell ref="N5:P5"/>
    <mergeCell ref="R5:T5"/>
    <mergeCell ref="A6:A7"/>
    <mergeCell ref="B6:C7"/>
    <mergeCell ref="D6:E6"/>
    <mergeCell ref="D7:E7"/>
    <mergeCell ref="S3:T3"/>
    <mergeCell ref="A4:A5"/>
    <mergeCell ref="B4:E5"/>
    <mergeCell ref="AH5:AI5"/>
    <mergeCell ref="W16:W17"/>
    <mergeCell ref="X16:Z17"/>
    <mergeCell ref="AA16:AA17"/>
    <mergeCell ref="X18:AA18"/>
    <mergeCell ref="X20:AA20"/>
    <mergeCell ref="X21:AA21"/>
    <mergeCell ref="X22:AA22"/>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6:W7"/>
    <mergeCell ref="X6:Y7"/>
    <mergeCell ref="AC3:AD3"/>
    <mergeCell ref="H3:I3"/>
    <mergeCell ref="AF4:AI4"/>
    <mergeCell ref="AF28:AI28"/>
    <mergeCell ref="AF42:AI42"/>
    <mergeCell ref="X43:AA43"/>
    <mergeCell ref="X44:AA44"/>
    <mergeCell ref="X40:AA40"/>
    <mergeCell ref="X42:AA42"/>
    <mergeCell ref="X36:AA36"/>
    <mergeCell ref="X39:AA39"/>
    <mergeCell ref="X34:AA34"/>
    <mergeCell ref="X35:AA35"/>
    <mergeCell ref="X32:AA32"/>
    <mergeCell ref="X33:AA33"/>
    <mergeCell ref="X30:AA30"/>
    <mergeCell ref="X31:AA31"/>
    <mergeCell ref="X25:AA26"/>
    <mergeCell ref="X28:AA28"/>
    <mergeCell ref="X29:AA29"/>
    <mergeCell ref="AB4:AE4"/>
    <mergeCell ref="AB5:AC5"/>
    <mergeCell ref="AD5:AE5"/>
    <mergeCell ref="AF5:AG5"/>
  </mergeCells>
  <conditionalFormatting sqref="I26 Q26 M26">
    <cfRule type="expression" dxfId="1768" priority="1165">
      <formula>I26&lt;1.8</formula>
    </cfRule>
    <cfRule type="expression" dxfId="1767" priority="1166">
      <formula>I26&gt;2.4</formula>
    </cfRule>
  </conditionalFormatting>
  <conditionalFormatting sqref="I25 Q25 M25">
    <cfRule type="expression" dxfId="1766" priority="1163">
      <formula>I25&lt;8</formula>
    </cfRule>
    <cfRule type="expression" dxfId="1765" priority="1164">
      <formula>I25&gt;16</formula>
    </cfRule>
  </conditionalFormatting>
  <conditionalFormatting sqref="I43 M43 Q43">
    <cfRule type="expression" dxfId="1764" priority="1161">
      <formula>I43&lt;30</formula>
    </cfRule>
    <cfRule type="expression" dxfId="1763" priority="1162">
      <formula>I43&gt;50</formula>
    </cfRule>
  </conditionalFormatting>
  <conditionalFormatting sqref="I44 M44">
    <cfRule type="expression" dxfId="1762" priority="1159">
      <formula>I44&lt;160</formula>
    </cfRule>
    <cfRule type="expression" dxfId="1761" priority="1160">
      <formula>I44&gt;220</formula>
    </cfRule>
  </conditionalFormatting>
  <conditionalFormatting sqref="I40 K40 M40 O40 Q40 S40">
    <cfRule type="expression" dxfId="1760" priority="1157">
      <formula>I40&lt;35</formula>
    </cfRule>
    <cfRule type="expression" dxfId="1759" priority="1158">
      <formula>I40&gt;45</formula>
    </cfRule>
  </conditionalFormatting>
  <conditionalFormatting sqref="Q44">
    <cfRule type="expression" dxfId="1758" priority="431">
      <formula>Q44&lt;160</formula>
    </cfRule>
    <cfRule type="expression" dxfId="1757" priority="432">
      <formula>Q44&gt;220</formula>
    </cfRule>
  </conditionalFormatting>
  <conditionalFormatting sqref="I14">
    <cfRule type="expression" dxfId="1756" priority="336" stopIfTrue="1">
      <formula>I14&lt;135</formula>
    </cfRule>
  </conditionalFormatting>
  <conditionalFormatting sqref="I14">
    <cfRule type="expression" dxfId="1755" priority="335" stopIfTrue="1">
      <formula>I14&gt;145</formula>
    </cfRule>
  </conditionalFormatting>
  <conditionalFormatting sqref="I16">
    <cfRule type="cellIs" dxfId="1754" priority="330" operator="between">
      <formula>7.01</formula>
      <formula>8</formula>
    </cfRule>
    <cfRule type="expression" dxfId="1753" priority="331">
      <formula>I16&lt;5</formula>
    </cfRule>
    <cfRule type="expression" dxfId="1752" priority="332">
      <formula>I16&gt;8</formula>
    </cfRule>
  </conditionalFormatting>
  <conditionalFormatting sqref="I10 I12">
    <cfRule type="cellIs" dxfId="1751" priority="322" operator="between">
      <formula>50</formula>
      <formula>54.99</formula>
    </cfRule>
    <cfRule type="cellIs" dxfId="1750" priority="323" operator="between">
      <formula>65.01</formula>
      <formula>70</formula>
    </cfRule>
    <cfRule type="expression" dxfId="1749" priority="324">
      <formula>I10&lt;50</formula>
    </cfRule>
    <cfRule type="expression" dxfId="1748" priority="325">
      <formula>I10&gt;70</formula>
    </cfRule>
  </conditionalFormatting>
  <conditionalFormatting sqref="I6 I8">
    <cfRule type="cellIs" dxfId="1747" priority="318" operator="between">
      <formula>40</formula>
      <formula>44.99</formula>
    </cfRule>
    <cfRule type="cellIs" dxfId="1746" priority="319" operator="between">
      <formula>55.1</formula>
      <formula>60</formula>
    </cfRule>
    <cfRule type="expression" dxfId="1745" priority="320">
      <formula>I6&lt;40</formula>
    </cfRule>
    <cfRule type="expression" dxfId="1744" priority="321">
      <formula>I6&gt;60</formula>
    </cfRule>
  </conditionalFormatting>
  <conditionalFormatting sqref="I22">
    <cfRule type="expression" dxfId="1743" priority="314">
      <formula>I22&lt;0.6%</formula>
    </cfRule>
    <cfRule type="expression" dxfId="1742" priority="315">
      <formula>I22&gt;1.4%</formula>
    </cfRule>
  </conditionalFormatting>
  <conditionalFormatting sqref="M14">
    <cfRule type="expression" dxfId="1741" priority="313" stopIfTrue="1">
      <formula>M14&lt;135</formula>
    </cfRule>
  </conditionalFormatting>
  <conditionalFormatting sqref="M14">
    <cfRule type="expression" dxfId="1740" priority="312" stopIfTrue="1">
      <formula>M14&gt;145</formula>
    </cfRule>
  </conditionalFormatting>
  <conditionalFormatting sqref="M16">
    <cfRule type="cellIs" dxfId="1739" priority="307" operator="between">
      <formula>7.01</formula>
      <formula>8</formula>
    </cfRule>
    <cfRule type="expression" dxfId="1738" priority="308">
      <formula>M16&lt;5</formula>
    </cfRule>
    <cfRule type="expression" dxfId="1737" priority="309">
      <formula>M16&gt;8</formula>
    </cfRule>
  </conditionalFormatting>
  <conditionalFormatting sqref="M10 M12">
    <cfRule type="cellIs" dxfId="1736" priority="299" operator="between">
      <formula>50</formula>
      <formula>54.99</formula>
    </cfRule>
    <cfRule type="cellIs" dxfId="1735" priority="300" operator="between">
      <formula>65.01</formula>
      <formula>70</formula>
    </cfRule>
    <cfRule type="expression" dxfId="1734" priority="301">
      <formula>M10&lt;50</formula>
    </cfRule>
    <cfRule type="expression" dxfId="1733" priority="302">
      <formula>M10&gt;70</formula>
    </cfRule>
  </conditionalFormatting>
  <conditionalFormatting sqref="M6 M8">
    <cfRule type="cellIs" dxfId="1732" priority="295" operator="between">
      <formula>40</formula>
      <formula>44.99</formula>
    </cfRule>
    <cfRule type="cellIs" dxfId="1731" priority="296" operator="between">
      <formula>55.1</formula>
      <formula>60</formula>
    </cfRule>
    <cfRule type="expression" dxfId="1730" priority="297">
      <formula>M6&lt;40</formula>
    </cfRule>
    <cfRule type="expression" dxfId="1729" priority="298">
      <formula>M6&gt;60</formula>
    </cfRule>
  </conditionalFormatting>
  <conditionalFormatting sqref="M22">
    <cfRule type="expression" dxfId="1728" priority="291">
      <formula>M22&lt;0.6%</formula>
    </cfRule>
    <cfRule type="expression" dxfId="1727" priority="292">
      <formula>M22&gt;1.4%</formula>
    </cfRule>
  </conditionalFormatting>
  <conditionalFormatting sqref="Q14">
    <cfRule type="expression" dxfId="1726" priority="290" stopIfTrue="1">
      <formula>Q14&lt;135</formula>
    </cfRule>
  </conditionalFormatting>
  <conditionalFormatting sqref="Q14">
    <cfRule type="expression" dxfId="1725" priority="289" stopIfTrue="1">
      <formula>Q14&gt;145</formula>
    </cfRule>
  </conditionalFormatting>
  <conditionalFormatting sqref="Q16">
    <cfRule type="cellIs" dxfId="1724" priority="284" operator="between">
      <formula>7.01</formula>
      <formula>8</formula>
    </cfRule>
    <cfRule type="expression" dxfId="1723" priority="285">
      <formula>Q16&lt;5</formula>
    </cfRule>
    <cfRule type="expression" dxfId="1722" priority="286">
      <formula>Q16&gt;8</formula>
    </cfRule>
  </conditionalFormatting>
  <conditionalFormatting sqref="Q10 Q12">
    <cfRule type="cellIs" dxfId="1721" priority="276" operator="between">
      <formula>50</formula>
      <formula>54.99</formula>
    </cfRule>
    <cfRule type="cellIs" dxfId="1720" priority="277" operator="between">
      <formula>65.01</formula>
      <formula>70</formula>
    </cfRule>
    <cfRule type="expression" dxfId="1719" priority="278">
      <formula>Q10&lt;50</formula>
    </cfRule>
    <cfRule type="expression" dxfId="1718" priority="279">
      <formula>Q10&gt;70</formula>
    </cfRule>
  </conditionalFormatting>
  <conditionalFormatting sqref="Q6 Q8">
    <cfRule type="cellIs" dxfId="1717" priority="272" operator="between">
      <formula>40</formula>
      <formula>44.99</formula>
    </cfRule>
    <cfRule type="cellIs" dxfId="1716" priority="273" operator="between">
      <formula>55.1</formula>
      <formula>60</formula>
    </cfRule>
    <cfRule type="expression" dxfId="1715" priority="274">
      <formula>Q6&lt;40</formula>
    </cfRule>
    <cfRule type="expression" dxfId="1714" priority="275">
      <formula>Q6&gt;60</formula>
    </cfRule>
  </conditionalFormatting>
  <conditionalFormatting sqref="Q22">
    <cfRule type="expression" dxfId="1713" priority="268">
      <formula>Q22&lt;0.6%</formula>
    </cfRule>
    <cfRule type="expression" dxfId="1712" priority="269">
      <formula>Q22&gt;1.4%</formula>
    </cfRule>
  </conditionalFormatting>
  <conditionalFormatting sqref="K33:L33">
    <cfRule type="expression" dxfId="1711" priority="266">
      <formula>K33&lt;22</formula>
    </cfRule>
    <cfRule type="expression" dxfId="1710" priority="267">
      <formula>K33&gt;28</formula>
    </cfRule>
  </conditionalFormatting>
  <conditionalFormatting sqref="K29:L31">
    <cfRule type="cellIs" dxfId="1709" priority="262" operator="between">
      <formula>50</formula>
      <formula>54.9</formula>
    </cfRule>
    <cfRule type="cellIs" dxfId="1708" priority="263" operator="between">
      <formula>65.1</formula>
      <formula>70</formula>
    </cfRule>
    <cfRule type="expression" dxfId="1707" priority="264">
      <formula>K29&lt;50</formula>
    </cfRule>
    <cfRule type="expression" dxfId="1706" priority="265">
      <formula>K29&gt;70</formula>
    </cfRule>
  </conditionalFormatting>
  <conditionalFormatting sqref="K34">
    <cfRule type="cellIs" dxfId="1705" priority="258" operator="between">
      <formula>30</formula>
      <formula>30.9</formula>
    </cfRule>
    <cfRule type="cellIs" dxfId="1704" priority="259" operator="between">
      <formula>37.1</formula>
      <formula>40</formula>
    </cfRule>
    <cfRule type="expression" dxfId="1703" priority="260">
      <formula>K34&lt;30</formula>
    </cfRule>
    <cfRule type="expression" dxfId="1702" priority="261">
      <formula>K34&gt;40</formula>
    </cfRule>
  </conditionalFormatting>
  <conditionalFormatting sqref="K35">
    <cfRule type="expression" dxfId="1701" priority="256">
      <formula>K35&lt;55</formula>
    </cfRule>
    <cfRule type="expression" dxfId="1700" priority="257">
      <formula>K35&gt;65</formula>
    </cfRule>
  </conditionalFormatting>
  <conditionalFormatting sqref="K36">
    <cfRule type="cellIs" dxfId="1699" priority="252" operator="between">
      <formula>80</formula>
      <formula>84.9</formula>
    </cfRule>
    <cfRule type="cellIs" dxfId="1698" priority="253" operator="between">
      <formula>95.1</formula>
      <formula>100</formula>
    </cfRule>
    <cfRule type="expression" dxfId="1697" priority="254">
      <formula>K36&lt;80</formula>
    </cfRule>
    <cfRule type="expression" dxfId="1696" priority="255">
      <formula>K36&gt;100</formula>
    </cfRule>
  </conditionalFormatting>
  <conditionalFormatting sqref="K37">
    <cfRule type="expression" dxfId="1695" priority="250">
      <formula>K37&lt;40</formula>
    </cfRule>
    <cfRule type="expression" dxfId="1694" priority="251">
      <formula>K37&gt;60</formula>
    </cfRule>
  </conditionalFormatting>
  <conditionalFormatting sqref="K38">
    <cfRule type="expression" dxfId="1693" priority="248">
      <formula>K38&lt;50</formula>
    </cfRule>
    <cfRule type="expression" dxfId="1692" priority="249">
      <formula>K38&gt;70</formula>
    </cfRule>
  </conditionalFormatting>
  <conditionalFormatting sqref="K32:L32">
    <cfRule type="cellIs" dxfId="1691" priority="244" operator="between">
      <formula>50</formula>
      <formula>54.9</formula>
    </cfRule>
    <cfRule type="cellIs" dxfId="1690" priority="245" operator="between">
      <formula>65.1</formula>
      <formula>70</formula>
    </cfRule>
    <cfRule type="expression" dxfId="1689" priority="246">
      <formula>K32&lt;50</formula>
    </cfRule>
    <cfRule type="expression" dxfId="1688" priority="247">
      <formula>K32&gt;70</formula>
    </cfRule>
  </conditionalFormatting>
  <conditionalFormatting sqref="I33:J33">
    <cfRule type="expression" dxfId="1687" priority="242">
      <formula>I33&lt;22</formula>
    </cfRule>
    <cfRule type="expression" dxfId="1686" priority="243">
      <formula>I33&gt;28</formula>
    </cfRule>
  </conditionalFormatting>
  <conditionalFormatting sqref="I29:J31">
    <cfRule type="cellIs" dxfId="1685" priority="238" operator="between">
      <formula>50</formula>
      <formula>54.9</formula>
    </cfRule>
    <cfRule type="cellIs" dxfId="1684" priority="239" operator="between">
      <formula>65.1</formula>
      <formula>70</formula>
    </cfRule>
    <cfRule type="expression" dxfId="1683" priority="240">
      <formula>I29&lt;50</formula>
    </cfRule>
    <cfRule type="expression" dxfId="1682" priority="241">
      <formula>I29&gt;70</formula>
    </cfRule>
  </conditionalFormatting>
  <conditionalFormatting sqref="I34">
    <cfRule type="cellIs" dxfId="1681" priority="234" operator="between">
      <formula>30</formula>
      <formula>30.9</formula>
    </cfRule>
    <cfRule type="cellIs" dxfId="1680" priority="235" operator="between">
      <formula>37.1</formula>
      <formula>40</formula>
    </cfRule>
    <cfRule type="expression" dxfId="1679" priority="236">
      <formula>I34&lt;30</formula>
    </cfRule>
    <cfRule type="expression" dxfId="1678" priority="237">
      <formula>I34&gt;40</formula>
    </cfRule>
  </conditionalFormatting>
  <conditionalFormatting sqref="I35">
    <cfRule type="expression" dxfId="1677" priority="232">
      <formula>I35&lt;55</formula>
    </cfRule>
    <cfRule type="expression" dxfId="1676" priority="233">
      <formula>I35&gt;65</formula>
    </cfRule>
  </conditionalFormatting>
  <conditionalFormatting sqref="I37">
    <cfRule type="expression" dxfId="1675" priority="230">
      <formula>I37&lt;40</formula>
    </cfRule>
    <cfRule type="expression" dxfId="1674" priority="231">
      <formula>I37&gt;60</formula>
    </cfRule>
  </conditionalFormatting>
  <conditionalFormatting sqref="I38">
    <cfRule type="expression" dxfId="1673" priority="228">
      <formula>I38&lt;50</formula>
    </cfRule>
    <cfRule type="expression" dxfId="1672" priority="229">
      <formula>I38&gt;70</formula>
    </cfRule>
  </conditionalFormatting>
  <conditionalFormatting sqref="I32:J32">
    <cfRule type="cellIs" dxfId="1671" priority="224" operator="between">
      <formula>50</formula>
      <formula>54.9</formula>
    </cfRule>
    <cfRule type="cellIs" dxfId="1670" priority="225" operator="between">
      <formula>65.1</formula>
      <formula>70</formula>
    </cfRule>
    <cfRule type="expression" dxfId="1669" priority="226">
      <formula>I32&lt;50</formula>
    </cfRule>
    <cfRule type="expression" dxfId="1668" priority="227">
      <formula>I32&gt;70</formula>
    </cfRule>
  </conditionalFormatting>
  <conditionalFormatting sqref="O33:P33">
    <cfRule type="expression" dxfId="1667" priority="222">
      <formula>O33&lt;22</formula>
    </cfRule>
    <cfRule type="expression" dxfId="1666" priority="223">
      <formula>O33&gt;28</formula>
    </cfRule>
  </conditionalFormatting>
  <conditionalFormatting sqref="O29:P31">
    <cfRule type="cellIs" dxfId="1665" priority="218" operator="between">
      <formula>50</formula>
      <formula>54.9</formula>
    </cfRule>
    <cfRule type="cellIs" dxfId="1664" priority="219" operator="between">
      <formula>65.1</formula>
      <formula>70</formula>
    </cfRule>
    <cfRule type="expression" dxfId="1663" priority="220">
      <formula>O29&lt;50</formula>
    </cfRule>
    <cfRule type="expression" dxfId="1662" priority="221">
      <formula>O29&gt;70</formula>
    </cfRule>
  </conditionalFormatting>
  <conditionalFormatting sqref="O34">
    <cfRule type="cellIs" dxfId="1661" priority="214" operator="between">
      <formula>30</formula>
      <formula>30.9</formula>
    </cfRule>
    <cfRule type="cellIs" dxfId="1660" priority="215" operator="between">
      <formula>37.1</formula>
      <formula>40</formula>
    </cfRule>
    <cfRule type="expression" dxfId="1659" priority="216">
      <formula>O34&lt;30</formula>
    </cfRule>
    <cfRule type="expression" dxfId="1658" priority="217">
      <formula>O34&gt;40</formula>
    </cfRule>
  </conditionalFormatting>
  <conditionalFormatting sqref="O35">
    <cfRule type="expression" dxfId="1657" priority="212">
      <formula>O35&lt;55</formula>
    </cfRule>
    <cfRule type="expression" dxfId="1656" priority="213">
      <formula>O35&gt;65</formula>
    </cfRule>
  </conditionalFormatting>
  <conditionalFormatting sqref="O36">
    <cfRule type="cellIs" dxfId="1655" priority="208" operator="between">
      <formula>80</formula>
      <formula>84.9</formula>
    </cfRule>
    <cfRule type="cellIs" dxfId="1654" priority="209" operator="between">
      <formula>95.1</formula>
      <formula>100</formula>
    </cfRule>
    <cfRule type="expression" dxfId="1653" priority="210">
      <formula>O36&lt;80</formula>
    </cfRule>
    <cfRule type="expression" dxfId="1652" priority="211">
      <formula>O36&gt;100</formula>
    </cfRule>
  </conditionalFormatting>
  <conditionalFormatting sqref="O37">
    <cfRule type="expression" dxfId="1651" priority="206">
      <formula>O37&lt;40</formula>
    </cfRule>
    <cfRule type="expression" dxfId="1650" priority="207">
      <formula>O37&gt;60</formula>
    </cfRule>
  </conditionalFormatting>
  <conditionalFormatting sqref="O38">
    <cfRule type="expression" dxfId="1649" priority="204">
      <formula>O38&lt;50</formula>
    </cfRule>
    <cfRule type="expression" dxfId="1648" priority="205">
      <formula>O38&gt;70</formula>
    </cfRule>
  </conditionalFormatting>
  <conditionalFormatting sqref="O32:P32">
    <cfRule type="cellIs" dxfId="1647" priority="200" operator="between">
      <formula>50</formula>
      <formula>54.9</formula>
    </cfRule>
    <cfRule type="cellIs" dxfId="1646" priority="201" operator="between">
      <formula>65.1</formula>
      <formula>70</formula>
    </cfRule>
    <cfRule type="expression" dxfId="1645" priority="202">
      <formula>O32&lt;50</formula>
    </cfRule>
    <cfRule type="expression" dxfId="1644" priority="203">
      <formula>O32&gt;70</formula>
    </cfRule>
  </conditionalFormatting>
  <conditionalFormatting sqref="M33:N33">
    <cfRule type="expression" dxfId="1643" priority="198">
      <formula>M33&lt;22</formula>
    </cfRule>
    <cfRule type="expression" dxfId="1642" priority="199">
      <formula>M33&gt;28</formula>
    </cfRule>
  </conditionalFormatting>
  <conditionalFormatting sqref="M29:N31">
    <cfRule type="cellIs" dxfId="1641" priority="194" operator="between">
      <formula>50</formula>
      <formula>54.9</formula>
    </cfRule>
    <cfRule type="cellIs" dxfId="1640" priority="195" operator="between">
      <formula>65.1</formula>
      <formula>70</formula>
    </cfRule>
    <cfRule type="expression" dxfId="1639" priority="196">
      <formula>M29&lt;50</formula>
    </cfRule>
    <cfRule type="expression" dxfId="1638" priority="197">
      <formula>M29&gt;70</formula>
    </cfRule>
  </conditionalFormatting>
  <conditionalFormatting sqref="M34">
    <cfRule type="cellIs" dxfId="1637" priority="190" operator="between">
      <formula>30</formula>
      <formula>30.9</formula>
    </cfRule>
    <cfRule type="cellIs" dxfId="1636" priority="191" operator="between">
      <formula>37.1</formula>
      <formula>40</formula>
    </cfRule>
    <cfRule type="expression" dxfId="1635" priority="192">
      <formula>M34&lt;30</formula>
    </cfRule>
    <cfRule type="expression" dxfId="1634" priority="193">
      <formula>M34&gt;40</formula>
    </cfRule>
  </conditionalFormatting>
  <conditionalFormatting sqref="M35">
    <cfRule type="expression" dxfId="1633" priority="188">
      <formula>M35&lt;55</formula>
    </cfRule>
    <cfRule type="expression" dxfId="1632" priority="189">
      <formula>M35&gt;65</formula>
    </cfRule>
  </conditionalFormatting>
  <conditionalFormatting sqref="M37">
    <cfRule type="expression" dxfId="1631" priority="186">
      <formula>M37&lt;40</formula>
    </cfRule>
    <cfRule type="expression" dxfId="1630" priority="187">
      <formula>M37&gt;60</formula>
    </cfRule>
  </conditionalFormatting>
  <conditionalFormatting sqref="M38">
    <cfRule type="expression" dxfId="1629" priority="184">
      <formula>M38&lt;50</formula>
    </cfRule>
    <cfRule type="expression" dxfId="1628" priority="185">
      <formula>M38&gt;70</formula>
    </cfRule>
  </conditionalFormatting>
  <conditionalFormatting sqref="M32:N32">
    <cfRule type="cellIs" dxfId="1627" priority="180" operator="between">
      <formula>50</formula>
      <formula>54.9</formula>
    </cfRule>
    <cfRule type="cellIs" dxfId="1626" priority="181" operator="between">
      <formula>65.1</formula>
      <formula>70</formula>
    </cfRule>
    <cfRule type="expression" dxfId="1625" priority="182">
      <formula>M32&lt;50</formula>
    </cfRule>
    <cfRule type="expression" dxfId="1624" priority="183">
      <formula>M32&gt;70</formula>
    </cfRule>
  </conditionalFormatting>
  <conditionalFormatting sqref="S33:T33">
    <cfRule type="expression" dxfId="1623" priority="178">
      <formula>S33&lt;22</formula>
    </cfRule>
    <cfRule type="expression" dxfId="1622" priority="179">
      <formula>S33&gt;28</formula>
    </cfRule>
  </conditionalFormatting>
  <conditionalFormatting sqref="S29:T31">
    <cfRule type="cellIs" dxfId="1621" priority="174" operator="between">
      <formula>50</formula>
      <formula>54.9</formula>
    </cfRule>
    <cfRule type="cellIs" dxfId="1620" priority="175" operator="between">
      <formula>65.1</formula>
      <formula>70</formula>
    </cfRule>
    <cfRule type="expression" dxfId="1619" priority="176">
      <formula>S29&lt;50</formula>
    </cfRule>
    <cfRule type="expression" dxfId="1618" priority="177">
      <formula>S29&gt;70</formula>
    </cfRule>
  </conditionalFormatting>
  <conditionalFormatting sqref="S34">
    <cfRule type="cellIs" dxfId="1617" priority="170" operator="between">
      <formula>30</formula>
      <formula>30.9</formula>
    </cfRule>
    <cfRule type="cellIs" dxfId="1616" priority="171" operator="between">
      <formula>37.1</formula>
      <formula>40</formula>
    </cfRule>
    <cfRule type="expression" dxfId="1615" priority="172">
      <formula>S34&lt;30</formula>
    </cfRule>
    <cfRule type="expression" dxfId="1614" priority="173">
      <formula>S34&gt;40</formula>
    </cfRule>
  </conditionalFormatting>
  <conditionalFormatting sqref="S35">
    <cfRule type="expression" dxfId="1613" priority="168">
      <formula>S35&lt;55</formula>
    </cfRule>
    <cfRule type="expression" dxfId="1612" priority="169">
      <formula>S35&gt;65</formula>
    </cfRule>
  </conditionalFormatting>
  <conditionalFormatting sqref="S36">
    <cfRule type="cellIs" dxfId="1611" priority="164" operator="between">
      <formula>80</formula>
      <formula>84.9</formula>
    </cfRule>
    <cfRule type="cellIs" dxfId="1610" priority="165" operator="between">
      <formula>95.1</formula>
      <formula>100</formula>
    </cfRule>
    <cfRule type="expression" dxfId="1609" priority="166">
      <formula>S36&lt;80</formula>
    </cfRule>
    <cfRule type="expression" dxfId="1608" priority="167">
      <formula>S36&gt;100</formula>
    </cfRule>
  </conditionalFormatting>
  <conditionalFormatting sqref="S37">
    <cfRule type="expression" dxfId="1607" priority="162">
      <formula>S37&lt;40</formula>
    </cfRule>
    <cfRule type="expression" dxfId="1606" priority="163">
      <formula>S37&gt;60</formula>
    </cfRule>
  </conditionalFormatting>
  <conditionalFormatting sqref="S38">
    <cfRule type="expression" dxfId="1605" priority="160">
      <formula>S38&lt;50</formula>
    </cfRule>
    <cfRule type="expression" dxfId="1604" priority="161">
      <formula>S38&gt;70</formula>
    </cfRule>
  </conditionalFormatting>
  <conditionalFormatting sqref="S32:T32">
    <cfRule type="cellIs" dxfId="1603" priority="156" operator="between">
      <formula>50</formula>
      <formula>54.9</formula>
    </cfRule>
    <cfRule type="cellIs" dxfId="1602" priority="157" operator="between">
      <formula>65.1</formula>
      <formula>70</formula>
    </cfRule>
    <cfRule type="expression" dxfId="1601" priority="158">
      <formula>S32&lt;50</formula>
    </cfRule>
    <cfRule type="expression" dxfId="1600" priority="159">
      <formula>S32&gt;70</formula>
    </cfRule>
  </conditionalFormatting>
  <conditionalFormatting sqref="Q33:R33">
    <cfRule type="expression" dxfId="1599" priority="154">
      <formula>Q33&lt;22</formula>
    </cfRule>
    <cfRule type="expression" dxfId="1598" priority="155">
      <formula>Q33&gt;28</formula>
    </cfRule>
  </conditionalFormatting>
  <conditionalFormatting sqref="Q29:R31">
    <cfRule type="cellIs" dxfId="1597" priority="150" operator="between">
      <formula>50</formula>
      <formula>54.9</formula>
    </cfRule>
    <cfRule type="cellIs" dxfId="1596" priority="151" operator="between">
      <formula>65.1</formula>
      <formula>70</formula>
    </cfRule>
    <cfRule type="expression" dxfId="1595" priority="152">
      <formula>Q29&lt;50</formula>
    </cfRule>
    <cfRule type="expression" dxfId="1594" priority="153">
      <formula>Q29&gt;70</formula>
    </cfRule>
  </conditionalFormatting>
  <conditionalFormatting sqref="Q34">
    <cfRule type="cellIs" dxfId="1593" priority="146" operator="between">
      <formula>30</formula>
      <formula>30.9</formula>
    </cfRule>
    <cfRule type="cellIs" dxfId="1592" priority="147" operator="between">
      <formula>37.1</formula>
      <formula>40</formula>
    </cfRule>
    <cfRule type="expression" dxfId="1591" priority="148">
      <formula>Q34&lt;30</formula>
    </cfRule>
    <cfRule type="expression" dxfId="1590" priority="149">
      <formula>Q34&gt;40</formula>
    </cfRule>
  </conditionalFormatting>
  <conditionalFormatting sqref="Q35">
    <cfRule type="expression" dxfId="1589" priority="144">
      <formula>Q35&lt;55</formula>
    </cfRule>
    <cfRule type="expression" dxfId="1588" priority="145">
      <formula>Q35&gt;65</formula>
    </cfRule>
  </conditionalFormatting>
  <conditionalFormatting sqref="Q37">
    <cfRule type="expression" dxfId="1587" priority="142">
      <formula>Q37&lt;40</formula>
    </cfRule>
    <cfRule type="expression" dxfId="1586" priority="143">
      <formula>Q37&gt;60</formula>
    </cfRule>
  </conditionalFormatting>
  <conditionalFormatting sqref="Q38">
    <cfRule type="expression" dxfId="1585" priority="140">
      <formula>Q38&lt;50</formula>
    </cfRule>
    <cfRule type="expression" dxfId="1584" priority="141">
      <formula>Q38&gt;70</formula>
    </cfRule>
  </conditionalFormatting>
  <conditionalFormatting sqref="Q32:R32">
    <cfRule type="cellIs" dxfId="1583" priority="136" operator="between">
      <formula>50</formula>
      <formula>54.9</formula>
    </cfRule>
    <cfRule type="cellIs" dxfId="1582" priority="137" operator="between">
      <formula>65.1</formula>
      <formula>70</formula>
    </cfRule>
    <cfRule type="expression" dxfId="1581" priority="138">
      <formula>Q32&lt;50</formula>
    </cfRule>
    <cfRule type="expression" dxfId="1580" priority="139">
      <formula>Q32&gt;70</formula>
    </cfRule>
  </conditionalFormatting>
  <conditionalFormatting sqref="I39 M39 Q39">
    <cfRule type="expression" dxfId="1579" priority="134">
      <formula>I39&lt;20</formula>
    </cfRule>
    <cfRule type="expression" dxfId="1578" priority="135">
      <formula>I39&gt;30</formula>
    </cfRule>
  </conditionalFormatting>
  <conditionalFormatting sqref="K39 O39 S39">
    <cfRule type="expression" dxfId="1577" priority="132">
      <formula>K39&lt;20</formula>
    </cfRule>
    <cfRule type="expression" dxfId="1576" priority="133">
      <formula>K39&gt;30</formula>
    </cfRule>
  </conditionalFormatting>
  <conditionalFormatting sqref="I15">
    <cfRule type="cellIs" dxfId="1575" priority="128" operator="between">
      <formula>7</formula>
      <formula>7.499</formula>
    </cfRule>
    <cfRule type="cellIs" dxfId="1574" priority="129" operator="between">
      <formula>9.51</formula>
      <formula>10</formula>
    </cfRule>
    <cfRule type="expression" dxfId="1573" priority="130">
      <formula>I15&lt;7</formula>
    </cfRule>
    <cfRule type="expression" dxfId="1572" priority="131">
      <formula>I15&gt;10</formula>
    </cfRule>
  </conditionalFormatting>
  <conditionalFormatting sqref="M15">
    <cfRule type="cellIs" dxfId="1571" priority="124" operator="between">
      <formula>7</formula>
      <formula>7.499</formula>
    </cfRule>
    <cfRule type="cellIs" dxfId="1570" priority="125" operator="between">
      <formula>9.51</formula>
      <formula>10</formula>
    </cfRule>
    <cfRule type="expression" dxfId="1569" priority="126">
      <formula>M15&lt;7</formula>
    </cfRule>
    <cfRule type="expression" dxfId="1568" priority="127">
      <formula>M15&gt;10</formula>
    </cfRule>
  </conditionalFormatting>
  <conditionalFormatting sqref="Q15">
    <cfRule type="cellIs" dxfId="1567" priority="120" operator="between">
      <formula>7</formula>
      <formula>7.499</formula>
    </cfRule>
    <cfRule type="cellIs" dxfId="1566" priority="121" operator="between">
      <formula>9.51</formula>
      <formula>10</formula>
    </cfRule>
    <cfRule type="expression" dxfId="1565" priority="122">
      <formula>Q15&lt;7</formula>
    </cfRule>
    <cfRule type="expression" dxfId="1564" priority="123">
      <formula>Q15&gt;10</formula>
    </cfRule>
  </conditionalFormatting>
  <conditionalFormatting sqref="I17">
    <cfRule type="cellIs" dxfId="1563" priority="92" operator="between">
      <formula>2</formula>
      <formula>2.099</formula>
    </cfRule>
    <cfRule type="cellIs" dxfId="1562" priority="93" operator="between">
      <formula>2.31</formula>
      <formula>2.4</formula>
    </cfRule>
    <cfRule type="expression" dxfId="1561" priority="94">
      <formula>I17&lt;2</formula>
    </cfRule>
    <cfRule type="expression" dxfId="1560" priority="95">
      <formula>I17&gt;2.4</formula>
    </cfRule>
  </conditionalFormatting>
  <conditionalFormatting sqref="M17">
    <cfRule type="cellIs" dxfId="1559" priority="88" operator="between">
      <formula>2</formula>
      <formula>2.099</formula>
    </cfRule>
    <cfRule type="cellIs" dxfId="1558" priority="89" operator="between">
      <formula>2.31</formula>
      <formula>2.4</formula>
    </cfRule>
    <cfRule type="expression" dxfId="1557" priority="90">
      <formula>M17&lt;2</formula>
    </cfRule>
    <cfRule type="expression" dxfId="1556" priority="91">
      <formula>M17&gt;2.4</formula>
    </cfRule>
  </conditionalFormatting>
  <conditionalFormatting sqref="Q17">
    <cfRule type="cellIs" dxfId="1555" priority="84" operator="between">
      <formula>2</formula>
      <formula>2.099</formula>
    </cfRule>
    <cfRule type="cellIs" dxfId="1554" priority="85" operator="between">
      <formula>2.31</formula>
      <formula>2.4</formula>
    </cfRule>
    <cfRule type="expression" dxfId="1553" priority="86">
      <formula>Q17&lt;2</formula>
    </cfRule>
    <cfRule type="expression" dxfId="1552" priority="87">
      <formula>Q17&gt;2.4</formula>
    </cfRule>
  </conditionalFormatting>
  <conditionalFormatting sqref="I23">
    <cfRule type="cellIs" dxfId="1551" priority="80" operator="between">
      <formula>5</formula>
      <formula>5.499</formula>
    </cfRule>
    <cfRule type="cellIs" dxfId="1550" priority="81" operator="between">
      <formula>6.51</formula>
      <formula>8</formula>
    </cfRule>
    <cfRule type="expression" dxfId="1549" priority="82">
      <formula>I23&lt;5</formula>
    </cfRule>
    <cfRule type="expression" dxfId="1548" priority="83">
      <formula>I23&gt;8</formula>
    </cfRule>
  </conditionalFormatting>
  <conditionalFormatting sqref="I24">
    <cfRule type="cellIs" dxfId="1547" priority="76" operator="between">
      <formula>1.8</formula>
      <formula>1.999</formula>
    </cfRule>
    <cfRule type="cellIs" dxfId="1546" priority="77" operator="between">
      <formula>2.21</formula>
      <formula>2.4</formula>
    </cfRule>
    <cfRule type="expression" dxfId="1545" priority="78">
      <formula>I24&lt;1.8</formula>
    </cfRule>
    <cfRule type="expression" dxfId="1544" priority="79">
      <formula>I24&gt;2.4</formula>
    </cfRule>
  </conditionalFormatting>
  <conditionalFormatting sqref="M23">
    <cfRule type="cellIs" dxfId="1543" priority="72" operator="between">
      <formula>5</formula>
      <formula>5.499</formula>
    </cfRule>
    <cfRule type="cellIs" dxfId="1542" priority="73" operator="between">
      <formula>6.51</formula>
      <formula>8</formula>
    </cfRule>
    <cfRule type="expression" dxfId="1541" priority="74">
      <formula>M23&lt;5</formula>
    </cfRule>
    <cfRule type="expression" dxfId="1540" priority="75">
      <formula>M23&gt;8</formula>
    </cfRule>
  </conditionalFormatting>
  <conditionalFormatting sqref="M24">
    <cfRule type="cellIs" dxfId="1539" priority="68" operator="between">
      <formula>1.8</formula>
      <formula>1.999</formula>
    </cfRule>
    <cfRule type="cellIs" dxfId="1538" priority="69" operator="between">
      <formula>2.21</formula>
      <formula>2.4</formula>
    </cfRule>
    <cfRule type="expression" dxfId="1537" priority="70">
      <formula>M24&lt;1.8</formula>
    </cfRule>
    <cfRule type="expression" dxfId="1536" priority="71">
      <formula>M24&gt;2.4</formula>
    </cfRule>
  </conditionalFormatting>
  <conditionalFormatting sqref="Q23">
    <cfRule type="cellIs" dxfId="1535" priority="64" operator="between">
      <formula>5</formula>
      <formula>5.499</formula>
    </cfRule>
    <cfRule type="cellIs" dxfId="1534" priority="65" operator="between">
      <formula>6.51</formula>
      <formula>8</formula>
    </cfRule>
    <cfRule type="expression" dxfId="1533" priority="66">
      <formula>Q23&lt;5</formula>
    </cfRule>
    <cfRule type="expression" dxfId="1532" priority="67">
      <formula>Q23&gt;8</formula>
    </cfRule>
  </conditionalFormatting>
  <conditionalFormatting sqref="Q24">
    <cfRule type="cellIs" dxfId="1531" priority="60" operator="between">
      <formula>1.8</formula>
      <formula>1.999</formula>
    </cfRule>
    <cfRule type="cellIs" dxfId="1530" priority="61" operator="between">
      <formula>2.21</formula>
      <formula>2.4</formula>
    </cfRule>
    <cfRule type="expression" dxfId="1529" priority="62">
      <formula>Q24&lt;1.8</formula>
    </cfRule>
    <cfRule type="expression" dxfId="1528" priority="63">
      <formula>Q24&gt;2.4</formula>
    </cfRule>
  </conditionalFormatting>
  <conditionalFormatting sqref="I18">
    <cfRule type="expression" dxfId="1527" priority="35">
      <formula>I18&lt;40%</formula>
    </cfRule>
    <cfRule type="expression" dxfId="1526" priority="36">
      <formula>I18&gt;50%</formula>
    </cfRule>
  </conditionalFormatting>
  <conditionalFormatting sqref="I20:I21">
    <cfRule type="expression" dxfId="1525" priority="33">
      <formula>I20&lt;40%</formula>
    </cfRule>
    <cfRule type="expression" dxfId="1524" priority="34">
      <formula>I20&gt;50%</formula>
    </cfRule>
  </conditionalFormatting>
  <conditionalFormatting sqref="M18">
    <cfRule type="expression" dxfId="1523" priority="29">
      <formula>M18&lt;40%</formula>
    </cfRule>
    <cfRule type="expression" dxfId="1522" priority="30">
      <formula>M18&gt;50%</formula>
    </cfRule>
  </conditionalFormatting>
  <conditionalFormatting sqref="M20:M21">
    <cfRule type="expression" dxfId="1521" priority="27">
      <formula>M20&lt;40%</formula>
    </cfRule>
    <cfRule type="expression" dxfId="1520" priority="28">
      <formula>M20&gt;50%</formula>
    </cfRule>
  </conditionalFormatting>
  <conditionalFormatting sqref="Q18">
    <cfRule type="expression" dxfId="1519" priority="23">
      <formula>Q18&lt;40%</formula>
    </cfRule>
    <cfRule type="expression" dxfId="1518" priority="24">
      <formula>Q18&gt;50%</formula>
    </cfRule>
  </conditionalFormatting>
  <conditionalFormatting sqref="Q20:Q21">
    <cfRule type="expression" dxfId="1517" priority="21">
      <formula>Q20&lt;40%</formula>
    </cfRule>
    <cfRule type="expression" dxfId="1516" priority="22">
      <formula>Q20&gt;50%</formula>
    </cfRule>
  </conditionalFormatting>
  <conditionalFormatting sqref="I19">
    <cfRule type="cellIs" dxfId="1515" priority="9" operator="between">
      <formula>15%</formula>
      <formula>15.99%</formula>
    </cfRule>
    <cfRule type="cellIs" dxfId="1514" priority="10" operator="between">
      <formula>20.01%</formula>
      <formula>25%</formula>
    </cfRule>
    <cfRule type="expression" dxfId="1513" priority="11">
      <formula>I19&lt;15%</formula>
    </cfRule>
    <cfRule type="expression" dxfId="1512" priority="12">
      <formula>I19&gt;25%</formula>
    </cfRule>
  </conditionalFormatting>
  <conditionalFormatting sqref="M19">
    <cfRule type="cellIs" dxfId="1511" priority="5" operator="between">
      <formula>15%</formula>
      <formula>15.99%</formula>
    </cfRule>
    <cfRule type="cellIs" dxfId="1510" priority="6" operator="between">
      <formula>20.01%</formula>
      <formula>25%</formula>
    </cfRule>
    <cfRule type="expression" dxfId="1509" priority="7">
      <formula>M19&lt;15%</formula>
    </cfRule>
    <cfRule type="expression" dxfId="1508" priority="8">
      <formula>M19&gt;25%</formula>
    </cfRule>
  </conditionalFormatting>
  <conditionalFormatting sqref="Q19">
    <cfRule type="cellIs" dxfId="1507" priority="1" operator="between">
      <formula>15%</formula>
      <formula>15.99%</formula>
    </cfRule>
    <cfRule type="cellIs" dxfId="1506" priority="2" operator="between">
      <formula>20.01%</formula>
      <formula>25%</formula>
    </cfRule>
    <cfRule type="expression" dxfId="1505" priority="3">
      <formula>Q19&lt;15%</formula>
    </cfRule>
    <cfRule type="expression" dxfId="1504" priority="4">
      <formula>Q19&gt;25%</formula>
    </cfRule>
  </conditionalFormatting>
  <pageMargins left="0.36"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4.xml><?xml version="1.0" encoding="utf-8"?>
<worksheet xmlns="http://schemas.openxmlformats.org/spreadsheetml/2006/main" xmlns:r="http://schemas.openxmlformats.org/officeDocument/2006/relationships">
  <sheetPr>
    <tabColor theme="5" tint="0.39997558519241921"/>
  </sheetPr>
  <dimension ref="A1:T21"/>
  <sheetViews>
    <sheetView view="pageBreakPreview" zoomScale="70" zoomScaleNormal="70" zoomScaleSheetLayoutView="70" workbookViewId="0">
      <selection activeCell="S21" sqref="S21"/>
    </sheetView>
  </sheetViews>
  <sheetFormatPr defaultRowHeight="16.5"/>
  <cols>
    <col min="1" max="1" width="5" style="8" customWidth="1"/>
    <col min="2" max="2" width="11.75" style="31" customWidth="1"/>
    <col min="3" max="3" width="5.75" style="31" customWidth="1"/>
    <col min="4" max="4" width="7.375" style="31" customWidth="1"/>
    <col min="5" max="5" width="2.75" style="31" customWidth="1"/>
    <col min="6" max="6" width="8.875" style="7" customWidth="1"/>
    <col min="7" max="8" width="10.125" style="7" customWidth="1"/>
    <col min="9" max="9" width="9.125" style="7" customWidth="1"/>
    <col min="10" max="10" width="3.125" style="7" customWidth="1"/>
    <col min="11" max="11" width="9.25" style="7" customWidth="1"/>
    <col min="12" max="12" width="4" style="7" customWidth="1"/>
    <col min="13" max="13" width="8.375" style="7" customWidth="1"/>
    <col min="14" max="14" width="4.875" style="7" customWidth="1"/>
    <col min="15" max="15" width="7.75" style="7" customWidth="1"/>
    <col min="16" max="16" width="4.75" style="7" customWidth="1"/>
    <col min="17" max="17" width="8.5" style="7" customWidth="1"/>
    <col min="18" max="18" width="4.25" style="7" customWidth="1"/>
    <col min="19" max="19" width="9.25" style="7" customWidth="1"/>
    <col min="20" max="20" width="4.875" style="7" customWidth="1"/>
    <col min="21" max="21" width="14.375" style="8" customWidth="1"/>
    <col min="22" max="16384" width="9" style="8"/>
  </cols>
  <sheetData>
    <row r="1" spans="1:20" ht="28.5" customHeight="1">
      <c r="A1" s="3329" t="s">
        <v>135</v>
      </c>
      <c r="B1" s="3329"/>
      <c r="C1" s="3329"/>
      <c r="D1" s="3329"/>
      <c r="E1" s="3329"/>
      <c r="F1" s="3329"/>
      <c r="G1" s="3329"/>
      <c r="H1" s="3329"/>
      <c r="I1" s="3329"/>
      <c r="J1" s="3329"/>
      <c r="K1" s="3329"/>
      <c r="L1" s="3329"/>
      <c r="M1" s="3329"/>
      <c r="N1" s="3329"/>
      <c r="O1" s="3329"/>
      <c r="P1" s="3329"/>
      <c r="Q1" s="1642"/>
      <c r="R1" s="1642"/>
      <c r="S1" s="1642"/>
      <c r="T1" s="1642"/>
    </row>
    <row r="2" spans="1:20" ht="51.75" customHeight="1">
      <c r="A2" s="3343" t="s">
        <v>1453</v>
      </c>
      <c r="B2" s="3343"/>
      <c r="C2" s="3343"/>
      <c r="D2" s="3343"/>
      <c r="E2" s="3343"/>
      <c r="F2" s="3343"/>
      <c r="G2" s="3343"/>
      <c r="H2" s="3343"/>
      <c r="I2" s="3343"/>
      <c r="J2" s="3343"/>
      <c r="K2" s="3343"/>
      <c r="L2" s="3343"/>
      <c r="M2" s="3343"/>
      <c r="N2" s="3343"/>
      <c r="O2" s="3343"/>
      <c r="P2" s="3344"/>
      <c r="Q2" s="3285" t="s">
        <v>88</v>
      </c>
      <c r="R2" s="3063"/>
      <c r="S2" s="3359" t="s">
        <v>1356</v>
      </c>
      <c r="T2" s="3359"/>
    </row>
    <row r="3" spans="1:20" ht="34.5" customHeight="1">
      <c r="A3" s="9"/>
      <c r="B3" s="3345" t="s">
        <v>1510</v>
      </c>
      <c r="C3" s="3345"/>
      <c r="D3" s="1428" t="s">
        <v>1624</v>
      </c>
      <c r="E3" s="1403"/>
      <c r="F3" s="1820" t="str">
        <f>MENU!$AC$9</f>
        <v>Thứ 4,</v>
      </c>
      <c r="G3" s="3365" t="str">
        <f>MENU!$AD$9</f>
        <v>2024/05/22</v>
      </c>
      <c r="H3" s="3365"/>
      <c r="I3" s="28"/>
      <c r="J3" s="28"/>
      <c r="K3" s="28"/>
      <c r="L3" s="29"/>
      <c r="M3" s="29"/>
      <c r="N3" s="29"/>
      <c r="O3" s="29"/>
      <c r="P3" s="29"/>
      <c r="Q3" s="3295" t="str">
        <f>'3.XT-C TT(CA2)'!S3</f>
        <v>L.Yen</v>
      </c>
      <c r="R3" s="3296"/>
      <c r="S3" s="3360"/>
      <c r="T3" s="3360"/>
    </row>
    <row r="4" spans="1:20" s="62" customFormat="1" ht="41.25" customHeight="1">
      <c r="A4" s="3331" t="s">
        <v>7</v>
      </c>
      <c r="B4" s="3083" t="s">
        <v>76</v>
      </c>
      <c r="C4" s="3084"/>
      <c r="D4" s="3084"/>
      <c r="E4" s="3085"/>
      <c r="F4" s="3278" t="s">
        <v>124</v>
      </c>
      <c r="G4" s="3059" t="s">
        <v>1310</v>
      </c>
      <c r="H4" s="3109" t="s">
        <v>1302</v>
      </c>
      <c r="I4" s="3061">
        <v>0.80208333333333337</v>
      </c>
      <c r="J4" s="3062"/>
      <c r="K4" s="3062"/>
      <c r="L4" s="3063"/>
      <c r="M4" s="3364">
        <v>0.96875</v>
      </c>
      <c r="N4" s="3062"/>
      <c r="O4" s="3062"/>
      <c r="P4" s="3063"/>
      <c r="Q4" s="3117">
        <v>0.13541666666666666</v>
      </c>
      <c r="R4" s="3062"/>
      <c r="S4" s="3062"/>
      <c r="T4" s="3063"/>
    </row>
    <row r="5" spans="1:20" s="62" customFormat="1" ht="35.25" customHeight="1">
      <c r="A5" s="3331"/>
      <c r="B5" s="3086"/>
      <c r="C5" s="3087"/>
      <c r="D5" s="3087"/>
      <c r="E5" s="3088"/>
      <c r="F5" s="3279"/>
      <c r="G5" s="3060"/>
      <c r="H5" s="3110"/>
      <c r="I5" s="2240" t="s">
        <v>129</v>
      </c>
      <c r="J5" s="3067" t="s">
        <v>1</v>
      </c>
      <c r="K5" s="3068"/>
      <c r="L5" s="3069"/>
      <c r="M5" s="53" t="s">
        <v>129</v>
      </c>
      <c r="N5" s="3067" t="s">
        <v>1</v>
      </c>
      <c r="O5" s="3068"/>
      <c r="P5" s="3069"/>
      <c r="Q5" s="53" t="s">
        <v>129</v>
      </c>
      <c r="R5" s="3067" t="s">
        <v>1</v>
      </c>
      <c r="S5" s="3068"/>
      <c r="T5" s="3069"/>
    </row>
    <row r="6" spans="1:20" ht="36.75" customHeight="1">
      <c r="A6" s="1461">
        <v>1</v>
      </c>
      <c r="B6" s="3348" t="s">
        <v>122</v>
      </c>
      <c r="C6" s="3349"/>
      <c r="D6" s="3346" t="s">
        <v>116</v>
      </c>
      <c r="E6" s="3347"/>
      <c r="F6" s="543" t="s">
        <v>4</v>
      </c>
      <c r="G6" s="898" t="str">
        <f>'XM.GUI MAIL'!$E$99</f>
        <v>5~6</v>
      </c>
      <c r="H6" s="2222" t="str">
        <f>'XM.GUI MAIL'!$F$99</f>
        <v>(5.5± 0.5)</v>
      </c>
      <c r="I6" s="2231">
        <f>'XM.GUI MAIL'!AD99</f>
        <v>5.7200000000000006</v>
      </c>
      <c r="J6" s="817" t="s">
        <v>8</v>
      </c>
      <c r="K6" s="818">
        <f>'XM.GUI MAIL'!AG99</f>
        <v>0</v>
      </c>
      <c r="L6" s="67" t="s">
        <v>9</v>
      </c>
      <c r="M6" s="54">
        <f>'XM.GUI MAIL'!AK99</f>
        <v>5.7200000000000006</v>
      </c>
      <c r="N6" s="817" t="s">
        <v>8</v>
      </c>
      <c r="O6" s="818">
        <f>'XM.GUI MAIL'!AN99</f>
        <v>0</v>
      </c>
      <c r="P6" s="67" t="s">
        <v>9</v>
      </c>
      <c r="Q6" s="54">
        <f>'XM.GUI MAIL'!AR99</f>
        <v>5.59</v>
      </c>
      <c r="R6" s="63" t="s">
        <v>8</v>
      </c>
      <c r="S6" s="818">
        <f>'XM.GUI MAIL'!AU99</f>
        <v>0</v>
      </c>
      <c r="T6" s="65" t="s">
        <v>9</v>
      </c>
    </row>
    <row r="7" spans="1:20" ht="36.75" customHeight="1">
      <c r="A7" s="1461">
        <v>2</v>
      </c>
      <c r="B7" s="3350"/>
      <c r="C7" s="3351"/>
      <c r="D7" s="3346" t="s">
        <v>100</v>
      </c>
      <c r="E7" s="3347"/>
      <c r="F7" s="543" t="s">
        <v>4</v>
      </c>
      <c r="G7" s="898" t="str">
        <f>'XM.GUI MAIL'!$E$100</f>
        <v>130~140</v>
      </c>
      <c r="H7" s="2222" t="str">
        <f>'XM.GUI MAIL'!$F$100</f>
        <v>(135 ± 5)</v>
      </c>
      <c r="I7" s="2231">
        <f>'XM.GUI MAIL'!AD100</f>
        <v>135.19999999999999</v>
      </c>
      <c r="J7" s="817" t="s">
        <v>8</v>
      </c>
      <c r="K7" s="818">
        <f>'XM.GUI MAIL'!AG100</f>
        <v>0</v>
      </c>
      <c r="L7" s="67" t="s">
        <v>990</v>
      </c>
      <c r="M7" s="54">
        <f>'XM.GUI MAIL'!AK100</f>
        <v>134.4</v>
      </c>
      <c r="N7" s="817" t="s">
        <v>8</v>
      </c>
      <c r="O7" s="818">
        <f>'XM.GUI MAIL'!AN100</f>
        <v>4.7999999999999545</v>
      </c>
      <c r="P7" s="67" t="s">
        <v>990</v>
      </c>
      <c r="Q7" s="54">
        <f>'XM.GUI MAIL'!AR100</f>
        <v>132.80000000000001</v>
      </c>
      <c r="R7" s="63" t="s">
        <v>8</v>
      </c>
      <c r="S7" s="818">
        <f>'XM.GUI MAIL'!AU100</f>
        <v>17.599999999999909</v>
      </c>
      <c r="T7" s="65" t="s">
        <v>990</v>
      </c>
    </row>
    <row r="8" spans="1:20" ht="36.75" customHeight="1">
      <c r="A8" s="1461">
        <v>3</v>
      </c>
      <c r="B8" s="3337" t="s">
        <v>123</v>
      </c>
      <c r="C8" s="3339"/>
      <c r="D8" s="3346" t="s">
        <v>5</v>
      </c>
      <c r="E8" s="3347"/>
      <c r="F8" s="77" t="s">
        <v>5</v>
      </c>
      <c r="G8" s="898" t="str">
        <f>'XM.GUI MAIL'!$E$101</f>
        <v>3.0-4.5</v>
      </c>
      <c r="H8" s="2222" t="str">
        <f>'XM.GUI MAIL'!$F$101</f>
        <v>(4.3±0.2)</v>
      </c>
      <c r="I8" s="2245">
        <f>'XM.GUI MAIL'!AD101</f>
        <v>3.61</v>
      </c>
      <c r="J8" s="817" t="s">
        <v>8</v>
      </c>
      <c r="K8" s="818"/>
      <c r="L8" s="67"/>
      <c r="M8" s="60">
        <f>'XM.GUI MAIL'!AK101</f>
        <v>3.66</v>
      </c>
      <c r="N8" s="817" t="s">
        <v>8</v>
      </c>
      <c r="O8" s="818">
        <f>'XM.GUI MAIL'!AN101</f>
        <v>0</v>
      </c>
      <c r="P8" s="67"/>
      <c r="Q8" s="60">
        <f>'XM.GUI MAIL'!AR101</f>
        <v>3.66</v>
      </c>
      <c r="R8" s="63" t="s">
        <v>8</v>
      </c>
      <c r="S8" s="818"/>
      <c r="T8" s="65"/>
    </row>
    <row r="9" spans="1:20" ht="41.25" customHeight="1">
      <c r="A9" s="1601"/>
      <c r="B9" s="3352" t="s">
        <v>137</v>
      </c>
      <c r="C9" s="3352"/>
      <c r="D9" s="3352"/>
      <c r="E9" s="3352"/>
      <c r="F9" s="3352"/>
      <c r="G9" s="3352"/>
      <c r="H9" s="3352"/>
      <c r="I9" s="3352"/>
      <c r="J9" s="3352"/>
      <c r="K9" s="3352"/>
      <c r="L9" s="3352"/>
      <c r="M9" s="3352"/>
      <c r="N9" s="3352"/>
      <c r="O9" s="3352"/>
      <c r="P9" s="3352"/>
      <c r="Q9" s="3352"/>
      <c r="R9" s="3352"/>
      <c r="S9" s="3352"/>
      <c r="T9" s="3352"/>
    </row>
    <row r="10" spans="1:20" ht="47.25" customHeight="1">
      <c r="A10" s="1601" t="s">
        <v>7</v>
      </c>
      <c r="B10" s="3195" t="s">
        <v>21</v>
      </c>
      <c r="C10" s="3196"/>
      <c r="D10" s="3196"/>
      <c r="E10" s="3197"/>
      <c r="F10" s="75" t="s">
        <v>22</v>
      </c>
      <c r="G10" s="978" t="s">
        <v>1310</v>
      </c>
      <c r="H10" s="2224" t="s">
        <v>1302</v>
      </c>
      <c r="I10" s="3338" t="s">
        <v>24</v>
      </c>
      <c r="J10" s="3339"/>
      <c r="K10" s="3337" t="s">
        <v>25</v>
      </c>
      <c r="L10" s="3339"/>
      <c r="M10" s="3337" t="s">
        <v>24</v>
      </c>
      <c r="N10" s="3339"/>
      <c r="O10" s="3337" t="s">
        <v>25</v>
      </c>
      <c r="P10" s="3339"/>
      <c r="Q10" s="3337" t="s">
        <v>24</v>
      </c>
      <c r="R10" s="3339"/>
      <c r="S10" s="3337" t="s">
        <v>25</v>
      </c>
      <c r="T10" s="3339"/>
    </row>
    <row r="11" spans="1:20" ht="43.5" customHeight="1">
      <c r="A11" s="77">
        <v>4</v>
      </c>
      <c r="B11" s="3337" t="s">
        <v>117</v>
      </c>
      <c r="C11" s="3338"/>
      <c r="D11" s="3338"/>
      <c r="E11" s="3339"/>
      <c r="F11" s="11" t="s">
        <v>26</v>
      </c>
      <c r="G11" s="1012" t="str">
        <f>'XM.GUI MAIL'!$E$117</f>
        <v>24~28</v>
      </c>
      <c r="H11" s="2226" t="str">
        <f>'XM.GUI MAIL'!$F$117</f>
        <v>(26±2)</v>
      </c>
      <c r="I11" s="3230">
        <f>'XM.GUI MAIL'!AD117</f>
        <v>24</v>
      </c>
      <c r="J11" s="3230"/>
      <c r="K11" s="3198">
        <f>'XM.GUI MAIL'!AG117</f>
        <v>23</v>
      </c>
      <c r="L11" s="3230"/>
      <c r="M11" s="3198">
        <f>'XM.GUI MAIL'!AK117</f>
        <v>25</v>
      </c>
      <c r="N11" s="3230"/>
      <c r="O11" s="3198">
        <f>'XM.GUI MAIL'!AN117</f>
        <v>24</v>
      </c>
      <c r="P11" s="3230"/>
      <c r="Q11" s="3198">
        <f>'XM.GUI MAIL'!AR117</f>
        <v>25</v>
      </c>
      <c r="R11" s="3230"/>
      <c r="S11" s="3166">
        <f>'XM.GUI MAIL'!AU117</f>
        <v>24</v>
      </c>
      <c r="T11" s="3166"/>
    </row>
    <row r="12" spans="1:20" ht="43.5" customHeight="1">
      <c r="A12" s="77">
        <v>5</v>
      </c>
      <c r="B12" s="3337" t="s">
        <v>121</v>
      </c>
      <c r="C12" s="3338"/>
      <c r="D12" s="3338"/>
      <c r="E12" s="3339"/>
      <c r="F12" s="11" t="s">
        <v>26</v>
      </c>
      <c r="G12" s="1012" t="str">
        <f>'XM.GUI MAIL'!$E$118</f>
        <v>20~30</v>
      </c>
      <c r="H12" s="2226" t="str">
        <f>'XM.GUI MAIL'!$F$118</f>
        <v>(25±5)</v>
      </c>
      <c r="I12" s="3230">
        <f>'XM.GUI MAIL'!AD118</f>
        <v>30</v>
      </c>
      <c r="J12" s="3230"/>
      <c r="K12" s="3198">
        <f>'XM.GUI MAIL'!AG118</f>
        <v>29</v>
      </c>
      <c r="L12" s="3230"/>
      <c r="M12" s="3198">
        <f>'XM.GUI MAIL'!AK118</f>
        <v>30</v>
      </c>
      <c r="N12" s="3230"/>
      <c r="O12" s="3198">
        <f>'XM.GUI MAIL'!AN118</f>
        <v>29</v>
      </c>
      <c r="P12" s="3230"/>
      <c r="Q12" s="3198">
        <f>'XM.GUI MAIL'!AR118</f>
        <v>30</v>
      </c>
      <c r="R12" s="3230"/>
      <c r="S12" s="3166">
        <f>'XM.GUI MAIL'!AU118</f>
        <v>29</v>
      </c>
      <c r="T12" s="3166"/>
    </row>
    <row r="13" spans="1:20" ht="21" customHeight="1">
      <c r="B13" s="8"/>
      <c r="C13" s="8"/>
      <c r="D13" s="8"/>
      <c r="E13" s="8"/>
      <c r="F13" s="8"/>
      <c r="G13" s="8"/>
      <c r="H13" s="8"/>
      <c r="I13" s="8"/>
      <c r="J13" s="8"/>
      <c r="K13" s="8"/>
      <c r="L13" s="8"/>
      <c r="M13" s="8"/>
      <c r="N13" s="8"/>
      <c r="O13" s="8"/>
      <c r="P13" s="8"/>
      <c r="Q13" s="8"/>
      <c r="R13" s="8"/>
      <c r="S13" s="8"/>
      <c r="T13" s="8"/>
    </row>
    <row r="14" spans="1:20" ht="18" customHeight="1">
      <c r="A14" s="2071"/>
      <c r="B14" s="2072"/>
      <c r="C14" s="2072"/>
      <c r="D14" s="2072"/>
      <c r="E14" s="2072"/>
      <c r="F14" s="2073"/>
      <c r="G14" s="2074"/>
      <c r="H14" s="2074"/>
      <c r="I14" s="2072"/>
      <c r="J14" s="2072"/>
      <c r="K14" s="2072"/>
      <c r="L14" s="2072"/>
      <c r="M14" s="2072"/>
      <c r="N14" s="2072"/>
      <c r="O14" s="2072"/>
      <c r="P14" s="2072"/>
      <c r="Q14" s="2072"/>
      <c r="R14" s="2072"/>
      <c r="S14" s="2072"/>
      <c r="T14" s="2072"/>
    </row>
    <row r="15" spans="1:20" ht="48" customHeight="1">
      <c r="A15" s="3357" t="s">
        <v>1452</v>
      </c>
      <c r="B15" s="3357"/>
      <c r="C15" s="3357"/>
      <c r="D15" s="3357"/>
      <c r="E15" s="3357"/>
      <c r="F15" s="3357"/>
      <c r="G15" s="3357"/>
      <c r="H15" s="3357"/>
      <c r="I15" s="3357"/>
      <c r="J15" s="3357"/>
      <c r="K15" s="3357"/>
      <c r="L15" s="3357"/>
      <c r="M15" s="3357"/>
      <c r="N15" s="3357"/>
      <c r="O15" s="3357"/>
      <c r="P15" s="3357"/>
      <c r="Q15" s="3357"/>
      <c r="R15" s="3357"/>
      <c r="S15" s="3357"/>
      <c r="T15" s="3357"/>
    </row>
    <row r="16" spans="1:20" ht="24" customHeight="1"/>
    <row r="17" spans="1:20" ht="36" customHeight="1">
      <c r="A17" s="3331" t="s">
        <v>7</v>
      </c>
      <c r="B17" s="3083" t="s">
        <v>76</v>
      </c>
      <c r="C17" s="3084"/>
      <c r="D17" s="3084"/>
      <c r="E17" s="3085"/>
      <c r="F17" s="3278" t="s">
        <v>124</v>
      </c>
      <c r="G17" s="3059" t="s">
        <v>1310</v>
      </c>
      <c r="H17" s="3353" t="s">
        <v>1302</v>
      </c>
      <c r="I17" s="3117">
        <v>0.80208333333333337</v>
      </c>
      <c r="J17" s="3062"/>
      <c r="K17" s="3062"/>
      <c r="L17" s="3063"/>
      <c r="M17" s="3117">
        <v>0.96875</v>
      </c>
      <c r="N17" s="3062"/>
      <c r="O17" s="3062"/>
      <c r="P17" s="3063"/>
      <c r="Q17" s="3117">
        <v>0.13541666666666666</v>
      </c>
      <c r="R17" s="3062"/>
      <c r="S17" s="3062"/>
      <c r="T17" s="3063"/>
    </row>
    <row r="18" spans="1:20" ht="60.75" customHeight="1">
      <c r="A18" s="3331"/>
      <c r="B18" s="3086"/>
      <c r="C18" s="3087"/>
      <c r="D18" s="3087"/>
      <c r="E18" s="3088"/>
      <c r="F18" s="3279"/>
      <c r="G18" s="3060"/>
      <c r="H18" s="3354"/>
      <c r="I18" s="3362" t="s">
        <v>1448</v>
      </c>
      <c r="J18" s="3363"/>
      <c r="K18" s="3355" t="s">
        <v>1370</v>
      </c>
      <c r="L18" s="3356"/>
      <c r="M18" s="3362" t="s">
        <v>1448</v>
      </c>
      <c r="N18" s="3363"/>
      <c r="O18" s="3355" t="s">
        <v>1370</v>
      </c>
      <c r="P18" s="3356"/>
      <c r="Q18" s="3362" t="s">
        <v>1448</v>
      </c>
      <c r="R18" s="3363"/>
      <c r="S18" s="3355" t="s">
        <v>1370</v>
      </c>
      <c r="T18" s="3356"/>
    </row>
    <row r="19" spans="1:20" ht="54" customHeight="1">
      <c r="A19" s="1461">
        <v>1</v>
      </c>
      <c r="B19" s="3348" t="s">
        <v>122</v>
      </c>
      <c r="C19" s="3349"/>
      <c r="D19" s="3346" t="s">
        <v>116</v>
      </c>
      <c r="E19" s="3347"/>
      <c r="F19" s="543" t="s">
        <v>4</v>
      </c>
      <c r="G19" s="898" t="str">
        <f>'XM.GUI MAIL'!$E$99</f>
        <v>5~6</v>
      </c>
      <c r="H19" s="898" t="str">
        <f>'XM.GUI MAIL'!$F$99</f>
        <v>(5.5± 0.5)</v>
      </c>
      <c r="I19" s="2032"/>
      <c r="J19" s="1815" t="s">
        <v>9</v>
      </c>
      <c r="K19" s="1816"/>
      <c r="L19" s="1817" t="s">
        <v>4</v>
      </c>
      <c r="M19" s="2032"/>
      <c r="N19" s="1815" t="s">
        <v>9</v>
      </c>
      <c r="O19" s="1816"/>
      <c r="P19" s="1817" t="s">
        <v>4</v>
      </c>
      <c r="Q19" s="2032"/>
      <c r="R19" s="1815" t="s">
        <v>9</v>
      </c>
      <c r="S19" s="1816"/>
      <c r="T19" s="1817" t="s">
        <v>4</v>
      </c>
    </row>
    <row r="20" spans="1:20" ht="54" customHeight="1">
      <c r="A20" s="1461">
        <v>2</v>
      </c>
      <c r="B20" s="3350"/>
      <c r="C20" s="3351"/>
      <c r="D20" s="3346" t="s">
        <v>100</v>
      </c>
      <c r="E20" s="3347"/>
      <c r="F20" s="543" t="s">
        <v>4</v>
      </c>
      <c r="G20" s="898" t="str">
        <f>'XM.GUI MAIL'!$E$100</f>
        <v>130~140</v>
      </c>
      <c r="H20" s="898" t="str">
        <f>'XM.GUI MAIL'!$F$100</f>
        <v>(135 ± 5)</v>
      </c>
      <c r="I20" s="2032"/>
      <c r="J20" s="1815" t="s">
        <v>986</v>
      </c>
      <c r="K20" s="1816"/>
      <c r="L20" s="1817" t="s">
        <v>4</v>
      </c>
      <c r="M20" s="2032"/>
      <c r="N20" s="1815" t="s">
        <v>986</v>
      </c>
      <c r="O20" s="1816"/>
      <c r="P20" s="1817" t="s">
        <v>4</v>
      </c>
      <c r="Q20" s="2032">
        <v>25</v>
      </c>
      <c r="R20" s="1815" t="s">
        <v>986</v>
      </c>
      <c r="S20" s="1816">
        <v>133.19999999999999</v>
      </c>
      <c r="T20" s="1817" t="s">
        <v>4</v>
      </c>
    </row>
    <row r="21" spans="1:20" ht="54" customHeight="1">
      <c r="A21" s="1461">
        <v>3</v>
      </c>
      <c r="B21" s="3337" t="s">
        <v>123</v>
      </c>
      <c r="C21" s="3339"/>
      <c r="D21" s="3346" t="s">
        <v>5</v>
      </c>
      <c r="E21" s="3347"/>
      <c r="F21" s="77" t="s">
        <v>5</v>
      </c>
      <c r="G21" s="898" t="str">
        <f>'XM.GUI MAIL'!$E$101</f>
        <v>3.0-4.5</v>
      </c>
      <c r="H21" s="898" t="str">
        <f>'XM.GUI MAIL'!$F$101</f>
        <v>(4.3±0.2)</v>
      </c>
      <c r="I21" s="2032"/>
      <c r="J21" s="1816"/>
      <c r="K21" s="1816"/>
      <c r="L21" s="1813" t="s">
        <v>5</v>
      </c>
      <c r="M21" s="2032"/>
      <c r="N21" s="1816"/>
      <c r="O21" s="1816"/>
      <c r="P21" s="1813" t="s">
        <v>5</v>
      </c>
      <c r="Q21" s="2032"/>
      <c r="R21" s="1816"/>
      <c r="S21" s="1816"/>
      <c r="T21" s="1813" t="s">
        <v>5</v>
      </c>
    </row>
  </sheetData>
  <sheetProtection selectLockedCells="1"/>
  <mergeCells count="66">
    <mergeCell ref="S12:T12"/>
    <mergeCell ref="M12:N12"/>
    <mergeCell ref="O12:P12"/>
    <mergeCell ref="B12:E12"/>
    <mergeCell ref="I12:J12"/>
    <mergeCell ref="K12:L12"/>
    <mergeCell ref="Q12:R12"/>
    <mergeCell ref="B11:E11"/>
    <mergeCell ref="I11:J11"/>
    <mergeCell ref="K11:L11"/>
    <mergeCell ref="Q11:R11"/>
    <mergeCell ref="S11:T11"/>
    <mergeCell ref="M11:N11"/>
    <mergeCell ref="O11:P11"/>
    <mergeCell ref="G3:H3"/>
    <mergeCell ref="B3:C3"/>
    <mergeCell ref="A2:P2"/>
    <mergeCell ref="D7:E7"/>
    <mergeCell ref="B8:C8"/>
    <mergeCell ref="D8:E8"/>
    <mergeCell ref="G4:G5"/>
    <mergeCell ref="H4:H5"/>
    <mergeCell ref="I4:L4"/>
    <mergeCell ref="J5:L5"/>
    <mergeCell ref="M10:N10"/>
    <mergeCell ref="O10:P10"/>
    <mergeCell ref="Q2:R2"/>
    <mergeCell ref="S2:T2"/>
    <mergeCell ref="Q3:R3"/>
    <mergeCell ref="S3:T3"/>
    <mergeCell ref="Q4:T4"/>
    <mergeCell ref="R5:T5"/>
    <mergeCell ref="M4:P4"/>
    <mergeCell ref="N5:P5"/>
    <mergeCell ref="B21:C21"/>
    <mergeCell ref="D21:E21"/>
    <mergeCell ref="A4:A5"/>
    <mergeCell ref="B4:E5"/>
    <mergeCell ref="B9:T9"/>
    <mergeCell ref="B10:E10"/>
    <mergeCell ref="I10:J10"/>
    <mergeCell ref="K10:L10"/>
    <mergeCell ref="Q10:R10"/>
    <mergeCell ref="S10:T10"/>
    <mergeCell ref="B6:C7"/>
    <mergeCell ref="D6:E6"/>
    <mergeCell ref="F4:F5"/>
    <mergeCell ref="K18:L18"/>
    <mergeCell ref="Q18:R18"/>
    <mergeCell ref="S18:T18"/>
    <mergeCell ref="M17:P17"/>
    <mergeCell ref="M18:N18"/>
    <mergeCell ref="O18:P18"/>
    <mergeCell ref="A1:P1"/>
    <mergeCell ref="D20:E20"/>
    <mergeCell ref="B19:C20"/>
    <mergeCell ref="D19:E19"/>
    <mergeCell ref="A15:T15"/>
    <mergeCell ref="A17:A18"/>
    <mergeCell ref="B17:E18"/>
    <mergeCell ref="F17:F18"/>
    <mergeCell ref="G17:G18"/>
    <mergeCell ref="H17:H18"/>
    <mergeCell ref="I17:L17"/>
    <mergeCell ref="Q17:T17"/>
    <mergeCell ref="I18:J18"/>
  </mergeCells>
  <conditionalFormatting sqref="I6 Q6 M6">
    <cfRule type="expression" dxfId="1503" priority="59" stopIfTrue="1">
      <formula>I6&gt;6</formula>
    </cfRule>
    <cfRule type="expression" dxfId="1502" priority="60" stopIfTrue="1">
      <formula>I6&lt;5</formula>
    </cfRule>
  </conditionalFormatting>
  <conditionalFormatting sqref="I7 Q7 M7">
    <cfRule type="expression" dxfId="1501" priority="57" stopIfTrue="1">
      <formula>I7&gt;140</formula>
    </cfRule>
    <cfRule type="expression" dxfId="1500" priority="58" stopIfTrue="1">
      <formula>I7&lt;130</formula>
    </cfRule>
  </conditionalFormatting>
  <conditionalFormatting sqref="I8 Q8 M8">
    <cfRule type="expression" dxfId="1499" priority="55" stopIfTrue="1">
      <formula>I8&gt;4.5</formula>
    </cfRule>
    <cfRule type="expression" dxfId="1498" priority="56" stopIfTrue="1">
      <formula>I8&lt;3</formula>
    </cfRule>
  </conditionalFormatting>
  <conditionalFormatting sqref="I12 K12 Q12 S12">
    <cfRule type="expression" dxfId="1497" priority="53">
      <formula>I12&lt;20</formula>
    </cfRule>
    <cfRule type="expression" dxfId="1496" priority="54">
      <formula>I12&gt;30</formula>
    </cfRule>
  </conditionalFormatting>
  <conditionalFormatting sqref="I11 K11 Q11 S11 M11 O11">
    <cfRule type="expression" dxfId="1495" priority="51">
      <formula>I11&lt;24</formula>
    </cfRule>
    <cfRule type="expression" dxfId="1494" priority="52">
      <formula>I11&gt;28</formula>
    </cfRule>
  </conditionalFormatting>
  <conditionalFormatting sqref="K12 Q12 S12 I12">
    <cfRule type="expression" dxfId="1493" priority="41">
      <formula>I12&lt;20</formula>
    </cfRule>
    <cfRule type="expression" dxfId="1492" priority="42">
      <formula>I12&gt;30</formula>
    </cfRule>
  </conditionalFormatting>
  <conditionalFormatting sqref="M12 O12">
    <cfRule type="expression" dxfId="1491" priority="11">
      <formula>M12&lt;20</formula>
    </cfRule>
    <cfRule type="expression" dxfId="1490" priority="12">
      <formula>M12&gt;30</formula>
    </cfRule>
  </conditionalFormatting>
  <conditionalFormatting sqref="O12 M12">
    <cfRule type="expression" dxfId="1489" priority="5">
      <formula>M12&lt;20</formula>
    </cfRule>
    <cfRule type="expression" dxfId="1488" priority="6">
      <formula>M12&gt;30</formula>
    </cfRule>
  </conditionalFormatting>
  <pageMargins left="0.52" right="0" top="0.39"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5.xml><?xml version="1.0" encoding="utf-8"?>
<worksheet xmlns="http://schemas.openxmlformats.org/spreadsheetml/2006/main" xmlns:r="http://schemas.openxmlformats.org/officeDocument/2006/relationships">
  <sheetPr codeName="Sheet14">
    <tabColor rgb="FFFFC000"/>
  </sheetPr>
  <dimension ref="A1:K226"/>
  <sheetViews>
    <sheetView workbookViewId="0">
      <selection activeCell="C5" sqref="A5:XFD228"/>
    </sheetView>
  </sheetViews>
  <sheetFormatPr defaultColWidth="16" defaultRowHeight="21.75" customHeight="1"/>
  <cols>
    <col min="1" max="1" width="7.875" customWidth="1"/>
    <col min="2" max="2" width="18.5" customWidth="1"/>
    <col min="3" max="3" width="19" customWidth="1"/>
    <col min="4" max="9" width="9.625" customWidth="1"/>
  </cols>
  <sheetData>
    <row r="1" spans="1:9" ht="30" customHeight="1">
      <c r="A1" s="2282" t="str">
        <f>MENU!$AC$9</f>
        <v>Thứ 4,</v>
      </c>
      <c r="B1" s="2034" t="str">
        <f>MENU!$AD$9</f>
        <v>2024/05/22</v>
      </c>
      <c r="C1" s="1997"/>
      <c r="D1" s="1997"/>
      <c r="E1" s="1997"/>
    </row>
    <row r="2" spans="1:9" ht="26.25" customHeight="1"/>
    <row r="3" spans="1:9" ht="36" customHeight="1">
      <c r="A3" s="157"/>
      <c r="B3" s="250" t="s">
        <v>215</v>
      </c>
      <c r="C3" s="158"/>
      <c r="D3" s="142" t="s">
        <v>155</v>
      </c>
      <c r="E3" s="143"/>
      <c r="F3" s="143"/>
      <c r="G3" s="143"/>
      <c r="H3" s="143"/>
      <c r="I3" s="144"/>
    </row>
    <row r="4" spans="1:9" ht="21.75" customHeight="1" thickBot="1">
      <c r="A4" s="178"/>
      <c r="B4" s="158"/>
      <c r="C4" s="179"/>
      <c r="D4" s="153">
        <v>0.25</v>
      </c>
      <c r="E4" s="153">
        <v>0.41666666666666669</v>
      </c>
      <c r="F4" s="153">
        <v>0.58333333333333337</v>
      </c>
      <c r="G4" s="153">
        <v>0.75</v>
      </c>
      <c r="H4" s="153">
        <v>0.91666666666666663</v>
      </c>
      <c r="I4" s="154">
        <v>8.3333333333333329E-2</v>
      </c>
    </row>
    <row r="5" spans="1:9" ht="27" customHeight="1">
      <c r="A5" s="3394">
        <v>1</v>
      </c>
      <c r="B5" s="3396" t="s">
        <v>131</v>
      </c>
      <c r="C5" s="177" t="s">
        <v>100</v>
      </c>
      <c r="D5" s="181">
        <f>'1. XL-1E kh'!I6</f>
        <v>0</v>
      </c>
      <c r="E5" s="182">
        <f>'1. XL-1E kh'!Q6</f>
        <v>0</v>
      </c>
      <c r="F5" s="182">
        <f>'1. XL-1E kh'!Y6</f>
        <v>0</v>
      </c>
      <c r="G5" s="182">
        <f>'1. XL-1E kh'!I46</f>
        <v>0</v>
      </c>
      <c r="H5" s="182">
        <f>'1. XL-1E kh'!Q46</f>
        <v>22</v>
      </c>
      <c r="I5" s="183">
        <f>'1. XL-1E kh'!Y46</f>
        <v>29.2</v>
      </c>
    </row>
    <row r="6" spans="1:9" ht="21.75" hidden="1" customHeight="1">
      <c r="A6" s="3395"/>
      <c r="B6" s="3397"/>
      <c r="C6" s="180" t="s">
        <v>128</v>
      </c>
      <c r="D6" s="184">
        <f>'1. XL-1E kh'!I8</f>
        <v>0</v>
      </c>
      <c r="E6" s="135">
        <f>'1. XL-1E kh'!Q8</f>
        <v>0</v>
      </c>
      <c r="F6" s="135">
        <f>'1. XL-1E kh'!Y8</f>
        <v>0</v>
      </c>
      <c r="G6" s="135">
        <f>'1. XL-1E kh'!I48</f>
        <v>0</v>
      </c>
      <c r="H6" s="135">
        <f>'1. XL-1E kh'!Q48</f>
        <v>0</v>
      </c>
      <c r="I6" s="185">
        <f>'1. XL-1E kh'!Y48</f>
        <v>0</v>
      </c>
    </row>
    <row r="7" spans="1:9" ht="21.75" hidden="1" customHeight="1">
      <c r="A7" s="3265">
        <v>2</v>
      </c>
      <c r="B7" s="3398" t="s">
        <v>145</v>
      </c>
      <c r="C7" s="160" t="s">
        <v>100</v>
      </c>
      <c r="D7" s="186">
        <f>'1. XL-1E kh'!I9</f>
        <v>0</v>
      </c>
      <c r="E7" s="134">
        <f>'1. XL-1E kh'!Q9</f>
        <v>0</v>
      </c>
      <c r="F7" s="134">
        <f>'1. XL-1E kh'!Y9</f>
        <v>0</v>
      </c>
      <c r="G7" s="134">
        <f>'1. XL-1E kh'!I49</f>
        <v>0</v>
      </c>
      <c r="H7" s="134">
        <f>'1. XL-1E kh'!Q49</f>
        <v>23.2</v>
      </c>
      <c r="I7" s="187">
        <f>'1. XL-1E kh'!Y49</f>
        <v>28.8</v>
      </c>
    </row>
    <row r="8" spans="1:9" ht="21.75" hidden="1" customHeight="1">
      <c r="A8" s="3259"/>
      <c r="B8" s="3385"/>
      <c r="C8" s="137" t="s">
        <v>128</v>
      </c>
      <c r="D8" s="186">
        <f>'1. XL-1E kh'!I11</f>
        <v>0</v>
      </c>
      <c r="E8" s="134">
        <f>'1. XL-1E kh'!Q11</f>
        <v>0</v>
      </c>
      <c r="F8" s="134">
        <f>'1. XL-1E kh'!Y11</f>
        <v>0</v>
      </c>
      <c r="G8" s="134">
        <f>'1. XL-1E kh'!I51</f>
        <v>0</v>
      </c>
      <c r="H8" s="134">
        <f>'1. XL-1E kh'!Q51</f>
        <v>0</v>
      </c>
      <c r="I8" s="187">
        <f>'1. XL-1E kh'!Y51</f>
        <v>0</v>
      </c>
    </row>
    <row r="9" spans="1:9" ht="21.75" hidden="1" customHeight="1">
      <c r="A9" s="3258">
        <v>3</v>
      </c>
      <c r="B9" s="3384" t="s">
        <v>143</v>
      </c>
      <c r="C9" s="136" t="s">
        <v>100</v>
      </c>
      <c r="D9" s="186">
        <f>'1. XL-1E kh'!I12</f>
        <v>0</v>
      </c>
      <c r="E9" s="134">
        <f>'1. XL-1E kh'!Q12</f>
        <v>0</v>
      </c>
      <c r="F9" s="134">
        <f>'1. XL-1E kh'!Y12</f>
        <v>0</v>
      </c>
      <c r="G9" s="134">
        <f>'1. XL-1E kh'!I52</f>
        <v>0</v>
      </c>
      <c r="H9" s="134">
        <f>'1. XL-1E kh'!Q52</f>
        <v>70.400000000000006</v>
      </c>
      <c r="I9" s="187">
        <f>'1. XL-1E kh'!Y52</f>
        <v>71.2</v>
      </c>
    </row>
    <row r="10" spans="1:9" ht="21.75" hidden="1" customHeight="1">
      <c r="A10" s="3259"/>
      <c r="B10" s="3385"/>
      <c r="C10" s="137" t="s">
        <v>128</v>
      </c>
      <c r="D10" s="186">
        <f>'1. XL-1E kh'!I13</f>
        <v>0</v>
      </c>
      <c r="E10" s="134">
        <f>'1. XL-1E kh'!Q13</f>
        <v>0</v>
      </c>
      <c r="F10" s="134">
        <f>'1. XL-1E kh'!Y13</f>
        <v>0</v>
      </c>
      <c r="G10" s="134">
        <f>'1. XL-1E kh'!I53</f>
        <v>0</v>
      </c>
      <c r="H10" s="134">
        <f>'1. XL-1E kh'!Q53</f>
        <v>0</v>
      </c>
      <c r="I10" s="187">
        <f>'1. XL-1E kh'!Y53</f>
        <v>0</v>
      </c>
    </row>
    <row r="11" spans="1:9" ht="21.75" hidden="1" customHeight="1">
      <c r="A11" s="3258">
        <v>4</v>
      </c>
      <c r="B11" s="3384" t="s">
        <v>144</v>
      </c>
      <c r="C11" s="136" t="s">
        <v>100</v>
      </c>
      <c r="D11" s="186">
        <f>'1. XL-1E kh'!I14</f>
        <v>0</v>
      </c>
      <c r="E11" s="134">
        <f>'1. XL-1E kh'!Q14</f>
        <v>0</v>
      </c>
      <c r="F11" s="134">
        <f>'1. XL-1E kh'!Y14</f>
        <v>0</v>
      </c>
      <c r="G11" s="134">
        <f>'1. XL-1E kh'!I54</f>
        <v>0</v>
      </c>
      <c r="H11" s="134">
        <f>'1. XL-1E kh'!Q54</f>
        <v>74</v>
      </c>
      <c r="I11" s="187">
        <f>'1. XL-1E kh'!Y54</f>
        <v>73.2</v>
      </c>
    </row>
    <row r="12" spans="1:9" ht="21.75" hidden="1" customHeight="1">
      <c r="A12" s="3259"/>
      <c r="B12" s="3385"/>
      <c r="C12" s="137" t="s">
        <v>128</v>
      </c>
      <c r="D12" s="186">
        <f>'1. XL-1E kh'!I15</f>
        <v>0</v>
      </c>
      <c r="E12" s="134">
        <f>'1. XL-1E kh'!Q15</f>
        <v>0</v>
      </c>
      <c r="F12" s="134">
        <f>'1. XL-1E kh'!Y15</f>
        <v>0</v>
      </c>
      <c r="G12" s="134">
        <f>'1. XL-1E kh'!I55</f>
        <v>0</v>
      </c>
      <c r="H12" s="134">
        <f>'1. XL-1E kh'!Q55</f>
        <v>0</v>
      </c>
      <c r="I12" s="187">
        <f>'1. XL-1E kh'!Y55</f>
        <v>0</v>
      </c>
    </row>
    <row r="13" spans="1:9" ht="21.75" hidden="1" customHeight="1">
      <c r="A13" s="3258">
        <v>5</v>
      </c>
      <c r="B13" s="3148" t="s">
        <v>95</v>
      </c>
      <c r="C13" s="109" t="s">
        <v>94</v>
      </c>
      <c r="D13" s="186">
        <f>'1. XL-1E kh'!I16</f>
        <v>0</v>
      </c>
      <c r="E13" s="134">
        <f>'1. XL-1E kh'!Q16</f>
        <v>0</v>
      </c>
      <c r="F13" s="134">
        <f>'1. XL-1E kh'!Y16</f>
        <v>0</v>
      </c>
      <c r="G13" s="134">
        <f>'1. XL-1E kh'!I56</f>
        <v>0</v>
      </c>
      <c r="H13" s="134">
        <f>'1. XL-1E kh'!Q56</f>
        <v>141.6</v>
      </c>
      <c r="I13" s="187">
        <f>'1. XL-1E kh'!Y56</f>
        <v>142.4</v>
      </c>
    </row>
    <row r="14" spans="1:9" ht="21.75" hidden="1" customHeight="1">
      <c r="A14" s="3259"/>
      <c r="B14" s="3149"/>
      <c r="C14" s="109" t="s">
        <v>57</v>
      </c>
      <c r="D14" s="186">
        <f>'1. XL-1E kh'!I17</f>
        <v>0</v>
      </c>
      <c r="E14" s="134">
        <f>'1. XL-1E kh'!Q17</f>
        <v>0</v>
      </c>
      <c r="F14" s="134">
        <f>'1. XL-1E kh'!Y17</f>
        <v>0</v>
      </c>
      <c r="G14" s="134">
        <f>'1. XL-1E kh'!I57</f>
        <v>0</v>
      </c>
      <c r="H14" s="134">
        <f>'1. XL-1E kh'!Q57</f>
        <v>11.57</v>
      </c>
      <c r="I14" s="187">
        <f>'1. XL-1E kh'!Y57</f>
        <v>11.440000000000001</v>
      </c>
    </row>
    <row r="15" spans="1:9" ht="21.75" hidden="1" customHeight="1">
      <c r="A15" s="3258">
        <v>6</v>
      </c>
      <c r="B15" s="3386" t="s">
        <v>96</v>
      </c>
      <c r="C15" s="3387"/>
      <c r="D15" s="186">
        <f>'1. XL-1E kh'!I18</f>
        <v>0</v>
      </c>
      <c r="E15" s="134">
        <f>'1. XL-1E kh'!Q18</f>
        <v>0</v>
      </c>
      <c r="F15" s="134">
        <f>'1. XL-1E kh'!Y18</f>
        <v>0</v>
      </c>
      <c r="G15" s="134">
        <f>'1. XL-1E kh'!I58</f>
        <v>0</v>
      </c>
      <c r="H15" s="134">
        <f>'1. XL-1E kh'!Q58</f>
        <v>16.978417266187048</v>
      </c>
      <c r="I15" s="187">
        <f>'1. XL-1E kh'!Y58</f>
        <v>16.546762589928058</v>
      </c>
    </row>
    <row r="16" spans="1:9" ht="21.75" hidden="1" customHeight="1">
      <c r="A16" s="3259"/>
      <c r="B16" s="3388"/>
      <c r="C16" s="3275"/>
      <c r="D16" s="186">
        <f>'1. XL-1E kh'!I19</f>
        <v>0</v>
      </c>
      <c r="E16" s="134">
        <f>'1. XL-1E kh'!Q19</f>
        <v>0</v>
      </c>
      <c r="F16" s="134">
        <f>'1. XL-1E kh'!Y19</f>
        <v>0</v>
      </c>
      <c r="G16" s="134">
        <f>'1. XL-1E kh'!I59</f>
        <v>0</v>
      </c>
      <c r="H16" s="134">
        <f>'1. XL-1E kh'!Q59</f>
        <v>1.48</v>
      </c>
      <c r="I16" s="187">
        <f>'1. XL-1E kh'!Y59</f>
        <v>1.64</v>
      </c>
    </row>
    <row r="17" spans="1:9" ht="21.75" hidden="1" customHeight="1">
      <c r="A17" s="103">
        <v>7</v>
      </c>
      <c r="B17" s="3122" t="s">
        <v>58</v>
      </c>
      <c r="C17" s="3383"/>
      <c r="D17" s="186">
        <f>'1. XL-1E kh'!I20</f>
        <v>0</v>
      </c>
      <c r="E17" s="134">
        <f>'1. XL-1E kh'!Q20</f>
        <v>0</v>
      </c>
      <c r="F17" s="134">
        <f>'1. XL-1E kh'!Y20</f>
        <v>0</v>
      </c>
      <c r="G17" s="134">
        <f>'1. XL-1E kh'!I60</f>
        <v>0</v>
      </c>
      <c r="H17" s="134">
        <f>'1. XL-1E kh'!Q60</f>
        <v>0.3878125</v>
      </c>
      <c r="I17" s="187">
        <f>'1. XL-1E kh'!Y60</f>
        <v>0.45624999999999999</v>
      </c>
    </row>
    <row r="18" spans="1:9" ht="21.75" hidden="1" customHeight="1">
      <c r="A18" s="103">
        <v>8</v>
      </c>
      <c r="B18" s="3122" t="s">
        <v>59</v>
      </c>
      <c r="C18" s="3383"/>
      <c r="D18" s="186">
        <f>'1. XL-1E kh'!I21</f>
        <v>0</v>
      </c>
      <c r="E18" s="134">
        <f>'1. XL-1E kh'!Q21</f>
        <v>0</v>
      </c>
      <c r="F18" s="134">
        <f>'1. XL-1E kh'!Y21</f>
        <v>0</v>
      </c>
      <c r="G18" s="134">
        <f>'1. XL-1E kh'!I61</f>
        <v>0</v>
      </c>
      <c r="H18" s="134">
        <f>'1. XL-1E kh'!Q61</f>
        <v>0</v>
      </c>
      <c r="I18" s="187">
        <f>'1. XL-1E kh'!Y61</f>
        <v>0</v>
      </c>
    </row>
    <row r="19" spans="1:9" ht="21.75" hidden="1" customHeight="1">
      <c r="A19" s="103">
        <v>9</v>
      </c>
      <c r="B19" s="3122" t="s">
        <v>60</v>
      </c>
      <c r="C19" s="3383"/>
      <c r="D19" s="186">
        <f>'1. XL-1E kh'!I22</f>
        <v>0</v>
      </c>
      <c r="E19" s="134">
        <f>'1. XL-1E kh'!Q22</f>
        <v>0</v>
      </c>
      <c r="F19" s="134">
        <f>'1. XL-1E kh'!Y22</f>
        <v>0</v>
      </c>
      <c r="G19" s="134">
        <f>'1. XL-1E kh'!I62</f>
        <v>0</v>
      </c>
      <c r="H19" s="134">
        <f>'1. XL-1E kh'!Q62</f>
        <v>0</v>
      </c>
      <c r="I19" s="187">
        <f>'1. XL-1E kh'!Y62</f>
        <v>0</v>
      </c>
    </row>
    <row r="20" spans="1:9" ht="21.75" hidden="1" customHeight="1">
      <c r="A20" s="103">
        <v>10</v>
      </c>
      <c r="B20" s="3122" t="s">
        <v>97</v>
      </c>
      <c r="C20" s="3383"/>
      <c r="D20" s="186">
        <f>'1. XL-1E kh'!I23</f>
        <v>0</v>
      </c>
      <c r="E20" s="134">
        <f>'1. XL-1E kh'!Q23</f>
        <v>0</v>
      </c>
      <c r="F20" s="134">
        <f>'1. XL-1E kh'!Y23</f>
        <v>0</v>
      </c>
      <c r="G20" s="134">
        <f>'1. XL-1E kh'!I63</f>
        <v>0</v>
      </c>
      <c r="H20" s="134" t="str">
        <f>'1. XL-1E kh'!Q63</f>
        <v>chưa pha</v>
      </c>
      <c r="I20" s="187">
        <f>'1. XL-1E kh'!Y63</f>
        <v>1.0331999999999999E-2</v>
      </c>
    </row>
    <row r="21" spans="1:9" ht="21.75" hidden="1" customHeight="1">
      <c r="A21" s="3389" t="s">
        <v>73</v>
      </c>
      <c r="B21" s="3389"/>
      <c r="C21" s="3390"/>
      <c r="D21" s="188" t="s">
        <v>157</v>
      </c>
      <c r="E21" s="143"/>
      <c r="F21" s="143"/>
      <c r="G21" s="143"/>
      <c r="H21" s="143"/>
      <c r="I21" s="189"/>
    </row>
    <row r="22" spans="1:9" ht="21.75" hidden="1" customHeight="1">
      <c r="A22" s="139" t="s">
        <v>7</v>
      </c>
      <c r="B22" s="3390" t="s">
        <v>61</v>
      </c>
      <c r="C22" s="3391"/>
      <c r="D22" s="190">
        <v>0.25</v>
      </c>
      <c r="E22" s="146">
        <v>0.41666666666666669</v>
      </c>
      <c r="F22" s="146">
        <v>0.58333333333333337</v>
      </c>
      <c r="G22" s="146">
        <v>0.75</v>
      </c>
      <c r="H22" s="146">
        <v>0.91666666666666663</v>
      </c>
      <c r="I22" s="191">
        <v>8.3333333333333329E-2</v>
      </c>
    </row>
    <row r="23" spans="1:9" ht="21.75" hidden="1" customHeight="1">
      <c r="A23" s="103">
        <v>1</v>
      </c>
      <c r="B23" s="3130" t="s">
        <v>65</v>
      </c>
      <c r="C23" s="3131"/>
      <c r="D23" s="186">
        <f>'1. XL-1E kh'!I28</f>
        <v>0</v>
      </c>
      <c r="E23" s="134">
        <f>'1. XL-1E kh'!Q28</f>
        <v>0</v>
      </c>
      <c r="F23" s="134">
        <f>'1. XL-1E kh'!Y28</f>
        <v>0</v>
      </c>
      <c r="G23" s="134">
        <f>'1. XL-1E kh'!I68</f>
        <v>0</v>
      </c>
      <c r="H23" s="134">
        <f>'1. XL-1E kh'!Q68</f>
        <v>64</v>
      </c>
      <c r="I23" s="187">
        <f>'1. XL-1E kh'!Y68</f>
        <v>64</v>
      </c>
    </row>
    <row r="24" spans="1:9" ht="21.75" hidden="1" customHeight="1">
      <c r="A24" s="103">
        <v>2</v>
      </c>
      <c r="B24" s="3130" t="s">
        <v>66</v>
      </c>
      <c r="C24" s="3131" t="s">
        <v>66</v>
      </c>
      <c r="D24" s="186">
        <f>'1. XL-1E kh'!I29</f>
        <v>0</v>
      </c>
      <c r="E24" s="134">
        <f>'1. XL-1E kh'!Q29</f>
        <v>0</v>
      </c>
      <c r="F24" s="134">
        <f>'1. XL-1E kh'!Y29</f>
        <v>0</v>
      </c>
      <c r="G24" s="134">
        <f>'1. XL-1E kh'!I69</f>
        <v>0</v>
      </c>
      <c r="H24" s="134">
        <f>'1. XL-1E kh'!Q69</f>
        <v>64</v>
      </c>
      <c r="I24" s="187">
        <f>'1. XL-1E kh'!Y69</f>
        <v>63</v>
      </c>
    </row>
    <row r="25" spans="1:9" ht="21.75" hidden="1" customHeight="1">
      <c r="A25" s="103">
        <v>3</v>
      </c>
      <c r="B25" s="3130" t="s">
        <v>68</v>
      </c>
      <c r="C25" s="3131" t="s">
        <v>68</v>
      </c>
      <c r="D25" s="186">
        <f>'1. XL-1E kh'!I30</f>
        <v>0</v>
      </c>
      <c r="E25" s="134">
        <f>'1. XL-1E kh'!Q30</f>
        <v>0</v>
      </c>
      <c r="F25" s="134">
        <f>'1. XL-1E kh'!Y30</f>
        <v>0</v>
      </c>
      <c r="G25" s="134">
        <f>'1. XL-1E kh'!I70</f>
        <v>0</v>
      </c>
      <c r="H25" s="134">
        <f>'1. XL-1E kh'!Q70</f>
        <v>53</v>
      </c>
      <c r="I25" s="187">
        <f>'1. XL-1E kh'!Y70</f>
        <v>55</v>
      </c>
    </row>
    <row r="26" spans="1:9" ht="21.75" hidden="1" customHeight="1">
      <c r="A26" s="103">
        <v>4</v>
      </c>
      <c r="B26" s="3130" t="s">
        <v>67</v>
      </c>
      <c r="C26" s="3131" t="s">
        <v>67</v>
      </c>
      <c r="D26" s="186">
        <f>'1. XL-1E kh'!I31</f>
        <v>0</v>
      </c>
      <c r="E26" s="134">
        <f>'1. XL-1E kh'!Q31</f>
        <v>0</v>
      </c>
      <c r="F26" s="134">
        <f>'1. XL-1E kh'!Y31</f>
        <v>0</v>
      </c>
      <c r="G26" s="134">
        <f>'1. XL-1E kh'!I71</f>
        <v>0</v>
      </c>
      <c r="H26" s="134">
        <f>'1. XL-1E kh'!Q71</f>
        <v>52</v>
      </c>
      <c r="I26" s="187">
        <f>'1. XL-1E kh'!Y71</f>
        <v>53</v>
      </c>
    </row>
    <row r="27" spans="1:9" ht="21.75" hidden="1" customHeight="1">
      <c r="A27" s="103">
        <v>5</v>
      </c>
      <c r="B27" s="3130" t="s">
        <v>69</v>
      </c>
      <c r="C27" s="3131" t="s">
        <v>69</v>
      </c>
      <c r="D27" s="186">
        <f>'1. XL-1E kh'!I32</f>
        <v>0</v>
      </c>
      <c r="E27" s="134">
        <f>'1. XL-1E kh'!Q32</f>
        <v>0</v>
      </c>
      <c r="F27" s="134">
        <f>'1. XL-1E kh'!Y32</f>
        <v>0</v>
      </c>
      <c r="G27" s="134">
        <f>'1. XL-1E kh'!I72</f>
        <v>0</v>
      </c>
      <c r="H27" s="134">
        <f>'1. XL-1E kh'!Q72</f>
        <v>28</v>
      </c>
      <c r="I27" s="187">
        <f>'1. XL-1E kh'!Y72</f>
        <v>28</v>
      </c>
    </row>
    <row r="28" spans="1:9" ht="21.75" hidden="1" customHeight="1">
      <c r="A28" s="103">
        <v>6</v>
      </c>
      <c r="B28" s="3130" t="s">
        <v>84</v>
      </c>
      <c r="C28" s="3131" t="s">
        <v>84</v>
      </c>
      <c r="D28" s="186">
        <f>'1. XL-1E kh'!I33</f>
        <v>0</v>
      </c>
      <c r="E28" s="134">
        <f>'1. XL-1E kh'!Q33</f>
        <v>0</v>
      </c>
      <c r="F28" s="134">
        <f>'1. XL-1E kh'!Y33</f>
        <v>0</v>
      </c>
      <c r="G28" s="134">
        <f>'1. XL-1E kh'!I73</f>
        <v>0</v>
      </c>
      <c r="H28" s="134">
        <f>'1. XL-1E kh'!Q73</f>
        <v>37</v>
      </c>
      <c r="I28" s="187">
        <f>'1. XL-1E kh'!Y73</f>
        <v>37</v>
      </c>
    </row>
    <row r="29" spans="1:9" ht="21.75" hidden="1" customHeight="1">
      <c r="A29" s="103">
        <v>7</v>
      </c>
      <c r="B29" s="3130" t="s">
        <v>70</v>
      </c>
      <c r="C29" s="3131" t="s">
        <v>70</v>
      </c>
      <c r="D29" s="186">
        <f>'1. XL-1E kh'!I34</f>
        <v>0</v>
      </c>
      <c r="E29" s="134">
        <f>'1. XL-1E kh'!Q34</f>
        <v>0</v>
      </c>
      <c r="F29" s="134">
        <f>'1. XL-1E kh'!Y34</f>
        <v>0</v>
      </c>
      <c r="G29" s="134">
        <f>'1. XL-1E kh'!I74</f>
        <v>0</v>
      </c>
      <c r="H29" s="134">
        <f>'1. XL-1E kh'!Q74</f>
        <v>32</v>
      </c>
      <c r="I29" s="187">
        <f>'1. XL-1E kh'!Y74</f>
        <v>46</v>
      </c>
    </row>
    <row r="30" spans="1:9" ht="21.75" hidden="1" customHeight="1">
      <c r="A30" s="103">
        <v>8</v>
      </c>
      <c r="B30" s="3130" t="s">
        <v>71</v>
      </c>
      <c r="C30" s="3131" t="s">
        <v>71</v>
      </c>
      <c r="D30" s="186">
        <f>'1. XL-1E kh'!K35</f>
        <v>0</v>
      </c>
      <c r="E30" s="134">
        <f>'1. XL-1E kh'!S35</f>
        <v>0</v>
      </c>
      <c r="F30" s="134">
        <f>'1. XL-1E kh'!AA35</f>
        <v>0</v>
      </c>
      <c r="G30" s="134">
        <f>'1. XL-1E kh'!K75</f>
        <v>0</v>
      </c>
      <c r="H30" s="134" t="str">
        <f>'1. XL-1E kh'!S75</f>
        <v>chưa mo máy</v>
      </c>
      <c r="I30" s="187">
        <f>'1. XL-1E kh'!AA75</f>
        <v>87</v>
      </c>
    </row>
    <row r="31" spans="1:9" ht="21.75" hidden="1" customHeight="1">
      <c r="A31" s="3389" t="s">
        <v>75</v>
      </c>
      <c r="B31" s="3389"/>
      <c r="C31" s="3390"/>
      <c r="D31" s="188" t="s">
        <v>158</v>
      </c>
      <c r="E31" s="143"/>
      <c r="F31" s="143"/>
      <c r="G31" s="143"/>
      <c r="H31" s="143"/>
      <c r="I31" s="189"/>
    </row>
    <row r="32" spans="1:9" ht="21.75" hidden="1" customHeight="1">
      <c r="A32" s="139" t="s">
        <v>7</v>
      </c>
      <c r="B32" s="3390" t="s">
        <v>92</v>
      </c>
      <c r="C32" s="3391"/>
      <c r="D32" s="192">
        <v>0.25</v>
      </c>
      <c r="E32" s="138">
        <v>0.41666666666666669</v>
      </c>
      <c r="F32" s="138">
        <v>0.58333333333333337</v>
      </c>
      <c r="G32" s="138">
        <v>0.75</v>
      </c>
      <c r="H32" s="138">
        <v>0.91666666666666663</v>
      </c>
      <c r="I32" s="193">
        <v>8.3333333333333329E-2</v>
      </c>
    </row>
    <row r="33" spans="1:9" ht="21.75" hidden="1" customHeight="1">
      <c r="A33" s="103">
        <v>1</v>
      </c>
      <c r="B33" s="3122" t="s">
        <v>98</v>
      </c>
      <c r="C33" s="3392"/>
      <c r="D33" s="186">
        <f>'1. XL-1E kh'!I38</f>
        <v>0</v>
      </c>
      <c r="E33" s="134">
        <f>'1. XL-1E kh'!Q38</f>
        <v>0</v>
      </c>
      <c r="F33" s="134">
        <f>'1. XL-1E kh'!Y38</f>
        <v>0</v>
      </c>
      <c r="G33" s="134">
        <f>'1. XL-1E kh'!I78</f>
        <v>0</v>
      </c>
      <c r="H33" s="134" t="str">
        <f>'1. XL-1E kh'!Q78</f>
        <v>chưa có hâng ko bơm</v>
      </c>
      <c r="I33" s="187" t="str">
        <f>'1. XL-1E kh'!Y78</f>
        <v>chưa có hâng ko bơm</v>
      </c>
    </row>
    <row r="34" spans="1:9" ht="21.75" hidden="1" customHeight="1">
      <c r="A34" s="103">
        <v>2</v>
      </c>
      <c r="B34" s="3122" t="s">
        <v>99</v>
      </c>
      <c r="C34" s="3392"/>
      <c r="D34" s="186">
        <f>'1. XL-1E kh'!I39</f>
        <v>0</v>
      </c>
      <c r="E34" s="134">
        <f>'1. XL-1E kh'!Q39</f>
        <v>0</v>
      </c>
      <c r="F34" s="134">
        <f>'1. XL-1E kh'!Y39</f>
        <v>0</v>
      </c>
      <c r="G34" s="134">
        <f>'1. XL-1E kh'!I79</f>
        <v>0</v>
      </c>
      <c r="H34" s="134" t="str">
        <f>'1. XL-1E kh'!Q79</f>
        <v>chưa có hâng ko bơm</v>
      </c>
      <c r="I34" s="187" t="str">
        <f>'1. XL-1E kh'!Y79</f>
        <v>chưa có hâng ko bơm</v>
      </c>
    </row>
    <row r="35" spans="1:9" ht="21.75" hidden="1" customHeight="1">
      <c r="A35" s="140"/>
      <c r="B35" s="140"/>
      <c r="C35" s="140"/>
      <c r="D35" s="188" t="s">
        <v>156</v>
      </c>
      <c r="E35" s="143"/>
      <c r="F35" s="143"/>
      <c r="G35" s="143"/>
      <c r="H35" s="143"/>
      <c r="I35" s="189"/>
    </row>
    <row r="36" spans="1:9" ht="21.75" hidden="1" customHeight="1">
      <c r="A36" s="140"/>
      <c r="B36" s="140"/>
      <c r="C36" s="140"/>
      <c r="D36" s="192">
        <v>0.25</v>
      </c>
      <c r="E36" s="138">
        <v>0.41666666666666669</v>
      </c>
      <c r="F36" s="138">
        <v>0.58333333333333337</v>
      </c>
      <c r="G36" s="138">
        <v>0.75</v>
      </c>
      <c r="H36" s="138">
        <v>0.91666666666666663</v>
      </c>
      <c r="I36" s="193">
        <v>8.3333333333333329E-2</v>
      </c>
    </row>
    <row r="37" spans="1:9" ht="21.75" hidden="1" customHeight="1">
      <c r="A37" s="3258">
        <v>1</v>
      </c>
      <c r="B37" s="3384" t="s">
        <v>131</v>
      </c>
      <c r="C37" s="136" t="s">
        <v>100</v>
      </c>
      <c r="D37" s="194">
        <f>'1. XL-1E kh'!K6</f>
        <v>80.790000000000006</v>
      </c>
      <c r="E37" s="141">
        <f>'1. XL-1E kh'!S6</f>
        <v>80.790000000000006</v>
      </c>
      <c r="F37" s="141">
        <f>'1. XL-1E kh'!AA6</f>
        <v>80.790000000000006</v>
      </c>
      <c r="G37" s="141">
        <f>'1. XL-1E kh'!K46</f>
        <v>80.790000000000006</v>
      </c>
      <c r="H37" s="141">
        <f>'1. XL-1E kh'!S46</f>
        <v>21.544</v>
      </c>
      <c r="I37" s="195">
        <f>'1. XL-1E kh'!AA46</f>
        <v>2.1544000000000021</v>
      </c>
    </row>
    <row r="38" spans="1:9" ht="21.75" hidden="1" customHeight="1">
      <c r="A38" s="3259"/>
      <c r="B38" s="3385"/>
      <c r="C38" s="137" t="s">
        <v>128</v>
      </c>
      <c r="D38" s="194">
        <f>'1. XL-1E kh'!K8</f>
        <v>27.145440000000004</v>
      </c>
      <c r="E38" s="141">
        <f>'1. XL-1E kh'!S8</f>
        <v>27.145440000000004</v>
      </c>
      <c r="F38" s="141">
        <f>'1. XL-1E kh'!AA8</f>
        <v>27.145440000000004</v>
      </c>
      <c r="G38" s="141">
        <f>'1. XL-1E kh'!K48</f>
        <v>27.145440000000004</v>
      </c>
      <c r="H38" s="141">
        <f>'1. XL-1E kh'!S48</f>
        <v>7.238783999999999</v>
      </c>
      <c r="I38" s="195">
        <f>'1. XL-1E kh'!AA48</f>
        <v>0.7238784000000007</v>
      </c>
    </row>
    <row r="39" spans="1:9" ht="21.75" hidden="1" customHeight="1">
      <c r="A39" s="3258">
        <v>2</v>
      </c>
      <c r="B39" s="3384" t="s">
        <v>145</v>
      </c>
      <c r="C39" s="136" t="s">
        <v>100</v>
      </c>
      <c r="D39" s="194">
        <f>'1. XL-1E kh'!K9</f>
        <v>99.15</v>
      </c>
      <c r="E39" s="141">
        <f>'1. XL-1E kh'!S9</f>
        <v>99.15</v>
      </c>
      <c r="F39" s="141">
        <f>'1. XL-1E kh'!AA9</f>
        <v>99.15</v>
      </c>
      <c r="G39" s="141">
        <f>'1. XL-1E kh'!K49</f>
        <v>99.15</v>
      </c>
      <c r="H39" s="141">
        <f>'1. XL-1E kh'!S49</f>
        <v>22.474000000000004</v>
      </c>
      <c r="I39" s="195">
        <f>'1. XL-1E kh'!AA49</f>
        <v>3.9659999999999975</v>
      </c>
    </row>
    <row r="40" spans="1:9" ht="21.75" hidden="1" customHeight="1">
      <c r="A40" s="3259"/>
      <c r="B40" s="3385"/>
      <c r="C40" s="137" t="s">
        <v>128</v>
      </c>
      <c r="D40" s="194">
        <f>'1. XL-1E kh'!K11</f>
        <v>33.314399999999999</v>
      </c>
      <c r="E40" s="141">
        <f>'1. XL-1E kh'!S11</f>
        <v>33.314399999999999</v>
      </c>
      <c r="F40" s="141">
        <f>'1. XL-1E kh'!AA11</f>
        <v>33.314399999999999</v>
      </c>
      <c r="G40" s="141">
        <f>'1. XL-1E kh'!K51</f>
        <v>33.314399999999999</v>
      </c>
      <c r="H40" s="141">
        <f>'1. XL-1E kh'!S51</f>
        <v>7.5512640000000015</v>
      </c>
      <c r="I40" s="195">
        <f>'1. XL-1E kh'!AA51</f>
        <v>1.3325759999999991</v>
      </c>
    </row>
    <row r="41" spans="1:9" ht="21.75" hidden="1" customHeight="1">
      <c r="A41" s="3258">
        <v>3</v>
      </c>
      <c r="B41" s="3384" t="s">
        <v>143</v>
      </c>
      <c r="C41" s="136" t="s">
        <v>100</v>
      </c>
      <c r="D41" s="194">
        <f>'1. XL-1E kh'!K12</f>
        <v>80.92</v>
      </c>
      <c r="E41" s="141">
        <f>'1. XL-1E kh'!S12</f>
        <v>80.92</v>
      </c>
      <c r="F41" s="141">
        <f>'1. XL-1E kh'!AA12</f>
        <v>80.92</v>
      </c>
      <c r="G41" s="141">
        <f>'1. XL-1E kh'!K52</f>
        <v>80.92</v>
      </c>
      <c r="H41" s="141">
        <f>'1. XL-1E kh'!S52</f>
        <v>0</v>
      </c>
      <c r="I41" s="195">
        <f>'1. XL-1E kh'!AA52</f>
        <v>0</v>
      </c>
    </row>
    <row r="42" spans="1:9" ht="21.75" hidden="1" customHeight="1">
      <c r="A42" s="3259"/>
      <c r="B42" s="3385"/>
      <c r="C42" s="137" t="s">
        <v>128</v>
      </c>
      <c r="D42" s="194">
        <f>'1. XL-1E kh'!K13</f>
        <v>24.276</v>
      </c>
      <c r="E42" s="141">
        <f>'1. XL-1E kh'!S13</f>
        <v>24.276</v>
      </c>
      <c r="F42" s="141">
        <f>'1. XL-1E kh'!AA13</f>
        <v>24.276</v>
      </c>
      <c r="G42" s="141">
        <f>'1. XL-1E kh'!K53</f>
        <v>24.276</v>
      </c>
      <c r="H42" s="141">
        <f>'1. XL-1E kh'!S53</f>
        <v>0</v>
      </c>
      <c r="I42" s="195">
        <f>'1. XL-1E kh'!AA53</f>
        <v>0</v>
      </c>
    </row>
    <row r="43" spans="1:9" ht="21.75" hidden="1" customHeight="1">
      <c r="A43" s="3258">
        <v>4</v>
      </c>
      <c r="B43" s="3384" t="s">
        <v>144</v>
      </c>
      <c r="C43" s="136" t="s">
        <v>100</v>
      </c>
      <c r="D43" s="194">
        <f>'1. XL-1E kh'!K14</f>
        <v>102.13</v>
      </c>
      <c r="E43" s="141">
        <f>'1. XL-1E kh'!S14</f>
        <v>102.13</v>
      </c>
      <c r="F43" s="141">
        <f>'1. XL-1E kh'!AA14</f>
        <v>102.13</v>
      </c>
      <c r="G43" s="141">
        <f>'1. XL-1E kh'!K54</f>
        <v>102.13</v>
      </c>
      <c r="H43" s="141">
        <f>'1. XL-1E kh'!S54</f>
        <v>0</v>
      </c>
      <c r="I43" s="195">
        <f>'1. XL-1E kh'!AA54</f>
        <v>0</v>
      </c>
    </row>
    <row r="44" spans="1:9" ht="21.75" hidden="1" customHeight="1">
      <c r="A44" s="3259"/>
      <c r="B44" s="3385"/>
      <c r="C44" s="137" t="s">
        <v>128</v>
      </c>
      <c r="D44" s="194">
        <f>'1. XL-1E kh'!K15</f>
        <v>30.638999999999996</v>
      </c>
      <c r="E44" s="141">
        <f>'1. XL-1E kh'!S15</f>
        <v>30.638999999999996</v>
      </c>
      <c r="F44" s="141">
        <f>'1. XL-1E kh'!AA15</f>
        <v>30.638999999999996</v>
      </c>
      <c r="G44" s="141">
        <f>'1. XL-1E kh'!K55</f>
        <v>30.638999999999996</v>
      </c>
      <c r="H44" s="141">
        <f>'1. XL-1E kh'!S55</f>
        <v>0</v>
      </c>
      <c r="I44" s="195">
        <f>'1. XL-1E kh'!AA55</f>
        <v>0</v>
      </c>
    </row>
    <row r="45" spans="1:9" ht="21.75" hidden="1" customHeight="1">
      <c r="A45" s="3258">
        <v>5</v>
      </c>
      <c r="B45" s="3148" t="s">
        <v>95</v>
      </c>
      <c r="C45" s="109" t="s">
        <v>94</v>
      </c>
      <c r="D45" s="194">
        <f>'1. XL-1E kh'!K16</f>
        <v>2793.14</v>
      </c>
      <c r="E45" s="141">
        <f>'1. XL-1E kh'!S16</f>
        <v>2793.14</v>
      </c>
      <c r="F45" s="141">
        <f>'1. XL-1E kh'!AA16</f>
        <v>2793.14</v>
      </c>
      <c r="G45" s="141">
        <f>'1. XL-1E kh'!K56</f>
        <v>2793.14</v>
      </c>
      <c r="H45" s="141">
        <f>'1. XL-1E kh'!S56</f>
        <v>0</v>
      </c>
      <c r="I45" s="195">
        <f>'1. XL-1E kh'!AA56</f>
        <v>0</v>
      </c>
    </row>
    <row r="46" spans="1:9" ht="21.75" hidden="1" customHeight="1">
      <c r="A46" s="3259"/>
      <c r="B46" s="3149"/>
      <c r="C46" s="109" t="s">
        <v>57</v>
      </c>
      <c r="D46" s="194">
        <f>'1. XL-1E kh'!K17</f>
        <v>199.51</v>
      </c>
      <c r="E46" s="141">
        <f>'1. XL-1E kh'!S17</f>
        <v>199.51</v>
      </c>
      <c r="F46" s="141">
        <f>'1. XL-1E kh'!AA17</f>
        <v>199.51</v>
      </c>
      <c r="G46" s="141">
        <f>'1. XL-1E kh'!K57</f>
        <v>199.51</v>
      </c>
      <c r="H46" s="141">
        <f>'1. XL-1E kh'!S57</f>
        <v>0</v>
      </c>
      <c r="I46" s="195">
        <f>'1. XL-1E kh'!AA57</f>
        <v>0</v>
      </c>
    </row>
    <row r="47" spans="1:9" ht="21.75" hidden="1" customHeight="1">
      <c r="A47" s="3258">
        <v>6</v>
      </c>
      <c r="B47" s="3386" t="s">
        <v>96</v>
      </c>
      <c r="C47" s="3387"/>
      <c r="D47" s="194">
        <f>'1. XL-1E kh'!K18</f>
        <v>80.5</v>
      </c>
      <c r="E47" s="141">
        <f>'1. XL-1E kh'!S18</f>
        <v>80.5</v>
      </c>
      <c r="F47" s="141">
        <f>'1. XL-1E kh'!AA18</f>
        <v>80.5</v>
      </c>
      <c r="G47" s="141">
        <f>'1. XL-1E kh'!K58</f>
        <v>80.5</v>
      </c>
      <c r="H47" s="141">
        <f>'1. XL-1E kh'!S58</f>
        <v>0</v>
      </c>
      <c r="I47" s="195">
        <f>'1. XL-1E kh'!AA58</f>
        <v>0</v>
      </c>
    </row>
    <row r="48" spans="1:9" ht="21.75" hidden="1" customHeight="1">
      <c r="A48" s="3259"/>
      <c r="B48" s="3388"/>
      <c r="C48" s="3275"/>
      <c r="D48" s="194">
        <f>'1. XL-1E kh'!K19</f>
        <v>0</v>
      </c>
      <c r="E48" s="141">
        <f>'1. XL-1E kh'!S19</f>
        <v>0</v>
      </c>
      <c r="F48" s="141">
        <f>'1. XL-1E kh'!AA19</f>
        <v>0</v>
      </c>
      <c r="G48" s="141">
        <f>'1. XL-1E kh'!K59</f>
        <v>0</v>
      </c>
      <c r="H48" s="141">
        <f>'1. XL-1E kh'!S59</f>
        <v>0</v>
      </c>
      <c r="I48" s="195">
        <f>'1. XL-1E kh'!AA59</f>
        <v>0</v>
      </c>
    </row>
    <row r="49" spans="1:9" ht="21.75" hidden="1" customHeight="1">
      <c r="A49" s="103">
        <v>7</v>
      </c>
      <c r="B49" s="3122" t="s">
        <v>58</v>
      </c>
      <c r="C49" s="3383"/>
      <c r="D49" s="194">
        <f>'1. XL-1E kh'!K20</f>
        <v>954.9</v>
      </c>
      <c r="E49" s="141">
        <f>'1. XL-1E kh'!S20</f>
        <v>954.9</v>
      </c>
      <c r="F49" s="141">
        <f>'1. XL-1E kh'!AA20</f>
        <v>954.9</v>
      </c>
      <c r="G49" s="141">
        <f>'1. XL-1E kh'!K60</f>
        <v>954.9</v>
      </c>
      <c r="H49" s="141">
        <f>'1. XL-1E kh'!S60</f>
        <v>131.96187500000002</v>
      </c>
      <c r="I49" s="195">
        <f>'1. XL-1E kh'!AA60</f>
        <v>0</v>
      </c>
    </row>
    <row r="50" spans="1:9" ht="21.75" hidden="1" customHeight="1">
      <c r="A50" s="103">
        <v>8</v>
      </c>
      <c r="B50" s="3122" t="s">
        <v>59</v>
      </c>
      <c r="C50" s="3383"/>
      <c r="D50" s="194">
        <f>'1. XL-1E kh'!K21</f>
        <v>134.64000000000001</v>
      </c>
      <c r="E50" s="141">
        <f>'1. XL-1E kh'!S21</f>
        <v>134.64000000000001</v>
      </c>
      <c r="F50" s="141">
        <f>'1. XL-1E kh'!AA21</f>
        <v>134.64000000000001</v>
      </c>
      <c r="G50" s="141">
        <f>'1. XL-1E kh'!K61</f>
        <v>134.64000000000001</v>
      </c>
      <c r="H50" s="141">
        <f>'1. XL-1E kh'!S61</f>
        <v>134.64000000000001</v>
      </c>
      <c r="I50" s="195">
        <f>'1. XL-1E kh'!AA61</f>
        <v>134.64000000000001</v>
      </c>
    </row>
    <row r="51" spans="1:9" ht="21.75" hidden="1" customHeight="1">
      <c r="A51" s="103">
        <v>9</v>
      </c>
      <c r="B51" s="3122" t="s">
        <v>60</v>
      </c>
      <c r="C51" s="3383"/>
      <c r="D51" s="194">
        <f>'1. XL-1E kh'!K22</f>
        <v>57.5</v>
      </c>
      <c r="E51" s="141">
        <f>'1. XL-1E kh'!S22</f>
        <v>57.5</v>
      </c>
      <c r="F51" s="141">
        <f>'1. XL-1E kh'!AA22</f>
        <v>57.5</v>
      </c>
      <c r="G51" s="141">
        <f>'1. XL-1E kh'!K62</f>
        <v>57.5</v>
      </c>
      <c r="H51" s="141">
        <f>'1. XL-1E kh'!S62</f>
        <v>57.5</v>
      </c>
      <c r="I51" s="195">
        <f>'1. XL-1E kh'!AA62</f>
        <v>57.5</v>
      </c>
    </row>
    <row r="52" spans="1:9" ht="21.75" hidden="1" customHeight="1">
      <c r="A52" s="103">
        <v>10</v>
      </c>
      <c r="B52" s="3122" t="s">
        <v>97</v>
      </c>
      <c r="C52" s="3383"/>
      <c r="D52" s="196">
        <f>'1. XL-1E kh'!K23</f>
        <v>5.3998981151299033</v>
      </c>
      <c r="E52" s="145">
        <f>'1. XL-1E kh'!S23</f>
        <v>5.3998981151299033</v>
      </c>
      <c r="F52" s="145">
        <f>'1. XL-1E kh'!AA23</f>
        <v>5.3998981151299033</v>
      </c>
      <c r="G52" s="145">
        <f>'1. XL-1E kh'!K63</f>
        <v>5.3998981151299033</v>
      </c>
      <c r="H52" s="145">
        <f>'1. XL-1E kh'!S63</f>
        <v>0</v>
      </c>
      <c r="I52" s="197">
        <f>'1. XL-1E kh'!AA63</f>
        <v>0</v>
      </c>
    </row>
    <row r="53" spans="1:9" ht="21.75" hidden="1" customHeight="1">
      <c r="D53" s="186"/>
      <c r="E53" s="134"/>
      <c r="F53" s="134"/>
      <c r="G53" s="134"/>
      <c r="H53" s="134"/>
      <c r="I53" s="187"/>
    </row>
    <row r="54" spans="1:9" ht="21.75" hidden="1" customHeight="1">
      <c r="A54" s="174"/>
      <c r="B54" s="159" t="s">
        <v>214</v>
      </c>
      <c r="C54" s="170"/>
      <c r="D54" s="198"/>
      <c r="E54" s="171"/>
      <c r="F54" s="134"/>
      <c r="G54" s="134"/>
      <c r="H54" s="134"/>
      <c r="I54" s="187"/>
    </row>
    <row r="55" spans="1:9" ht="21.75" hidden="1" customHeight="1">
      <c r="A55" s="164" t="s">
        <v>7</v>
      </c>
      <c r="B55" s="152"/>
      <c r="C55" s="152"/>
      <c r="D55" s="188" t="s">
        <v>155</v>
      </c>
      <c r="E55" s="143"/>
      <c r="F55" s="143"/>
      <c r="G55" s="143"/>
      <c r="H55" s="143"/>
      <c r="I55" s="189"/>
    </row>
    <row r="56" spans="1:9" ht="21.75" hidden="1" customHeight="1">
      <c r="A56" s="165"/>
      <c r="B56" s="161"/>
      <c r="C56" s="161"/>
      <c r="D56" s="192">
        <v>0.25</v>
      </c>
      <c r="E56" s="138">
        <v>0.41666666666666669</v>
      </c>
      <c r="F56" s="138">
        <v>0.58333333333333337</v>
      </c>
      <c r="G56" s="138">
        <v>0.75</v>
      </c>
      <c r="H56" s="138">
        <v>0.91666666666666663</v>
      </c>
      <c r="I56" s="193">
        <v>8.3333333333333329E-2</v>
      </c>
    </row>
    <row r="57" spans="1:9" ht="21.75" hidden="1" customHeight="1">
      <c r="A57" s="175">
        <v>1</v>
      </c>
      <c r="B57" s="121" t="s">
        <v>131</v>
      </c>
      <c r="C57" s="176" t="s">
        <v>100</v>
      </c>
      <c r="D57" s="184">
        <f>'2. XL-1F kh'!I6</f>
        <v>70.416499999999999</v>
      </c>
      <c r="E57" s="135">
        <f>'2. XL-1F kh'!Q6</f>
        <v>70.416499999999999</v>
      </c>
      <c r="F57" s="135">
        <f>'2. XL-1F kh'!Y6</f>
        <v>68.144999999999996</v>
      </c>
      <c r="G57" s="135">
        <f>'2. XL-1F kh'!I44</f>
        <v>72.3</v>
      </c>
      <c r="H57" s="135">
        <f>'2. XL-1F kh'!Q44</f>
        <v>71.599999999999994</v>
      </c>
      <c r="I57" s="185">
        <f>'2. XL-1F kh'!Y44</f>
        <v>71.39</v>
      </c>
    </row>
    <row r="58" spans="1:9" ht="21.75" hidden="1" customHeight="1">
      <c r="A58" s="106"/>
      <c r="B58" s="125"/>
      <c r="C58" s="120" t="s">
        <v>101</v>
      </c>
      <c r="D58" s="186" t="e">
        <f>'2. XL-1F kh'!#REF!</f>
        <v>#REF!</v>
      </c>
      <c r="E58" s="134" t="e">
        <f>'2. XL-1F kh'!#REF!</f>
        <v>#REF!</v>
      </c>
      <c r="F58" s="134" t="e">
        <f>'2. XL-1F kh'!#REF!</f>
        <v>#REF!</v>
      </c>
      <c r="G58" s="134" t="e">
        <f>'2. XL-1F kh'!#REF!</f>
        <v>#REF!</v>
      </c>
      <c r="H58" s="134" t="e">
        <f>'2. XL-1F kh'!#REF!</f>
        <v>#REF!</v>
      </c>
      <c r="I58" s="187" t="e">
        <f>'2. XL-1F kh'!#REF!</f>
        <v>#REF!</v>
      </c>
    </row>
    <row r="59" spans="1:9" ht="21.75" hidden="1" customHeight="1">
      <c r="A59" s="107"/>
      <c r="B59" s="126"/>
      <c r="C59" s="111" t="s">
        <v>103</v>
      </c>
      <c r="D59" s="186" t="e">
        <f>'2. XL-1F kh'!#REF!</f>
        <v>#REF!</v>
      </c>
      <c r="E59" s="134" t="e">
        <f>'2. XL-1F kh'!#REF!</f>
        <v>#REF!</v>
      </c>
      <c r="F59" s="134" t="e">
        <f>'2. XL-1F kh'!#REF!</f>
        <v>#REF!</v>
      </c>
      <c r="G59" s="134" t="e">
        <f>'2. XL-1F kh'!#REF!</f>
        <v>#REF!</v>
      </c>
      <c r="H59" s="134" t="e">
        <f>'2. XL-1F kh'!#REF!</f>
        <v>#REF!</v>
      </c>
      <c r="I59" s="187" t="e">
        <f>'2. XL-1F kh'!#REF!</f>
        <v>#REF!</v>
      </c>
    </row>
    <row r="60" spans="1:9" ht="21.75" hidden="1" customHeight="1">
      <c r="A60" s="105">
        <v>2</v>
      </c>
      <c r="B60" s="118" t="s">
        <v>132</v>
      </c>
      <c r="C60" s="124" t="s">
        <v>100</v>
      </c>
      <c r="D60" s="186">
        <f>'2. XL-1F kh'!I8</f>
        <v>72.688000000000002</v>
      </c>
      <c r="E60" s="134">
        <f>'2. XL-1F kh'!Q8</f>
        <v>72.688000000000002</v>
      </c>
      <c r="F60" s="134">
        <f>'2. XL-1F kh'!Y8</f>
        <v>71.714500000000001</v>
      </c>
      <c r="G60" s="134">
        <f>'2. XL-1F kh'!I46</f>
        <v>71</v>
      </c>
      <c r="H60" s="134">
        <f>'2. XL-1F kh'!Q46</f>
        <v>70.599999999999994</v>
      </c>
      <c r="I60" s="187">
        <f>'2. XL-1F kh'!Y46</f>
        <v>70</v>
      </c>
    </row>
    <row r="61" spans="1:9" ht="21.75" hidden="1" customHeight="1">
      <c r="A61" s="106"/>
      <c r="B61" s="125"/>
      <c r="C61" s="111" t="s">
        <v>101</v>
      </c>
      <c r="D61" s="186" t="e">
        <f>'2. XL-1F kh'!#REF!</f>
        <v>#REF!</v>
      </c>
      <c r="E61" s="134" t="e">
        <f>'2. XL-1F kh'!#REF!</f>
        <v>#REF!</v>
      </c>
      <c r="F61" s="134" t="e">
        <f>'2. XL-1F kh'!#REF!</f>
        <v>#REF!</v>
      </c>
      <c r="G61" s="134" t="e">
        <f>'2. XL-1F kh'!#REF!</f>
        <v>#REF!</v>
      </c>
      <c r="H61" s="134" t="e">
        <f>'2. XL-1F kh'!#REF!</f>
        <v>#REF!</v>
      </c>
      <c r="I61" s="187" t="e">
        <f>'2. XL-1F kh'!#REF!</f>
        <v>#REF!</v>
      </c>
    </row>
    <row r="62" spans="1:9" ht="21.75" hidden="1" customHeight="1">
      <c r="A62" s="107"/>
      <c r="B62" s="126"/>
      <c r="C62" s="111" t="s">
        <v>103</v>
      </c>
      <c r="D62" s="186" t="e">
        <f>'2. XL-1F kh'!#REF!</f>
        <v>#REF!</v>
      </c>
      <c r="E62" s="134" t="e">
        <f>'2. XL-1F kh'!#REF!</f>
        <v>#REF!</v>
      </c>
      <c r="F62" s="134" t="e">
        <f>'2. XL-1F kh'!#REF!</f>
        <v>#REF!</v>
      </c>
      <c r="G62" s="134" t="e">
        <f>'2. XL-1F kh'!#REF!</f>
        <v>#REF!</v>
      </c>
      <c r="H62" s="134" t="e">
        <f>'2. XL-1F kh'!#REF!</f>
        <v>#REF!</v>
      </c>
      <c r="I62" s="187" t="e">
        <f>'2. XL-1F kh'!#REF!</f>
        <v>#REF!</v>
      </c>
    </row>
    <row r="63" spans="1:9" ht="21.75" hidden="1" customHeight="1">
      <c r="A63" s="105">
        <v>3</v>
      </c>
      <c r="B63" s="122" t="s">
        <v>133</v>
      </c>
      <c r="C63" s="124" t="s">
        <v>100</v>
      </c>
      <c r="D63" s="186">
        <f>'2. XL-1F kh'!I10</f>
        <v>62.601000000000006</v>
      </c>
      <c r="E63" s="134">
        <f>'2. XL-1F kh'!Q10</f>
        <v>63.063000000000002</v>
      </c>
      <c r="F63" s="134">
        <f>'2. XL-1F kh'!Y10</f>
        <v>64.680000000000007</v>
      </c>
      <c r="G63" s="134">
        <f>'2. XL-1F kh'!I48</f>
        <v>63.293999999999997</v>
      </c>
      <c r="H63" s="134">
        <f>'2. XL-1F kh'!Q48</f>
        <v>62.370000000000005</v>
      </c>
      <c r="I63" s="187">
        <f>'2. XL-1F kh'!Y48</f>
        <v>61.2</v>
      </c>
    </row>
    <row r="64" spans="1:9" ht="21.75" hidden="1" customHeight="1">
      <c r="A64" s="107"/>
      <c r="B64" s="123"/>
      <c r="C64" s="111" t="s">
        <v>104</v>
      </c>
      <c r="D64" s="186">
        <f>'2. XL-1F kh'!I11</f>
        <v>0</v>
      </c>
      <c r="E64" s="134">
        <f>'2. XL-1F kh'!Q11</f>
        <v>0</v>
      </c>
      <c r="F64" s="134">
        <f>'2. XL-1F kh'!Y11</f>
        <v>0</v>
      </c>
      <c r="G64" s="134">
        <f>'2. XL-1F kh'!I49</f>
        <v>0</v>
      </c>
      <c r="H64" s="134">
        <f>'2. XL-1F kh'!Q49</f>
        <v>0</v>
      </c>
      <c r="I64" s="187">
        <f>'2. XL-1F kh'!Y49</f>
        <v>0</v>
      </c>
    </row>
    <row r="65" spans="1:9" ht="21.75" hidden="1" customHeight="1">
      <c r="A65" s="105">
        <v>4</v>
      </c>
      <c r="B65" s="122" t="s">
        <v>134</v>
      </c>
      <c r="C65" s="124" t="s">
        <v>100</v>
      </c>
      <c r="D65" s="186">
        <f>'2. XL-1F kh'!I12</f>
        <v>62.138999999999996</v>
      </c>
      <c r="E65" s="134">
        <f>'2. XL-1F kh'!Q12</f>
        <v>60.291000000000004</v>
      </c>
      <c r="F65" s="134">
        <f>'2. XL-1F kh'!Y12</f>
        <v>60.06</v>
      </c>
      <c r="G65" s="134">
        <f>'2. XL-1F kh'!I50</f>
        <v>54.516000000000005</v>
      </c>
      <c r="H65" s="134">
        <f>'2. XL-1F kh'!Q50</f>
        <v>66.989999999999995</v>
      </c>
      <c r="I65" s="187">
        <f>'2. XL-1F kh'!Y50</f>
        <v>66.528000000000006</v>
      </c>
    </row>
    <row r="66" spans="1:9" ht="21.75" hidden="1" customHeight="1">
      <c r="A66" s="107"/>
      <c r="B66" s="123"/>
      <c r="C66" s="111" t="s">
        <v>104</v>
      </c>
      <c r="D66" s="186">
        <f>'2. XL-1F kh'!I13</f>
        <v>0</v>
      </c>
      <c r="E66" s="134">
        <f>'2. XL-1F kh'!Q13</f>
        <v>0</v>
      </c>
      <c r="F66" s="134">
        <f>'2. XL-1F kh'!Y13</f>
        <v>0</v>
      </c>
      <c r="G66" s="134">
        <f>'2. XL-1F kh'!I51</f>
        <v>0</v>
      </c>
      <c r="H66" s="134">
        <f>'2. XL-1F kh'!Q51</f>
        <v>0</v>
      </c>
      <c r="I66" s="187">
        <f>'2. XL-1F kh'!Y51</f>
        <v>0</v>
      </c>
    </row>
    <row r="67" spans="1:9" ht="21.75" hidden="1" customHeight="1">
      <c r="A67" s="108">
        <v>5</v>
      </c>
      <c r="B67" s="111" t="s">
        <v>79</v>
      </c>
      <c r="C67" s="112"/>
      <c r="D67" s="186">
        <f>'2. XL-1F kh'!I14</f>
        <v>144</v>
      </c>
      <c r="E67" s="134">
        <f>'2. XL-1F kh'!Q14</f>
        <v>141.6</v>
      </c>
      <c r="F67" s="134">
        <f>'2. XL-1F kh'!Y14</f>
        <v>141.19999999999999</v>
      </c>
      <c r="G67" s="134">
        <f>'2. XL-1F kh'!I52</f>
        <v>140.80000000000001</v>
      </c>
      <c r="H67" s="134">
        <f>'2. XL-1F kh'!Q52</f>
        <v>140</v>
      </c>
      <c r="I67" s="187">
        <f>'2. XL-1F kh'!Y52</f>
        <v>139.19999999999999</v>
      </c>
    </row>
    <row r="68" spans="1:9" ht="21.75" hidden="1" customHeight="1">
      <c r="A68" s="108">
        <v>6</v>
      </c>
      <c r="B68" s="111" t="s">
        <v>57</v>
      </c>
      <c r="C68" s="112"/>
      <c r="D68" s="186">
        <f>'2. XL-1F kh'!I15</f>
        <v>10.270000000000001</v>
      </c>
      <c r="E68" s="134">
        <f>'2. XL-1F kh'!Q15</f>
        <v>10.66</v>
      </c>
      <c r="F68" s="134">
        <f>'2. XL-1F kh'!Y15</f>
        <v>10.790000000000001</v>
      </c>
      <c r="G68" s="134">
        <f>'2. XL-1F kh'!I53</f>
        <v>11.309999999999999</v>
      </c>
      <c r="H68" s="134">
        <f>'2. XL-1F kh'!Q53</f>
        <v>11.05</v>
      </c>
      <c r="I68" s="187">
        <f>'2. XL-1F kh'!Y53</f>
        <v>10.790000000000001</v>
      </c>
    </row>
    <row r="69" spans="1:9" ht="21.75" hidden="1" customHeight="1">
      <c r="A69" s="116">
        <v>7</v>
      </c>
      <c r="B69" s="118" t="s">
        <v>106</v>
      </c>
      <c r="C69" s="119"/>
      <c r="D69" s="186">
        <f>'2. XL-1F kh'!I16</f>
        <v>6.58</v>
      </c>
      <c r="E69" s="134">
        <f>'2. XL-1F kh'!Q16</f>
        <v>6.85</v>
      </c>
      <c r="F69" s="134">
        <f>'2. XL-1F kh'!Y16</f>
        <v>7.1</v>
      </c>
      <c r="G69" s="134">
        <f>'2. XL-1F kh'!I54</f>
        <v>7</v>
      </c>
      <c r="H69" s="134">
        <f>'2. XL-1F kh'!Q54</f>
        <v>7.2</v>
      </c>
      <c r="I69" s="187">
        <f>'2. XL-1F kh'!Y54</f>
        <v>7</v>
      </c>
    </row>
    <row r="70" spans="1:9" ht="21.75" hidden="1" customHeight="1">
      <c r="A70" s="117"/>
      <c r="B70" s="120"/>
      <c r="C70" s="121"/>
      <c r="D70" s="186">
        <f>'2. XL-1F kh'!I17</f>
        <v>2.2999999999999998</v>
      </c>
      <c r="E70" s="134">
        <f>'2. XL-1F kh'!Q17</f>
        <v>2.2799999999999998</v>
      </c>
      <c r="F70" s="134">
        <f>'2. XL-1F kh'!Y17</f>
        <v>2.2599999999999998</v>
      </c>
      <c r="G70" s="134">
        <f>'2. XL-1F kh'!I55</f>
        <v>2.2999999999999998</v>
      </c>
      <c r="H70" s="134">
        <f>'2. XL-1F kh'!Q55</f>
        <v>2.35</v>
      </c>
      <c r="I70" s="187">
        <f>'2. XL-1F kh'!Y55</f>
        <v>2.4</v>
      </c>
    </row>
    <row r="71" spans="1:9" ht="21.75" hidden="1" customHeight="1">
      <c r="A71" s="108">
        <v>8</v>
      </c>
      <c r="B71" s="111" t="s">
        <v>58</v>
      </c>
      <c r="C71" s="112"/>
      <c r="D71" s="186">
        <f>'2. XL-1F kh'!I18</f>
        <v>0.43914062500000001</v>
      </c>
      <c r="E71" s="134">
        <f>'2. XL-1F kh'!Q18</f>
        <v>0.46765624999999994</v>
      </c>
      <c r="F71" s="134">
        <f>'2. XL-1F kh'!Y18</f>
        <v>0.45624999999999999</v>
      </c>
      <c r="G71" s="134">
        <f>'2. XL-1F kh'!I56</f>
        <v>0.45054687500000001</v>
      </c>
      <c r="H71" s="134">
        <f>'2. XL-1F kh'!Q56</f>
        <v>0.44600000000000001</v>
      </c>
      <c r="I71" s="187">
        <f>'2. XL-1F kh'!Y56</f>
        <v>0.45624999999999999</v>
      </c>
    </row>
    <row r="72" spans="1:9" ht="21.75" hidden="1" customHeight="1">
      <c r="A72" s="108">
        <v>9</v>
      </c>
      <c r="B72" s="111" t="s">
        <v>59</v>
      </c>
      <c r="C72" s="112"/>
      <c r="D72" s="186">
        <f>'2. XL-1F kh'!I19</f>
        <v>0</v>
      </c>
      <c r="E72" s="134">
        <f>'2. XL-1F kh'!Q19</f>
        <v>0</v>
      </c>
      <c r="F72" s="134">
        <f>'2. XL-1F kh'!Y19</f>
        <v>0</v>
      </c>
      <c r="G72" s="134">
        <f>'2. XL-1F kh'!I57</f>
        <v>0</v>
      </c>
      <c r="H72" s="134">
        <f>'2. XL-1F kh'!Q57</f>
        <v>0</v>
      </c>
      <c r="I72" s="187">
        <f>'2. XL-1F kh'!Y57</f>
        <v>0</v>
      </c>
    </row>
    <row r="73" spans="1:9" ht="21.75" hidden="1" customHeight="1">
      <c r="A73" s="108">
        <v>11</v>
      </c>
      <c r="B73" s="111" t="s">
        <v>108</v>
      </c>
      <c r="C73" s="112"/>
      <c r="D73" s="186">
        <f>'2. XL-1F kh'!I20</f>
        <v>0</v>
      </c>
      <c r="E73" s="134">
        <f>'2. XL-1F kh'!Q20</f>
        <v>0</v>
      </c>
      <c r="F73" s="134">
        <f>'2. XL-1F kh'!Y20</f>
        <v>0</v>
      </c>
      <c r="G73" s="134">
        <f>'2. XL-1F kh'!I58</f>
        <v>0</v>
      </c>
      <c r="H73" s="134">
        <f>'2. XL-1F kh'!Q58</f>
        <v>0</v>
      </c>
      <c r="I73" s="187">
        <f>'2. XL-1F kh'!Y58</f>
        <v>0</v>
      </c>
    </row>
    <row r="74" spans="1:9" ht="21.75" hidden="1" customHeight="1">
      <c r="A74" s="108">
        <v>12</v>
      </c>
      <c r="B74" s="111" t="s">
        <v>107</v>
      </c>
      <c r="C74" s="112"/>
      <c r="D74" s="186">
        <f>'2. XL-1F kh'!I21</f>
        <v>1.0458E-2</v>
      </c>
      <c r="E74" s="134">
        <f>'2. XL-1F kh'!Q21</f>
        <v>1.0709999999999999E-2</v>
      </c>
      <c r="F74" s="134">
        <f>'2. XL-1F kh'!Y21</f>
        <v>1.008E-2</v>
      </c>
      <c r="G74" s="134">
        <f>'2. XL-1F kh'!I59</f>
        <v>1.2999999999999999E-2</v>
      </c>
      <c r="H74" s="134">
        <f>'2. XL-1F kh'!Q59</f>
        <v>1.0584E-2</v>
      </c>
      <c r="I74" s="187">
        <f>'2. XL-1F kh'!Y59</f>
        <v>1.0206E-2</v>
      </c>
    </row>
    <row r="75" spans="1:9" ht="21.75" hidden="1" customHeight="1">
      <c r="A75" s="147"/>
      <c r="B75" s="148" t="s">
        <v>109</v>
      </c>
      <c r="C75" s="155"/>
      <c r="D75" s="188" t="s">
        <v>157</v>
      </c>
      <c r="E75" s="143"/>
      <c r="F75" s="143"/>
      <c r="G75" s="143"/>
      <c r="H75" s="143"/>
      <c r="I75" s="189"/>
    </row>
    <row r="76" spans="1:9" ht="21.75" hidden="1" customHeight="1">
      <c r="A76" s="149" t="s">
        <v>7</v>
      </c>
      <c r="B76" s="150" t="s">
        <v>61</v>
      </c>
      <c r="C76" s="151"/>
      <c r="D76" s="190">
        <v>0.25</v>
      </c>
      <c r="E76" s="146">
        <v>0.41666666666666669</v>
      </c>
      <c r="F76" s="146">
        <v>0.58333333333333337</v>
      </c>
      <c r="G76" s="146">
        <v>0.75</v>
      </c>
      <c r="H76" s="146">
        <v>0.91666666666666663</v>
      </c>
      <c r="I76" s="191">
        <v>8.3333333333333329E-2</v>
      </c>
    </row>
    <row r="77" spans="1:9" ht="21.75" hidden="1" customHeight="1">
      <c r="A77" s="127">
        <v>1</v>
      </c>
      <c r="B77" s="114" t="s">
        <v>65</v>
      </c>
      <c r="C77" s="115"/>
      <c r="D77" s="186">
        <f>'2. XL-1F kh'!I26</f>
        <v>60</v>
      </c>
      <c r="E77" s="134">
        <f>'2. XL-1F kh'!Q26</f>
        <v>60</v>
      </c>
      <c r="F77" s="134">
        <f>'2. XL-1F kh'!Y26</f>
        <v>60</v>
      </c>
      <c r="G77" s="134">
        <f>'2. XL-1F kh'!I64</f>
        <v>57</v>
      </c>
      <c r="H77" s="134">
        <f>'2. XL-1F kh'!Q64</f>
        <v>55</v>
      </c>
      <c r="I77" s="187">
        <f>'2. XL-1F kh'!Y64</f>
        <v>59</v>
      </c>
    </row>
    <row r="78" spans="1:9" ht="21.75" hidden="1" customHeight="1">
      <c r="A78" s="127">
        <v>2</v>
      </c>
      <c r="B78" s="114" t="s">
        <v>66</v>
      </c>
      <c r="C78" s="115" t="s">
        <v>66</v>
      </c>
      <c r="D78" s="186">
        <f>'2. XL-1F kh'!I27</f>
        <v>60</v>
      </c>
      <c r="E78" s="134">
        <f>'2. XL-1F kh'!Q27</f>
        <v>62</v>
      </c>
      <c r="F78" s="134">
        <f>'2. XL-1F kh'!Y27</f>
        <v>60</v>
      </c>
      <c r="G78" s="134">
        <f>'2. XL-1F kh'!I65</f>
        <v>62</v>
      </c>
      <c r="H78" s="134">
        <f>'2. XL-1F kh'!Q65</f>
        <v>62</v>
      </c>
      <c r="I78" s="187">
        <f>'2. XL-1F kh'!Y65</f>
        <v>61</v>
      </c>
    </row>
    <row r="79" spans="1:9" ht="21.75" hidden="1" customHeight="1">
      <c r="A79" s="127">
        <v>3</v>
      </c>
      <c r="B79" s="114" t="s">
        <v>68</v>
      </c>
      <c r="C79" s="115" t="s">
        <v>68</v>
      </c>
      <c r="D79" s="186">
        <f>'2. XL-1F kh'!I28</f>
        <v>52</v>
      </c>
      <c r="E79" s="134">
        <f>'2. XL-1F kh'!Q28</f>
        <v>52</v>
      </c>
      <c r="F79" s="134">
        <f>'2. XL-1F kh'!Y28</f>
        <v>53</v>
      </c>
      <c r="G79" s="134">
        <f>'2. XL-1F kh'!I66</f>
        <v>53</v>
      </c>
      <c r="H79" s="134">
        <f>'2. XL-1F kh'!Q66</f>
        <v>53</v>
      </c>
      <c r="I79" s="187">
        <f>'2. XL-1F kh'!Y66</f>
        <v>52</v>
      </c>
    </row>
    <row r="80" spans="1:9" ht="21.75" hidden="1" customHeight="1">
      <c r="A80" s="127">
        <v>4</v>
      </c>
      <c r="B80" s="114" t="s">
        <v>67</v>
      </c>
      <c r="C80" s="115" t="s">
        <v>67</v>
      </c>
      <c r="D80" s="186">
        <f>'2. XL-1F kh'!I29</f>
        <v>52</v>
      </c>
      <c r="E80" s="134">
        <f>'2. XL-1F kh'!Q29</f>
        <v>52</v>
      </c>
      <c r="F80" s="134">
        <f>'2. XL-1F kh'!Y29</f>
        <v>50</v>
      </c>
      <c r="G80" s="134">
        <f>'2. XL-1F kh'!I67</f>
        <v>52</v>
      </c>
      <c r="H80" s="134">
        <f>'2. XL-1F kh'!Q67</f>
        <v>51</v>
      </c>
      <c r="I80" s="187">
        <f>'2. XL-1F kh'!Y67</f>
        <v>52</v>
      </c>
    </row>
    <row r="81" spans="1:9" ht="21.75" hidden="1" customHeight="1">
      <c r="A81" s="127">
        <v>5</v>
      </c>
      <c r="B81" s="114" t="s">
        <v>69</v>
      </c>
      <c r="C81" s="115" t="s">
        <v>69</v>
      </c>
      <c r="D81" s="186">
        <f>'2. XL-1F kh'!I30</f>
        <v>33</v>
      </c>
      <c r="E81" s="134">
        <f>'2. XL-1F kh'!Q30</f>
        <v>30</v>
      </c>
      <c r="F81" s="134">
        <f>'2. XL-1F kh'!Y30</f>
        <v>31</v>
      </c>
      <c r="G81" s="134">
        <f>'2. XL-1F kh'!I68</f>
        <v>34</v>
      </c>
      <c r="H81" s="134">
        <f>'2. XL-1F kh'!Q68</f>
        <v>34</v>
      </c>
      <c r="I81" s="187">
        <f>'2. XL-1F kh'!Y68</f>
        <v>33</v>
      </c>
    </row>
    <row r="82" spans="1:9" ht="21.75" hidden="1" customHeight="1">
      <c r="A82" s="127">
        <v>6</v>
      </c>
      <c r="B82" s="114" t="s">
        <v>87</v>
      </c>
      <c r="C82" s="115" t="s">
        <v>87</v>
      </c>
      <c r="D82" s="186">
        <f>'2. XL-1F kh'!I31</f>
        <v>33</v>
      </c>
      <c r="E82" s="134">
        <f>'2. XL-1F kh'!Q31</f>
        <v>33</v>
      </c>
      <c r="F82" s="134">
        <f>'2. XL-1F kh'!Y31</f>
        <v>34</v>
      </c>
      <c r="G82" s="134">
        <f>'2. XL-1F kh'!I69</f>
        <v>33</v>
      </c>
      <c r="H82" s="134">
        <f>'2. XL-1F kh'!Q69</f>
        <v>34</v>
      </c>
      <c r="I82" s="187">
        <f>'2. XL-1F kh'!Y69</f>
        <v>34</v>
      </c>
    </row>
    <row r="83" spans="1:9" ht="21.75" hidden="1" customHeight="1">
      <c r="A83" s="127">
        <v>7</v>
      </c>
      <c r="B83" s="114" t="s">
        <v>70</v>
      </c>
      <c r="C83" s="115" t="s">
        <v>70</v>
      </c>
      <c r="D83" s="186">
        <f>'2. XL-1F kh'!I32</f>
        <v>56</v>
      </c>
      <c r="E83" s="134">
        <f>'2. XL-1F kh'!Q32</f>
        <v>55</v>
      </c>
      <c r="F83" s="134">
        <f>'2. XL-1F kh'!Y32</f>
        <v>56</v>
      </c>
      <c r="G83" s="134">
        <f>'2. XL-1F kh'!I70</f>
        <v>58</v>
      </c>
      <c r="H83" s="134">
        <f>'2. XL-1F kh'!Q70</f>
        <v>55</v>
      </c>
      <c r="I83" s="187">
        <f>'2. XL-1F kh'!Y70</f>
        <v>56</v>
      </c>
    </row>
    <row r="84" spans="1:9" ht="21.75" hidden="1" customHeight="1">
      <c r="A84" s="127">
        <v>8</v>
      </c>
      <c r="B84" s="110" t="s">
        <v>71</v>
      </c>
      <c r="C84" s="113" t="s">
        <v>71</v>
      </c>
      <c r="D84" s="186">
        <f>'2. XL-1F kh'!K33</f>
        <v>91</v>
      </c>
      <c r="E84" s="134">
        <f>'2. XL-1F kh'!S33</f>
        <v>90</v>
      </c>
      <c r="F84" s="134">
        <f>'2. XL-1F kh'!AA33</f>
        <v>90</v>
      </c>
      <c r="G84" s="134">
        <f>'2. XL-1F kh'!K71</f>
        <v>91</v>
      </c>
      <c r="H84" s="134">
        <f>'2. XL-1F kh'!S71</f>
        <v>92</v>
      </c>
      <c r="I84" s="187">
        <f>'2. XL-1F kh'!AA71</f>
        <v>90</v>
      </c>
    </row>
    <row r="85" spans="1:9" ht="21.75" hidden="1" customHeight="1">
      <c r="A85" s="147"/>
      <c r="B85" s="148" t="s">
        <v>110</v>
      </c>
      <c r="C85" s="155"/>
      <c r="D85" s="188" t="s">
        <v>158</v>
      </c>
      <c r="E85" s="143"/>
      <c r="F85" s="143"/>
      <c r="G85" s="143"/>
      <c r="H85" s="143"/>
      <c r="I85" s="189"/>
    </row>
    <row r="86" spans="1:9" ht="21.75" hidden="1" customHeight="1">
      <c r="A86" s="149" t="s">
        <v>7</v>
      </c>
      <c r="B86" s="150" t="s">
        <v>92</v>
      </c>
      <c r="C86" s="151"/>
      <c r="D86" s="190">
        <v>0.25</v>
      </c>
      <c r="E86" s="146">
        <v>0.41666666666666669</v>
      </c>
      <c r="F86" s="146">
        <v>0.58333333333333337</v>
      </c>
      <c r="G86" s="146">
        <v>0.75</v>
      </c>
      <c r="H86" s="146">
        <v>0.91666666666666663</v>
      </c>
      <c r="I86" s="191">
        <v>8.3333333333333329E-2</v>
      </c>
    </row>
    <row r="87" spans="1:9" ht="21.75" hidden="1" customHeight="1">
      <c r="A87" s="108">
        <v>1</v>
      </c>
      <c r="B87" s="111" t="s">
        <v>51</v>
      </c>
      <c r="C87" s="112"/>
      <c r="D87" s="186">
        <f>'2. XL-1F kh'!I36</f>
        <v>140</v>
      </c>
      <c r="E87" s="134">
        <f>'2. XL-1F kh'!Q36</f>
        <v>142</v>
      </c>
      <c r="F87" s="134">
        <f>'2. XL-1F kh'!Y36</f>
        <v>142</v>
      </c>
      <c r="G87" s="134">
        <f>'2. XL-1F kh'!I74</f>
        <v>130</v>
      </c>
      <c r="H87" s="134">
        <f>'2. XL-1F kh'!Q74</f>
        <v>125</v>
      </c>
      <c r="I87" s="187">
        <f>'2. XL-1F kh'!Y74</f>
        <v>130</v>
      </c>
    </row>
    <row r="88" spans="1:9" ht="21.75" hidden="1" customHeight="1">
      <c r="A88" s="108">
        <v>2</v>
      </c>
      <c r="B88" s="111" t="s">
        <v>86</v>
      </c>
      <c r="C88" s="112"/>
      <c r="D88" s="186">
        <f>'2. XL-1F kh'!I37</f>
        <v>38</v>
      </c>
      <c r="E88" s="134">
        <f>'2. XL-1F kh'!Q37</f>
        <v>40</v>
      </c>
      <c r="F88" s="134">
        <f>'2. XL-1F kh'!Y37</f>
        <v>42</v>
      </c>
      <c r="G88" s="134">
        <f>'2. XL-1F kh'!I75</f>
        <v>40</v>
      </c>
      <c r="H88" s="134">
        <f>'2. XL-1F kh'!Q75</f>
        <v>42</v>
      </c>
      <c r="I88" s="187">
        <f>'2. XL-1F kh'!Y75</f>
        <v>40</v>
      </c>
    </row>
    <row r="89" spans="1:9" ht="21.75" hidden="1" customHeight="1">
      <c r="A89" s="140"/>
      <c r="B89" s="140"/>
      <c r="C89" s="140"/>
      <c r="D89" s="188" t="s">
        <v>156</v>
      </c>
      <c r="E89" s="143"/>
      <c r="F89" s="143"/>
      <c r="G89" s="143"/>
      <c r="H89" s="143"/>
      <c r="I89" s="189"/>
    </row>
    <row r="90" spans="1:9" ht="21.75" hidden="1" customHeight="1">
      <c r="A90" s="140"/>
      <c r="B90" s="140"/>
      <c r="C90" s="140"/>
      <c r="D90" s="192">
        <v>0.25</v>
      </c>
      <c r="E90" s="138">
        <v>0.41666666666666669</v>
      </c>
      <c r="F90" s="138">
        <v>0.58333333333333337</v>
      </c>
      <c r="G90" s="138">
        <v>0.75</v>
      </c>
      <c r="H90" s="138">
        <v>0.91666666666666663</v>
      </c>
      <c r="I90" s="193">
        <v>8.3333333333333329E-2</v>
      </c>
    </row>
    <row r="91" spans="1:9" ht="21.75" hidden="1" customHeight="1">
      <c r="A91" s="105">
        <v>1</v>
      </c>
      <c r="B91" s="118" t="s">
        <v>131</v>
      </c>
      <c r="C91" s="124" t="s">
        <v>100</v>
      </c>
      <c r="D91" s="194">
        <f>'2. XL-1F kh'!K6</f>
        <v>0</v>
      </c>
      <c r="E91" s="141">
        <f>'2. XL-1F kh'!S6</f>
        <v>0</v>
      </c>
      <c r="F91" s="141">
        <f>'2. XL-1F kh'!AA6</f>
        <v>4.9955150000000099</v>
      </c>
      <c r="G91" s="141">
        <f>'2. XL-1F kh'!K44</f>
        <v>0</v>
      </c>
      <c r="H91" s="141">
        <f>'2. XL-1F kh'!S44</f>
        <v>0</v>
      </c>
      <c r="I91" s="195">
        <f>'2. XL-1F kh'!AA44</f>
        <v>0</v>
      </c>
    </row>
    <row r="92" spans="1:9" ht="21.75" hidden="1" customHeight="1">
      <c r="A92" s="106"/>
      <c r="B92" s="125"/>
      <c r="C92" s="111" t="s">
        <v>101</v>
      </c>
      <c r="D92" s="194" t="e">
        <f>'2. XL-1F kh'!#REF!</f>
        <v>#REF!</v>
      </c>
      <c r="E92" s="141" t="e">
        <f>'2. XL-1F kh'!#REF!</f>
        <v>#REF!</v>
      </c>
      <c r="F92" s="141" t="e">
        <f>'2. XL-1F kh'!#REF!</f>
        <v>#REF!</v>
      </c>
      <c r="G92" s="141" t="e">
        <f>'2. XL-1F kh'!#REF!</f>
        <v>#REF!</v>
      </c>
      <c r="H92" s="141" t="e">
        <f>'2. XL-1F kh'!#REF!</f>
        <v>#REF!</v>
      </c>
      <c r="I92" s="195" t="e">
        <f>'2. XL-1F kh'!#REF!</f>
        <v>#REF!</v>
      </c>
    </row>
    <row r="93" spans="1:9" ht="21.75" hidden="1" customHeight="1">
      <c r="A93" s="107"/>
      <c r="B93" s="126"/>
      <c r="C93" s="111" t="s">
        <v>103</v>
      </c>
      <c r="D93" s="194" t="e">
        <f>'2. XL-1F kh'!#REF!</f>
        <v>#REF!</v>
      </c>
      <c r="E93" s="141" t="e">
        <f>'2. XL-1F kh'!#REF!</f>
        <v>#REF!</v>
      </c>
      <c r="F93" s="141" t="e">
        <f>'2. XL-1F kh'!#REF!</f>
        <v>#REF!</v>
      </c>
      <c r="G93" s="141" t="e">
        <f>'2. XL-1F kh'!#REF!</f>
        <v>#REF!</v>
      </c>
      <c r="H93" s="141" t="e">
        <f>'2. XL-1F kh'!#REF!</f>
        <v>#REF!</v>
      </c>
      <c r="I93" s="195" t="e">
        <f>'2. XL-1F kh'!#REF!</f>
        <v>#REF!</v>
      </c>
    </row>
    <row r="94" spans="1:9" ht="21.75" hidden="1" customHeight="1">
      <c r="A94" s="105">
        <v>2</v>
      </c>
      <c r="B94" s="118" t="s">
        <v>132</v>
      </c>
      <c r="C94" s="124" t="s">
        <v>100</v>
      </c>
      <c r="D94" s="194">
        <f>'2. XL-1F kh'!K8</f>
        <v>0</v>
      </c>
      <c r="E94" s="141">
        <f>'2. XL-1F kh'!S8</f>
        <v>0</v>
      </c>
      <c r="F94" s="141">
        <f>'2. XL-1F kh'!AA8</f>
        <v>0</v>
      </c>
      <c r="G94" s="141">
        <f>'2. XL-1F kh'!K46</f>
        <v>0</v>
      </c>
      <c r="H94" s="141">
        <f>'2. XL-1F kh'!S46</f>
        <v>0</v>
      </c>
      <c r="I94" s="195">
        <f>'2. XL-1F kh'!AA46</f>
        <v>0</v>
      </c>
    </row>
    <row r="95" spans="1:9" ht="21.75" hidden="1" customHeight="1">
      <c r="A95" s="106"/>
      <c r="B95" s="125"/>
      <c r="C95" s="111" t="s">
        <v>101</v>
      </c>
      <c r="D95" s="194" t="e">
        <f>'2. XL-1F kh'!#REF!</f>
        <v>#REF!</v>
      </c>
      <c r="E95" s="141" t="e">
        <f>'2. XL-1F kh'!#REF!</f>
        <v>#REF!</v>
      </c>
      <c r="F95" s="141" t="e">
        <f>'2. XL-1F kh'!#REF!</f>
        <v>#REF!</v>
      </c>
      <c r="G95" s="141" t="e">
        <f>'2. XL-1F kh'!#REF!</f>
        <v>#REF!</v>
      </c>
      <c r="H95" s="141" t="e">
        <f>'2. XL-1F kh'!#REF!</f>
        <v>#REF!</v>
      </c>
      <c r="I95" s="195" t="e">
        <f>'2. XL-1F kh'!#REF!</f>
        <v>#REF!</v>
      </c>
    </row>
    <row r="96" spans="1:9" ht="21.75" hidden="1" customHeight="1">
      <c r="A96" s="107"/>
      <c r="B96" s="126"/>
      <c r="C96" s="111" t="s">
        <v>103</v>
      </c>
      <c r="D96" s="194" t="e">
        <f>'2. XL-1F kh'!#REF!</f>
        <v>#REF!</v>
      </c>
      <c r="E96" s="141" t="e">
        <f>'2. XL-1F kh'!#REF!</f>
        <v>#REF!</v>
      </c>
      <c r="F96" s="141" t="e">
        <f>'2. XL-1F kh'!#REF!</f>
        <v>#REF!</v>
      </c>
      <c r="G96" s="141" t="e">
        <f>'2. XL-1F kh'!#REF!</f>
        <v>#REF!</v>
      </c>
      <c r="H96" s="141" t="e">
        <f>'2. XL-1F kh'!#REF!</f>
        <v>#REF!</v>
      </c>
      <c r="I96" s="195" t="e">
        <f>'2. XL-1F kh'!#REF!</f>
        <v>#REF!</v>
      </c>
    </row>
    <row r="97" spans="1:9" ht="21.75" hidden="1" customHeight="1">
      <c r="A97" s="105">
        <v>3</v>
      </c>
      <c r="B97" s="122" t="s">
        <v>133</v>
      </c>
      <c r="C97" s="124" t="s">
        <v>100</v>
      </c>
      <c r="D97" s="194">
        <f>'2. XL-1F kh'!K10</f>
        <v>0</v>
      </c>
      <c r="E97" s="141">
        <f>'2. XL-1F kh'!S10</f>
        <v>0</v>
      </c>
      <c r="F97" s="141">
        <f>'2. XL-1F kh'!AA10</f>
        <v>0</v>
      </c>
      <c r="G97" s="141">
        <f>'2. XL-1F kh'!K48</f>
        <v>0</v>
      </c>
      <c r="H97" s="141">
        <f>'2. XL-1F kh'!S48</f>
        <v>0</v>
      </c>
      <c r="I97" s="195">
        <f>'2. XL-1F kh'!AA48</f>
        <v>0</v>
      </c>
    </row>
    <row r="98" spans="1:9" ht="21.75" hidden="1" customHeight="1">
      <c r="A98" s="107"/>
      <c r="B98" s="123"/>
      <c r="C98" s="111" t="s">
        <v>104</v>
      </c>
      <c r="D98" s="194">
        <f>'2. XL-1F kh'!K11</f>
        <v>0</v>
      </c>
      <c r="E98" s="141">
        <f>'2. XL-1F kh'!S11</f>
        <v>0</v>
      </c>
      <c r="F98" s="141">
        <f>'2. XL-1F kh'!AA11</f>
        <v>0</v>
      </c>
      <c r="G98" s="141">
        <f>'2. XL-1F kh'!K49</f>
        <v>0</v>
      </c>
      <c r="H98" s="141">
        <f>'2. XL-1F kh'!S49</f>
        <v>0</v>
      </c>
      <c r="I98" s="195">
        <f>'2. XL-1F kh'!AA49</f>
        <v>0</v>
      </c>
    </row>
    <row r="99" spans="1:9" ht="21.75" hidden="1" customHeight="1">
      <c r="A99" s="105">
        <v>4</v>
      </c>
      <c r="B99" s="122" t="s">
        <v>134</v>
      </c>
      <c r="C99" s="124" t="s">
        <v>100</v>
      </c>
      <c r="D99" s="194">
        <f>'2. XL-1F kh'!K12</f>
        <v>0</v>
      </c>
      <c r="E99" s="141">
        <f>'2. XL-1F kh'!S12</f>
        <v>0</v>
      </c>
      <c r="F99" s="141">
        <f>'2. XL-1F kh'!AA12</f>
        <v>0</v>
      </c>
      <c r="G99" s="141">
        <f>'2. XL-1F kh'!K50</f>
        <v>8.0011559999999911</v>
      </c>
      <c r="H99" s="141">
        <f>'2. XL-1F kh'!S50</f>
        <v>0</v>
      </c>
      <c r="I99" s="195">
        <f>'2. XL-1F kh'!AA50</f>
        <v>0</v>
      </c>
    </row>
    <row r="100" spans="1:9" ht="21.75" hidden="1" customHeight="1">
      <c r="A100" s="107"/>
      <c r="B100" s="123"/>
      <c r="C100" s="111" t="s">
        <v>104</v>
      </c>
      <c r="D100" s="194">
        <f>'2. XL-1F kh'!K13</f>
        <v>0</v>
      </c>
      <c r="E100" s="141">
        <f>'2. XL-1F kh'!S13</f>
        <v>0</v>
      </c>
      <c r="F100" s="141">
        <f>'2. XL-1F kh'!AA13</f>
        <v>0</v>
      </c>
      <c r="G100" s="141">
        <f>'2. XL-1F kh'!K51</f>
        <v>2.2403236799999977</v>
      </c>
      <c r="H100" s="141">
        <f>'2. XL-1F kh'!S51</f>
        <v>0</v>
      </c>
      <c r="I100" s="195">
        <f>'2. XL-1F kh'!AA51</f>
        <v>0</v>
      </c>
    </row>
    <row r="101" spans="1:9" ht="21.75" hidden="1" customHeight="1">
      <c r="A101" s="108">
        <v>5</v>
      </c>
      <c r="B101" s="111" t="s">
        <v>79</v>
      </c>
      <c r="C101" s="112"/>
      <c r="D101" s="194">
        <f>'2. XL-1F kh'!K14</f>
        <v>0</v>
      </c>
      <c r="E101" s="141">
        <f>'2. XL-1F kh'!S14</f>
        <v>0</v>
      </c>
      <c r="F101" s="141">
        <f>'2. XL-1F kh'!AA14</f>
        <v>0</v>
      </c>
      <c r="G101" s="141">
        <f>'2. XL-1F kh'!K52</f>
        <v>0</v>
      </c>
      <c r="H101" s="141">
        <f>'2. XL-1F kh'!S52</f>
        <v>0</v>
      </c>
      <c r="I101" s="195">
        <f>'2. XL-1F kh'!AA52</f>
        <v>15.960800000000226</v>
      </c>
    </row>
    <row r="102" spans="1:9" ht="21.75" hidden="1" customHeight="1">
      <c r="A102" s="108">
        <v>6</v>
      </c>
      <c r="B102" s="111" t="s">
        <v>57</v>
      </c>
      <c r="C102" s="112"/>
      <c r="D102" s="194">
        <f>'2. XL-1F kh'!K15</f>
        <v>0</v>
      </c>
      <c r="E102" s="141">
        <f>'2. XL-1F kh'!S15</f>
        <v>0</v>
      </c>
      <c r="F102" s="141">
        <f>'2. XL-1F kh'!AA15</f>
        <v>0</v>
      </c>
      <c r="G102" s="141">
        <f>'2. XL-1F kh'!K53</f>
        <v>0</v>
      </c>
      <c r="H102" s="141">
        <f>'2. XL-1F kh'!S53</f>
        <v>0</v>
      </c>
      <c r="I102" s="195">
        <f>'2. XL-1F kh'!AA53</f>
        <v>0</v>
      </c>
    </row>
    <row r="103" spans="1:9" ht="21.75" hidden="1" customHeight="1">
      <c r="A103" s="116">
        <v>7</v>
      </c>
      <c r="B103" s="118" t="s">
        <v>106</v>
      </c>
      <c r="C103" s="119"/>
      <c r="D103" s="194">
        <f>'2. XL-1F kh'!K16</f>
        <v>2.4149999999999996</v>
      </c>
      <c r="E103" s="141">
        <f>'2. XL-1F kh'!S16</f>
        <v>0.86250000000000204</v>
      </c>
      <c r="F103" s="141">
        <f>'2. XL-1F kh'!AA16</f>
        <v>0</v>
      </c>
      <c r="G103" s="141">
        <f>'2. XL-1F kh'!K54</f>
        <v>0</v>
      </c>
      <c r="H103" s="141">
        <f>'2. XL-1F kh'!S54</f>
        <v>0</v>
      </c>
      <c r="I103" s="195">
        <f>'2. XL-1F kh'!AA54</f>
        <v>0</v>
      </c>
    </row>
    <row r="104" spans="1:9" ht="21.75" hidden="1" customHeight="1">
      <c r="A104" s="117"/>
      <c r="B104" s="120"/>
      <c r="C104" s="121"/>
      <c r="D104" s="194">
        <f>'2. XL-1F kh'!K17</f>
        <v>0</v>
      </c>
      <c r="E104" s="141">
        <f>'2. XL-1F kh'!S17</f>
        <v>0</v>
      </c>
      <c r="F104" s="141">
        <f>'2. XL-1F kh'!AA17</f>
        <v>0</v>
      </c>
      <c r="G104" s="141">
        <f>'2. XL-1F kh'!K55</f>
        <v>0</v>
      </c>
      <c r="H104" s="141">
        <f>'2. XL-1F kh'!S55</f>
        <v>0</v>
      </c>
      <c r="I104" s="195">
        <f>'2. XL-1F kh'!AA55</f>
        <v>0</v>
      </c>
    </row>
    <row r="105" spans="1:9" ht="21.75" hidden="1" customHeight="1">
      <c r="A105" s="108">
        <v>8</v>
      </c>
      <c r="B105" s="111" t="s">
        <v>58</v>
      </c>
      <c r="C105" s="112"/>
      <c r="D105" s="194">
        <f>'2. XL-1F kh'!K18</f>
        <v>23.04359375000001</v>
      </c>
      <c r="E105" s="141">
        <f>'2. XL-1F kh'!S18</f>
        <v>0</v>
      </c>
      <c r="F105" s="141">
        <f>'2. XL-1F kh'!AA18</f>
        <v>0</v>
      </c>
      <c r="G105" s="141">
        <f>'2. XL-1F kh'!K56</f>
        <v>0</v>
      </c>
      <c r="H105" s="141">
        <f>'2. XL-1F kh'!S56</f>
        <v>8.4880000000000067</v>
      </c>
      <c r="I105" s="195">
        <f>'2. XL-1F kh'!AA56</f>
        <v>0</v>
      </c>
    </row>
    <row r="106" spans="1:9" ht="21.75" hidden="1" customHeight="1">
      <c r="A106" s="108">
        <v>9</v>
      </c>
      <c r="B106" s="111" t="s">
        <v>59</v>
      </c>
      <c r="C106" s="112"/>
      <c r="D106" s="194">
        <f>'2. XL-1F kh'!K19</f>
        <v>134.64000000000001</v>
      </c>
      <c r="E106" s="141">
        <f>'2. XL-1F kh'!S19</f>
        <v>134.64000000000001</v>
      </c>
      <c r="F106" s="141">
        <f>'2. XL-1F kh'!AA19</f>
        <v>134.64000000000001</v>
      </c>
      <c r="G106" s="141">
        <f>'2. XL-1F kh'!K57</f>
        <v>134.64000000000001</v>
      </c>
      <c r="H106" s="141">
        <f>'2. XL-1F kh'!S57</f>
        <v>134.64000000000001</v>
      </c>
      <c r="I106" s="195">
        <f>'2. XL-1F kh'!AA57</f>
        <v>134.64000000000001</v>
      </c>
    </row>
    <row r="107" spans="1:9" ht="21.75" hidden="1" customHeight="1">
      <c r="A107" s="108">
        <v>11</v>
      </c>
      <c r="B107" s="111" t="s">
        <v>108</v>
      </c>
      <c r="C107" s="112"/>
      <c r="D107" s="194">
        <f>'2. XL-1F kh'!K20</f>
        <v>57.5</v>
      </c>
      <c r="E107" s="141">
        <f>'2. XL-1F kh'!S20</f>
        <v>57.5</v>
      </c>
      <c r="F107" s="141">
        <f>'2. XL-1F kh'!AA20</f>
        <v>57.5</v>
      </c>
      <c r="G107" s="141">
        <f>'2. XL-1F kh'!K58</f>
        <v>57.5</v>
      </c>
      <c r="H107" s="141">
        <f>'2. XL-1F kh'!S58</f>
        <v>57.5</v>
      </c>
      <c r="I107" s="195">
        <f>'2. XL-1F kh'!AA58</f>
        <v>57.5</v>
      </c>
    </row>
    <row r="108" spans="1:9" ht="21.75" hidden="1" customHeight="1">
      <c r="A108" s="108">
        <v>12</v>
      </c>
      <c r="B108" s="111" t="s">
        <v>107</v>
      </c>
      <c r="C108" s="112"/>
      <c r="D108" s="196">
        <f>'2. XL-1F kh'!K21</f>
        <v>0</v>
      </c>
      <c r="E108" s="145">
        <f>'2. XL-1F kh'!S21</f>
        <v>0</v>
      </c>
      <c r="F108" s="145">
        <f>'2. XL-1F kh'!AA21</f>
        <v>0</v>
      </c>
      <c r="G108" s="145">
        <f>'2. XL-1F kh'!K59</f>
        <v>0</v>
      </c>
      <c r="H108" s="145">
        <f>'2. XL-1F kh'!S59</f>
        <v>0</v>
      </c>
      <c r="I108" s="197">
        <f>'2. XL-1F kh'!AA59</f>
        <v>0</v>
      </c>
    </row>
    <row r="109" spans="1:9" ht="21.75" hidden="1" customHeight="1">
      <c r="D109" s="186"/>
      <c r="E109" s="134"/>
      <c r="F109" s="134"/>
      <c r="G109" s="134"/>
      <c r="H109" s="134"/>
      <c r="I109" s="187"/>
    </row>
    <row r="110" spans="1:9" ht="39" hidden="1" customHeight="1">
      <c r="A110" s="169"/>
      <c r="B110" s="167" t="s">
        <v>209</v>
      </c>
      <c r="C110" s="170"/>
      <c r="D110" s="198"/>
      <c r="E110" s="171"/>
      <c r="F110" s="134"/>
      <c r="G110" s="134"/>
      <c r="H110" s="134"/>
      <c r="I110" s="187"/>
    </row>
    <row r="111" spans="1:9" ht="21.75" hidden="1" customHeight="1">
      <c r="A111" s="164" t="s">
        <v>7</v>
      </c>
      <c r="B111" s="152"/>
      <c r="C111" s="152"/>
      <c r="D111" s="188" t="s">
        <v>155</v>
      </c>
      <c r="E111" s="143"/>
      <c r="F111" s="143"/>
      <c r="G111" s="143"/>
      <c r="H111" s="143"/>
      <c r="I111" s="189"/>
    </row>
    <row r="112" spans="1:9" ht="21.75" hidden="1" customHeight="1">
      <c r="A112" s="165"/>
      <c r="B112" s="161"/>
      <c r="C112" s="161"/>
      <c r="D112" s="192">
        <v>0.25</v>
      </c>
      <c r="E112" s="138">
        <v>0.41666666666666669</v>
      </c>
      <c r="F112" s="138">
        <v>0.58333333333333337</v>
      </c>
      <c r="G112" s="138">
        <v>0.75</v>
      </c>
      <c r="H112" s="138">
        <v>0.91666666666666663</v>
      </c>
      <c r="I112" s="193">
        <v>8.3333333333333329E-2</v>
      </c>
    </row>
    <row r="113" spans="1:9" ht="21.75" hidden="1" customHeight="1">
      <c r="A113" s="3377">
        <v>1</v>
      </c>
      <c r="B113" s="3379" t="s">
        <v>131</v>
      </c>
      <c r="C113" s="172" t="s">
        <v>100</v>
      </c>
      <c r="D113" s="186"/>
      <c r="E113" s="134"/>
      <c r="F113" s="134"/>
      <c r="G113" s="134"/>
      <c r="H113" s="134"/>
      <c r="I113" s="187"/>
    </row>
    <row r="114" spans="1:9" ht="21.75" hidden="1" customHeight="1">
      <c r="A114" s="3377"/>
      <c r="B114" s="3380"/>
      <c r="C114" s="173" t="s">
        <v>101</v>
      </c>
      <c r="D114" s="186"/>
      <c r="E114" s="134"/>
      <c r="F114" s="134"/>
      <c r="G114" s="134"/>
      <c r="H114" s="134"/>
      <c r="I114" s="187"/>
    </row>
    <row r="115" spans="1:9" ht="21.75" hidden="1" customHeight="1">
      <c r="A115" s="3378"/>
      <c r="B115" s="3381"/>
      <c r="C115" s="121" t="s">
        <v>103</v>
      </c>
      <c r="D115" s="184"/>
      <c r="E115" s="135"/>
      <c r="F115" s="135"/>
      <c r="G115" s="135"/>
      <c r="H115" s="135"/>
      <c r="I115" s="185"/>
    </row>
    <row r="116" spans="1:9" ht="21.75" hidden="1" customHeight="1">
      <c r="A116" s="3293">
        <v>2</v>
      </c>
      <c r="B116" s="3382" t="s">
        <v>132</v>
      </c>
      <c r="C116" s="126" t="s">
        <v>100</v>
      </c>
      <c r="D116" s="186"/>
      <c r="E116" s="134"/>
      <c r="F116" s="134"/>
      <c r="G116" s="134"/>
      <c r="H116" s="134"/>
      <c r="I116" s="187"/>
    </row>
    <row r="117" spans="1:9" ht="21.75" hidden="1" customHeight="1">
      <c r="A117" s="3293"/>
      <c r="B117" s="3267"/>
      <c r="C117" s="111" t="s">
        <v>101</v>
      </c>
      <c r="D117" s="186"/>
      <c r="E117" s="134"/>
      <c r="F117" s="134"/>
      <c r="G117" s="134"/>
      <c r="H117" s="134"/>
      <c r="I117" s="187"/>
    </row>
    <row r="118" spans="1:9" ht="21.75" hidden="1" customHeight="1">
      <c r="A118" s="3261"/>
      <c r="B118" s="3269"/>
      <c r="C118" s="111" t="s">
        <v>103</v>
      </c>
      <c r="D118" s="186"/>
      <c r="E118" s="134"/>
      <c r="F118" s="134"/>
      <c r="G118" s="134"/>
      <c r="H118" s="134"/>
      <c r="I118" s="187"/>
    </row>
    <row r="119" spans="1:9" ht="21.75" hidden="1" customHeight="1">
      <c r="A119" s="3260">
        <v>3</v>
      </c>
      <c r="B119" s="3250" t="s">
        <v>133</v>
      </c>
      <c r="C119" s="124" t="s">
        <v>100</v>
      </c>
      <c r="D119" s="186"/>
      <c r="E119" s="134"/>
      <c r="F119" s="134"/>
      <c r="G119" s="134"/>
      <c r="H119" s="134"/>
      <c r="I119" s="187"/>
    </row>
    <row r="120" spans="1:9" ht="21.75" hidden="1" customHeight="1">
      <c r="A120" s="3261"/>
      <c r="B120" s="3262"/>
      <c r="C120" s="111" t="s">
        <v>104</v>
      </c>
      <c r="D120" s="186"/>
      <c r="E120" s="134"/>
      <c r="F120" s="134"/>
      <c r="G120" s="134"/>
      <c r="H120" s="134"/>
      <c r="I120" s="187"/>
    </row>
    <row r="121" spans="1:9" ht="21.75" hidden="1" customHeight="1">
      <c r="A121" s="3260">
        <v>4</v>
      </c>
      <c r="B121" s="3250" t="s">
        <v>134</v>
      </c>
      <c r="C121" s="124" t="s">
        <v>100</v>
      </c>
      <c r="D121" s="186"/>
      <c r="E121" s="134"/>
      <c r="F121" s="134"/>
      <c r="G121" s="134"/>
      <c r="H121" s="134"/>
      <c r="I121" s="187"/>
    </row>
    <row r="122" spans="1:9" ht="21.75" hidden="1" customHeight="1">
      <c r="A122" s="3261"/>
      <c r="B122" s="3262"/>
      <c r="C122" s="111" t="s">
        <v>104</v>
      </c>
      <c r="D122" s="186"/>
      <c r="E122" s="134"/>
      <c r="F122" s="134"/>
      <c r="G122" s="134"/>
      <c r="H122" s="134"/>
      <c r="I122" s="187"/>
    </row>
    <row r="123" spans="1:9" ht="21.75" hidden="1" customHeight="1">
      <c r="A123" s="108">
        <v>5</v>
      </c>
      <c r="B123" s="3251" t="s">
        <v>79</v>
      </c>
      <c r="C123" s="3252"/>
      <c r="D123" s="186"/>
      <c r="E123" s="134"/>
      <c r="F123" s="134"/>
      <c r="G123" s="134"/>
      <c r="H123" s="134"/>
      <c r="I123" s="187"/>
    </row>
    <row r="124" spans="1:9" ht="21.75" hidden="1" customHeight="1">
      <c r="A124" s="108">
        <v>6</v>
      </c>
      <c r="B124" s="3251" t="s">
        <v>57</v>
      </c>
      <c r="C124" s="3252"/>
      <c r="D124" s="186"/>
      <c r="E124" s="134"/>
      <c r="F124" s="134"/>
      <c r="G124" s="134"/>
      <c r="H124" s="134"/>
      <c r="I124" s="187"/>
    </row>
    <row r="125" spans="1:9" ht="21.75" hidden="1" customHeight="1">
      <c r="A125" s="3375">
        <v>7</v>
      </c>
      <c r="B125" s="3083" t="s">
        <v>149</v>
      </c>
      <c r="C125" s="3084"/>
      <c r="D125" s="186"/>
      <c r="E125" s="134"/>
      <c r="F125" s="134"/>
      <c r="G125" s="134"/>
      <c r="H125" s="134"/>
      <c r="I125" s="187"/>
    </row>
    <row r="126" spans="1:9" ht="21.75" hidden="1" customHeight="1">
      <c r="A126" s="3376"/>
      <c r="B126" s="3086"/>
      <c r="C126" s="3087"/>
      <c r="D126" s="186"/>
      <c r="E126" s="134"/>
      <c r="F126" s="134"/>
      <c r="G126" s="134"/>
      <c r="H126" s="134"/>
      <c r="I126" s="187"/>
    </row>
    <row r="127" spans="1:9" ht="21.75" hidden="1" customHeight="1">
      <c r="A127" s="108">
        <v>8</v>
      </c>
      <c r="B127" s="3251" t="s">
        <v>58</v>
      </c>
      <c r="C127" s="3252"/>
      <c r="D127" s="186"/>
      <c r="E127" s="134"/>
      <c r="F127" s="134"/>
      <c r="G127" s="134"/>
      <c r="H127" s="134"/>
      <c r="I127" s="187"/>
    </row>
    <row r="128" spans="1:9" ht="21.75" hidden="1" customHeight="1">
      <c r="A128" s="108">
        <v>9</v>
      </c>
      <c r="B128" s="3251" t="s">
        <v>59</v>
      </c>
      <c r="C128" s="3252"/>
      <c r="D128" s="186"/>
      <c r="E128" s="134"/>
      <c r="F128" s="134"/>
      <c r="G128" s="134"/>
      <c r="H128" s="134"/>
      <c r="I128" s="187"/>
    </row>
    <row r="129" spans="1:9" ht="21.75" hidden="1" customHeight="1">
      <c r="A129" s="108">
        <v>10</v>
      </c>
      <c r="B129" s="3251" t="s">
        <v>107</v>
      </c>
      <c r="C129" s="3252"/>
      <c r="D129" s="186"/>
      <c r="E129" s="134"/>
      <c r="F129" s="134"/>
      <c r="G129" s="134"/>
      <c r="H129" s="134"/>
      <c r="I129" s="187"/>
    </row>
    <row r="130" spans="1:9" ht="21.75" hidden="1" customHeight="1">
      <c r="A130" s="147"/>
      <c r="B130" s="148" t="s">
        <v>109</v>
      </c>
      <c r="C130" s="155"/>
      <c r="D130" s="188" t="s">
        <v>157</v>
      </c>
      <c r="E130" s="143"/>
      <c r="F130" s="143"/>
      <c r="G130" s="143"/>
      <c r="H130" s="143"/>
      <c r="I130" s="189"/>
    </row>
    <row r="131" spans="1:9" ht="21.75" hidden="1" customHeight="1">
      <c r="A131" s="149" t="s">
        <v>7</v>
      </c>
      <c r="B131" s="150" t="s">
        <v>61</v>
      </c>
      <c r="C131" s="151"/>
      <c r="D131" s="190">
        <v>0.25</v>
      </c>
      <c r="E131" s="146">
        <v>0.41666666666666669</v>
      </c>
      <c r="F131" s="146">
        <v>0.58333333333333337</v>
      </c>
      <c r="G131" s="146">
        <v>0.75</v>
      </c>
      <c r="H131" s="146">
        <v>0.91666666666666663</v>
      </c>
      <c r="I131" s="191">
        <v>8.3333333333333329E-2</v>
      </c>
    </row>
    <row r="132" spans="1:9" ht="21.75" hidden="1" customHeight="1">
      <c r="A132" s="127">
        <v>1</v>
      </c>
      <c r="B132" s="3095" t="s">
        <v>65</v>
      </c>
      <c r="C132" s="3120"/>
      <c r="D132" s="186"/>
      <c r="E132" s="134"/>
      <c r="F132" s="134"/>
      <c r="G132" s="134"/>
      <c r="H132" s="134"/>
      <c r="I132" s="187"/>
    </row>
    <row r="133" spans="1:9" ht="21.75" hidden="1" customHeight="1">
      <c r="A133" s="127">
        <v>2</v>
      </c>
      <c r="B133" s="3095" t="s">
        <v>66</v>
      </c>
      <c r="C133" s="3120" t="s">
        <v>66</v>
      </c>
      <c r="D133" s="186"/>
      <c r="E133" s="134"/>
      <c r="F133" s="134"/>
      <c r="G133" s="134"/>
      <c r="H133" s="134"/>
      <c r="I133" s="187"/>
    </row>
    <row r="134" spans="1:9" ht="21.75" hidden="1" customHeight="1">
      <c r="A134" s="127">
        <v>3</v>
      </c>
      <c r="B134" s="3095" t="s">
        <v>68</v>
      </c>
      <c r="C134" s="3120" t="s">
        <v>68</v>
      </c>
      <c r="D134" s="186"/>
      <c r="E134" s="134"/>
      <c r="F134" s="134"/>
      <c r="G134" s="134"/>
      <c r="H134" s="134"/>
      <c r="I134" s="187"/>
    </row>
    <row r="135" spans="1:9" ht="21.75" hidden="1" customHeight="1">
      <c r="A135" s="127">
        <v>4</v>
      </c>
      <c r="B135" s="3095" t="s">
        <v>67</v>
      </c>
      <c r="C135" s="3120" t="s">
        <v>67</v>
      </c>
      <c r="D135" s="186"/>
      <c r="E135" s="134"/>
      <c r="F135" s="134"/>
      <c r="G135" s="134"/>
      <c r="H135" s="134"/>
      <c r="I135" s="187"/>
    </row>
    <row r="136" spans="1:9" ht="21.75" hidden="1" customHeight="1">
      <c r="A136" s="127">
        <v>5</v>
      </c>
      <c r="B136" s="3095" t="s">
        <v>69</v>
      </c>
      <c r="C136" s="3120" t="s">
        <v>69</v>
      </c>
      <c r="D136" s="186"/>
      <c r="E136" s="134"/>
      <c r="F136" s="134"/>
      <c r="G136" s="134"/>
      <c r="H136" s="134"/>
      <c r="I136" s="187"/>
    </row>
    <row r="137" spans="1:9" ht="21.75" hidden="1" customHeight="1">
      <c r="A137" s="127">
        <v>6</v>
      </c>
      <c r="B137" s="3095" t="s">
        <v>87</v>
      </c>
      <c r="C137" s="3120" t="s">
        <v>87</v>
      </c>
      <c r="D137" s="186"/>
      <c r="E137" s="134"/>
      <c r="F137" s="134"/>
      <c r="G137" s="134"/>
      <c r="H137" s="134"/>
      <c r="I137" s="187"/>
    </row>
    <row r="138" spans="1:9" ht="21.75" hidden="1" customHeight="1">
      <c r="A138" s="127">
        <v>7</v>
      </c>
      <c r="B138" s="3095" t="s">
        <v>70</v>
      </c>
      <c r="C138" s="3120" t="s">
        <v>70</v>
      </c>
      <c r="D138" s="186"/>
      <c r="E138" s="134"/>
      <c r="F138" s="134"/>
      <c r="G138" s="134"/>
      <c r="H138" s="134"/>
      <c r="I138" s="187"/>
    </row>
    <row r="139" spans="1:9" ht="21.75" hidden="1" customHeight="1">
      <c r="A139" s="127">
        <v>8</v>
      </c>
      <c r="B139" s="3095" t="s">
        <v>71</v>
      </c>
      <c r="C139" s="3120" t="s">
        <v>71</v>
      </c>
      <c r="D139" s="186"/>
      <c r="E139" s="134"/>
      <c r="F139" s="134"/>
      <c r="G139" s="134"/>
      <c r="H139" s="134"/>
      <c r="I139" s="187"/>
    </row>
    <row r="140" spans="1:9" ht="21.75" hidden="1" customHeight="1">
      <c r="A140" s="147"/>
      <c r="B140" s="148" t="s">
        <v>110</v>
      </c>
      <c r="C140" s="155"/>
      <c r="D140" s="188"/>
      <c r="E140" s="143"/>
      <c r="F140" s="143"/>
      <c r="G140" s="143"/>
      <c r="H140" s="143"/>
      <c r="I140" s="189"/>
    </row>
    <row r="141" spans="1:9" ht="21.75" hidden="1" customHeight="1">
      <c r="A141" s="149" t="s">
        <v>7</v>
      </c>
      <c r="B141" s="150" t="s">
        <v>92</v>
      </c>
      <c r="C141" s="151"/>
      <c r="D141" s="190"/>
      <c r="E141" s="146"/>
      <c r="F141" s="146"/>
      <c r="G141" s="146"/>
      <c r="H141" s="146"/>
      <c r="I141" s="191"/>
    </row>
    <row r="142" spans="1:9" ht="21.75" hidden="1" customHeight="1">
      <c r="A142" s="108">
        <v>1</v>
      </c>
      <c r="B142" s="3251" t="s">
        <v>51</v>
      </c>
      <c r="C142" s="3252"/>
      <c r="D142" s="186"/>
      <c r="E142" s="134"/>
      <c r="F142" s="134"/>
      <c r="G142" s="134"/>
      <c r="H142" s="134"/>
      <c r="I142" s="187"/>
    </row>
    <row r="143" spans="1:9" ht="21.75" hidden="1" customHeight="1">
      <c r="A143" s="108">
        <v>2</v>
      </c>
      <c r="B143" s="3251" t="s">
        <v>86</v>
      </c>
      <c r="C143" s="3252"/>
      <c r="D143" s="186"/>
      <c r="E143" s="134"/>
      <c r="F143" s="134"/>
      <c r="G143" s="134"/>
      <c r="H143" s="134"/>
      <c r="I143" s="187"/>
    </row>
    <row r="144" spans="1:9" ht="21.75" hidden="1" customHeight="1">
      <c r="A144" s="140"/>
      <c r="B144" s="140"/>
      <c r="C144" s="140"/>
      <c r="D144" s="188" t="s">
        <v>156</v>
      </c>
      <c r="E144" s="143"/>
      <c r="F144" s="143"/>
      <c r="G144" s="143"/>
      <c r="H144" s="143"/>
      <c r="I144" s="189"/>
    </row>
    <row r="145" spans="1:9" ht="21.75" hidden="1" customHeight="1">
      <c r="A145" s="140"/>
      <c r="B145" s="140"/>
      <c r="C145" s="140"/>
      <c r="D145" s="192">
        <v>0.25</v>
      </c>
      <c r="E145" s="138">
        <v>0.41666666666666669</v>
      </c>
      <c r="F145" s="138">
        <v>0.58333333333333337</v>
      </c>
      <c r="G145" s="138">
        <v>0.75</v>
      </c>
      <c r="H145" s="138">
        <v>0.91666666666666663</v>
      </c>
      <c r="I145" s="193">
        <v>8.3333333333333329E-2</v>
      </c>
    </row>
    <row r="146" spans="1:9" ht="21.75" hidden="1" customHeight="1">
      <c r="A146" s="3260">
        <v>1</v>
      </c>
      <c r="B146" s="3083" t="s">
        <v>131</v>
      </c>
      <c r="C146" s="124" t="s">
        <v>100</v>
      </c>
      <c r="D146" s="199"/>
      <c r="E146" s="156"/>
      <c r="F146" s="156"/>
      <c r="G146" s="156"/>
      <c r="H146" s="156"/>
      <c r="I146" s="200"/>
    </row>
    <row r="147" spans="1:9" ht="21.75" hidden="1" customHeight="1">
      <c r="A147" s="3293"/>
      <c r="B147" s="3267"/>
      <c r="C147" s="111" t="s">
        <v>101</v>
      </c>
      <c r="D147" s="194"/>
      <c r="E147" s="141"/>
      <c r="F147" s="141"/>
      <c r="G147" s="141"/>
      <c r="H147" s="141"/>
      <c r="I147" s="195"/>
    </row>
    <row r="148" spans="1:9" ht="21.75" hidden="1" customHeight="1">
      <c r="A148" s="3261"/>
      <c r="B148" s="3269"/>
      <c r="C148" s="111" t="s">
        <v>103</v>
      </c>
      <c r="D148" s="194"/>
      <c r="E148" s="141"/>
      <c r="F148" s="141"/>
      <c r="G148" s="141"/>
      <c r="H148" s="141"/>
      <c r="I148" s="195"/>
    </row>
    <row r="149" spans="1:9" ht="21.75" hidden="1" customHeight="1">
      <c r="A149" s="3260">
        <v>2</v>
      </c>
      <c r="B149" s="3083" t="s">
        <v>132</v>
      </c>
      <c r="C149" s="124" t="s">
        <v>100</v>
      </c>
      <c r="D149" s="194"/>
      <c r="E149" s="141"/>
      <c r="F149" s="141"/>
      <c r="G149" s="141"/>
      <c r="H149" s="141"/>
      <c r="I149" s="195"/>
    </row>
    <row r="150" spans="1:9" ht="21.75" hidden="1" customHeight="1">
      <c r="A150" s="3293"/>
      <c r="B150" s="3267"/>
      <c r="C150" s="111" t="s">
        <v>101</v>
      </c>
      <c r="D150" s="194"/>
      <c r="E150" s="141"/>
      <c r="F150" s="141"/>
      <c r="G150" s="141"/>
      <c r="H150" s="141"/>
      <c r="I150" s="195"/>
    </row>
    <row r="151" spans="1:9" ht="21.75" hidden="1" customHeight="1">
      <c r="A151" s="3261"/>
      <c r="B151" s="3269"/>
      <c r="C151" s="111" t="s">
        <v>103</v>
      </c>
      <c r="D151" s="194"/>
      <c r="E151" s="141"/>
      <c r="F151" s="141"/>
      <c r="G151" s="141"/>
      <c r="H151" s="141"/>
      <c r="I151" s="195"/>
    </row>
    <row r="152" spans="1:9" ht="21.75" hidden="1" customHeight="1">
      <c r="A152" s="3260">
        <v>3</v>
      </c>
      <c r="B152" s="3250" t="s">
        <v>133</v>
      </c>
      <c r="C152" s="124" t="s">
        <v>100</v>
      </c>
      <c r="D152" s="194"/>
      <c r="E152" s="141"/>
      <c r="F152" s="141"/>
      <c r="G152" s="141"/>
      <c r="H152" s="141"/>
      <c r="I152" s="195"/>
    </row>
    <row r="153" spans="1:9" ht="21.75" hidden="1" customHeight="1">
      <c r="A153" s="3261"/>
      <c r="B153" s="3262"/>
      <c r="C153" s="111" t="s">
        <v>104</v>
      </c>
      <c r="D153" s="194"/>
      <c r="E153" s="141"/>
      <c r="F153" s="141"/>
      <c r="G153" s="141"/>
      <c r="H153" s="141"/>
      <c r="I153" s="195"/>
    </row>
    <row r="154" spans="1:9" ht="21.75" hidden="1" customHeight="1">
      <c r="A154" s="3260">
        <v>4</v>
      </c>
      <c r="B154" s="3250" t="s">
        <v>134</v>
      </c>
      <c r="C154" s="124" t="s">
        <v>100</v>
      </c>
      <c r="D154" s="194"/>
      <c r="E154" s="141"/>
      <c r="F154" s="141"/>
      <c r="G154" s="141"/>
      <c r="H154" s="141"/>
      <c r="I154" s="195"/>
    </row>
    <row r="155" spans="1:9" ht="21.75" hidden="1" customHeight="1">
      <c r="A155" s="3261"/>
      <c r="B155" s="3262"/>
      <c r="C155" s="111" t="s">
        <v>104</v>
      </c>
      <c r="D155" s="194"/>
      <c r="E155" s="141"/>
      <c r="F155" s="141"/>
      <c r="G155" s="141"/>
      <c r="H155" s="141"/>
      <c r="I155" s="195"/>
    </row>
    <row r="156" spans="1:9" ht="21.75" hidden="1" customHeight="1">
      <c r="A156" s="108">
        <v>5</v>
      </c>
      <c r="B156" s="3251" t="s">
        <v>79</v>
      </c>
      <c r="C156" s="3252"/>
      <c r="D156" s="194"/>
      <c r="E156" s="141"/>
      <c r="F156" s="141"/>
      <c r="G156" s="141"/>
      <c r="H156" s="141"/>
      <c r="I156" s="195"/>
    </row>
    <row r="157" spans="1:9" ht="21.75" hidden="1" customHeight="1">
      <c r="A157" s="108">
        <v>6</v>
      </c>
      <c r="B157" s="3251" t="s">
        <v>57</v>
      </c>
      <c r="C157" s="3252"/>
      <c r="D157" s="194"/>
      <c r="E157" s="141"/>
      <c r="F157" s="141"/>
      <c r="G157" s="141"/>
      <c r="H157" s="141"/>
      <c r="I157" s="195"/>
    </row>
    <row r="158" spans="1:9" ht="21.75" hidden="1" customHeight="1">
      <c r="A158" s="3375">
        <v>7</v>
      </c>
      <c r="B158" s="3083" t="s">
        <v>149</v>
      </c>
      <c r="C158" s="3084"/>
      <c r="D158" s="194"/>
      <c r="E158" s="141"/>
      <c r="F158" s="141"/>
      <c r="G158" s="141"/>
      <c r="H158" s="141"/>
      <c r="I158" s="195"/>
    </row>
    <row r="159" spans="1:9" ht="21.75" hidden="1" customHeight="1">
      <c r="A159" s="3376"/>
      <c r="B159" s="3086"/>
      <c r="C159" s="3087"/>
      <c r="D159" s="194"/>
      <c r="E159" s="141"/>
      <c r="F159" s="141"/>
      <c r="G159" s="141"/>
      <c r="H159" s="141"/>
      <c r="I159" s="195"/>
    </row>
    <row r="160" spans="1:9" ht="21.75" hidden="1" customHeight="1">
      <c r="A160" s="108">
        <v>8</v>
      </c>
      <c r="B160" s="3251" t="s">
        <v>58</v>
      </c>
      <c r="C160" s="3252"/>
      <c r="D160" s="194"/>
      <c r="E160" s="141"/>
      <c r="F160" s="141"/>
      <c r="G160" s="141"/>
      <c r="H160" s="141"/>
      <c r="I160" s="195"/>
    </row>
    <row r="161" spans="1:9" ht="21.75" hidden="1" customHeight="1">
      <c r="A161" s="108">
        <v>9</v>
      </c>
      <c r="B161" s="3251" t="s">
        <v>59</v>
      </c>
      <c r="C161" s="3252"/>
      <c r="D161" s="194"/>
      <c r="E161" s="141"/>
      <c r="F161" s="141"/>
      <c r="G161" s="141"/>
      <c r="H161" s="141"/>
      <c r="I161" s="195"/>
    </row>
    <row r="162" spans="1:9" ht="21.75" hidden="1" customHeight="1">
      <c r="A162" s="108">
        <v>10</v>
      </c>
      <c r="B162" s="3251" t="s">
        <v>107</v>
      </c>
      <c r="C162" s="3252"/>
      <c r="D162" s="196"/>
      <c r="E162" s="145"/>
      <c r="F162" s="145"/>
      <c r="G162" s="145"/>
      <c r="H162" s="145"/>
      <c r="I162" s="197"/>
    </row>
    <row r="163" spans="1:9" ht="21.75" hidden="1" customHeight="1">
      <c r="D163" s="186"/>
      <c r="E163" s="134"/>
      <c r="F163" s="134"/>
      <c r="G163" s="134"/>
      <c r="H163" s="134"/>
      <c r="I163" s="187"/>
    </row>
    <row r="164" spans="1:9" s="134" customFormat="1" ht="32.25" hidden="1" customHeight="1">
      <c r="A164" s="166"/>
      <c r="B164" s="167" t="s">
        <v>127</v>
      </c>
      <c r="C164" s="168"/>
      <c r="D164" s="186"/>
      <c r="I164" s="187"/>
    </row>
    <row r="165" spans="1:9" ht="21.75" hidden="1" customHeight="1">
      <c r="A165" s="164" t="s">
        <v>7</v>
      </c>
      <c r="B165" s="152"/>
      <c r="C165" s="152"/>
      <c r="D165" s="188" t="s">
        <v>155</v>
      </c>
      <c r="E165" s="143"/>
      <c r="F165" s="143"/>
      <c r="G165" s="143"/>
      <c r="H165" s="143"/>
      <c r="I165" s="189"/>
    </row>
    <row r="166" spans="1:9" ht="21.75" hidden="1" customHeight="1">
      <c r="A166" s="165"/>
      <c r="B166" s="161"/>
      <c r="C166" s="161"/>
      <c r="D166" s="192">
        <v>0.25</v>
      </c>
      <c r="E166" s="138">
        <v>0.41666666666666669</v>
      </c>
      <c r="F166" s="138">
        <v>0.58333333333333337</v>
      </c>
      <c r="G166" s="138">
        <v>0.75</v>
      </c>
      <c r="H166" s="138">
        <v>0.91666666666666663</v>
      </c>
      <c r="I166" s="193">
        <v>8.3333333333333329E-2</v>
      </c>
    </row>
    <row r="167" spans="1:9" ht="21.75" hidden="1" customHeight="1">
      <c r="A167" s="3370">
        <v>1</v>
      </c>
      <c r="B167" s="3372" t="s">
        <v>138</v>
      </c>
      <c r="C167" s="162" t="s">
        <v>100</v>
      </c>
      <c r="D167" s="186">
        <f>'3.XT-C KH'!I6</f>
        <v>47.701499999999996</v>
      </c>
      <c r="E167" s="134">
        <f>'3.XT-C KH'!Q6</f>
        <v>48.675000000000004</v>
      </c>
      <c r="F167" s="134">
        <f>'3.XT-C KH'!Y6</f>
        <v>52.244500000000009</v>
      </c>
      <c r="G167" s="134">
        <f>'3.XT-C KH'!I48</f>
        <v>51.3</v>
      </c>
      <c r="H167" s="134">
        <f>'3.XT-C KH'!Q48</f>
        <v>50.5</v>
      </c>
      <c r="I167" s="187">
        <f>'3.XT-C KH'!Y48</f>
        <v>50.2</v>
      </c>
    </row>
    <row r="168" spans="1:9" ht="21.75" hidden="1" customHeight="1">
      <c r="A168" s="3370"/>
      <c r="B168" s="3373"/>
      <c r="C168" s="163" t="s">
        <v>101</v>
      </c>
      <c r="D168" s="186">
        <f>'3.XT-C KH'!I7</f>
        <v>0</v>
      </c>
      <c r="E168" s="134">
        <f>'3.XT-C KH'!Q7</f>
        <v>0</v>
      </c>
      <c r="F168" s="134">
        <f>'3.XT-C KH'!Y7</f>
        <v>0</v>
      </c>
      <c r="G168" s="134">
        <f>'3.XT-C KH'!I49</f>
        <v>0</v>
      </c>
      <c r="H168" s="134">
        <f>'3.XT-C KH'!Q49</f>
        <v>0</v>
      </c>
      <c r="I168" s="187">
        <f>'3.XT-C KH'!Y49</f>
        <v>0</v>
      </c>
    </row>
    <row r="169" spans="1:9" ht="21.75" hidden="1" customHeight="1">
      <c r="A169" s="3371"/>
      <c r="B169" s="3374"/>
      <c r="C169" s="133" t="s">
        <v>103</v>
      </c>
      <c r="D169" s="184" t="e">
        <f>'3.XT-C KH'!#REF!</f>
        <v>#REF!</v>
      </c>
      <c r="E169" s="135" t="e">
        <f>'3.XT-C KH'!#REF!</f>
        <v>#REF!</v>
      </c>
      <c r="F169" s="135" t="e">
        <f>'3.XT-C KH'!#REF!</f>
        <v>#REF!</v>
      </c>
      <c r="G169" s="135" t="e">
        <f>'3.XT-C KH'!#REF!</f>
        <v>#REF!</v>
      </c>
      <c r="H169" s="135" t="e">
        <f>'3.XT-C KH'!#REF!</f>
        <v>#REF!</v>
      </c>
      <c r="I169" s="185" t="e">
        <f>'3.XT-C KH'!#REF!</f>
        <v>#REF!</v>
      </c>
    </row>
    <row r="170" spans="1:9" ht="21.75" hidden="1" customHeight="1">
      <c r="A170" s="3332">
        <v>2</v>
      </c>
      <c r="B170" s="3369" t="s">
        <v>139</v>
      </c>
      <c r="C170" s="131" t="s">
        <v>100</v>
      </c>
      <c r="D170" s="186">
        <f>'3.XT-C KH'!I8</f>
        <v>46.403500000000001</v>
      </c>
      <c r="E170" s="134">
        <f>'3.XT-C KH'!Q8</f>
        <v>47.701499999999996</v>
      </c>
      <c r="F170" s="134">
        <f>'3.XT-C KH'!Y8</f>
        <v>49.973000000000006</v>
      </c>
      <c r="G170" s="134">
        <f>'3.XT-C KH'!I50</f>
        <v>49.2</v>
      </c>
      <c r="H170" s="134">
        <f>'3.XT-C KH'!Q50</f>
        <v>51.3</v>
      </c>
      <c r="I170" s="187">
        <f>'3.XT-C KH'!Y50</f>
        <v>51</v>
      </c>
    </row>
    <row r="171" spans="1:9" ht="21.75" hidden="1" customHeight="1">
      <c r="A171" s="3332"/>
      <c r="B171" s="3335"/>
      <c r="C171" s="129" t="s">
        <v>101</v>
      </c>
      <c r="D171" s="186">
        <f>'3.XT-C KH'!I9</f>
        <v>0</v>
      </c>
      <c r="E171" s="134">
        <f>'3.XT-C KH'!Q9</f>
        <v>0</v>
      </c>
      <c r="F171" s="134">
        <f>'3.XT-C KH'!Y9</f>
        <v>0</v>
      </c>
      <c r="G171" s="134">
        <f>'3.XT-C KH'!I51</f>
        <v>0</v>
      </c>
      <c r="H171" s="134">
        <f>'3.XT-C KH'!Q51</f>
        <v>0</v>
      </c>
      <c r="I171" s="187">
        <f>'3.XT-C KH'!Y51</f>
        <v>0</v>
      </c>
    </row>
    <row r="172" spans="1:9" ht="21.75" hidden="1" customHeight="1">
      <c r="A172" s="3323"/>
      <c r="B172" s="3366"/>
      <c r="C172" s="129" t="s">
        <v>103</v>
      </c>
      <c r="D172" s="186" t="e">
        <f>'3.XT-C KH'!#REF!</f>
        <v>#REF!</v>
      </c>
      <c r="E172" s="134" t="e">
        <f>'3.XT-C KH'!#REF!</f>
        <v>#REF!</v>
      </c>
      <c r="F172" s="134" t="e">
        <f>'3.XT-C KH'!#REF!</f>
        <v>#REF!</v>
      </c>
      <c r="G172" s="134" t="e">
        <f>'3.XT-C KH'!#REF!</f>
        <v>#REF!</v>
      </c>
      <c r="H172" s="134" t="e">
        <f>'3.XT-C KH'!#REF!</f>
        <v>#REF!</v>
      </c>
      <c r="I172" s="187" t="e">
        <f>'3.XT-C KH'!#REF!</f>
        <v>#REF!</v>
      </c>
    </row>
    <row r="173" spans="1:9" ht="21.75" hidden="1" customHeight="1">
      <c r="A173" s="3322">
        <v>3</v>
      </c>
      <c r="B173" s="3250" t="s">
        <v>140</v>
      </c>
      <c r="C173" s="128" t="s">
        <v>100</v>
      </c>
      <c r="D173" s="186">
        <f>'3.XT-C KH'!I10</f>
        <v>58.443000000000005</v>
      </c>
      <c r="E173" s="134">
        <f>'3.XT-C KH'!Q10</f>
        <v>58.211999999999996</v>
      </c>
      <c r="F173" s="134">
        <f>'3.XT-C KH'!Y10</f>
        <v>64.680000000000007</v>
      </c>
      <c r="G173" s="134">
        <f>'3.XT-C KH'!I52</f>
        <v>63.2</v>
      </c>
      <c r="H173" s="134">
        <f>'3.XT-C KH'!Q52</f>
        <v>62.2</v>
      </c>
      <c r="I173" s="187">
        <f>'3.XT-C KH'!Y52</f>
        <v>61.5</v>
      </c>
    </row>
    <row r="174" spans="1:9" ht="21.75" hidden="1" customHeight="1">
      <c r="A174" s="3323"/>
      <c r="B174" s="3262"/>
      <c r="C174" s="129" t="s">
        <v>104</v>
      </c>
      <c r="D174" s="186">
        <f>'3.XT-C KH'!I11</f>
        <v>0</v>
      </c>
      <c r="E174" s="134">
        <f>'3.XT-C KH'!Q11</f>
        <v>0</v>
      </c>
      <c r="F174" s="134">
        <f>'3.XT-C KH'!Y11</f>
        <v>0</v>
      </c>
      <c r="G174" s="134">
        <f>'3.XT-C KH'!I53</f>
        <v>0</v>
      </c>
      <c r="H174" s="134">
        <f>'3.XT-C KH'!Q53</f>
        <v>0</v>
      </c>
      <c r="I174" s="187">
        <f>'3.XT-C KH'!Y53</f>
        <v>0</v>
      </c>
    </row>
    <row r="175" spans="1:9" ht="21.75" hidden="1" customHeight="1">
      <c r="A175" s="3322">
        <v>4</v>
      </c>
      <c r="B175" s="3250" t="s">
        <v>141</v>
      </c>
      <c r="C175" s="128" t="s">
        <v>100</v>
      </c>
      <c r="D175" s="186">
        <f>'3.XT-C KH'!I12</f>
        <v>60.06</v>
      </c>
      <c r="E175" s="134">
        <f>'3.XT-C KH'!Q12</f>
        <v>59.598000000000006</v>
      </c>
      <c r="F175" s="134">
        <f>'3.XT-C KH'!Y12</f>
        <v>60.983999999999995</v>
      </c>
      <c r="G175" s="134">
        <f>'3.XT-C KH'!I54</f>
        <v>60.06</v>
      </c>
      <c r="H175" s="134">
        <f>'3.XT-C KH'!Q54</f>
        <v>59.4</v>
      </c>
      <c r="I175" s="187">
        <f>'3.XT-C KH'!Y54</f>
        <v>61.6</v>
      </c>
    </row>
    <row r="176" spans="1:9" ht="21.75" hidden="1" customHeight="1">
      <c r="A176" s="3323"/>
      <c r="B176" s="3262"/>
      <c r="C176" s="129" t="s">
        <v>104</v>
      </c>
      <c r="D176" s="186">
        <f>'3.XT-C KH'!I13</f>
        <v>0</v>
      </c>
      <c r="E176" s="134">
        <f>'3.XT-C KH'!Q13</f>
        <v>0</v>
      </c>
      <c r="F176" s="134">
        <f>'3.XT-C KH'!Y13</f>
        <v>0</v>
      </c>
      <c r="G176" s="134">
        <f>'3.XT-C KH'!I55</f>
        <v>0</v>
      </c>
      <c r="H176" s="134">
        <f>'3.XT-C KH'!Q55</f>
        <v>0</v>
      </c>
      <c r="I176" s="187">
        <f>'3.XT-C KH'!Y55</f>
        <v>0</v>
      </c>
    </row>
    <row r="177" spans="1:9" ht="21.75" hidden="1" customHeight="1">
      <c r="A177" s="3322">
        <v>5</v>
      </c>
      <c r="B177" s="3324" t="s">
        <v>113</v>
      </c>
      <c r="C177" s="130"/>
      <c r="D177" s="186">
        <f>'3.XT-C KH'!I14</f>
        <v>138</v>
      </c>
      <c r="E177" s="134">
        <f>'3.XT-C KH'!Q14</f>
        <v>140</v>
      </c>
      <c r="F177" s="134">
        <f>'3.XT-C KH'!Y14</f>
        <v>140</v>
      </c>
      <c r="G177" s="134">
        <f>'3.XT-C KH'!I56</f>
        <v>139.19999999999999</v>
      </c>
      <c r="H177" s="134">
        <f>'3.XT-C KH'!Q56</f>
        <v>140</v>
      </c>
      <c r="I177" s="187">
        <f>'3.XT-C KH'!Y56</f>
        <v>139.19999999999999</v>
      </c>
    </row>
    <row r="178" spans="1:9" ht="21.75" hidden="1" customHeight="1">
      <c r="A178" s="3323"/>
      <c r="B178" s="3325"/>
      <c r="C178" s="130"/>
      <c r="D178" s="186">
        <f>'3.XT-C KH'!I15</f>
        <v>8.4500000000000011</v>
      </c>
      <c r="E178" s="134">
        <f>'3.XT-C KH'!Q15</f>
        <v>8.4500000000000011</v>
      </c>
      <c r="F178" s="134">
        <f>'3.XT-C KH'!Y15</f>
        <v>8.3849999999999998</v>
      </c>
      <c r="G178" s="134">
        <f>'3.XT-C KH'!I57</f>
        <v>8.5150000000000006</v>
      </c>
      <c r="H178" s="134">
        <f>'3.XT-C KH'!Q57</f>
        <v>8.4500000000000011</v>
      </c>
      <c r="I178" s="187">
        <f>'3.XT-C KH'!Y57</f>
        <v>8.6</v>
      </c>
    </row>
    <row r="179" spans="1:9" ht="21.75" hidden="1" customHeight="1">
      <c r="A179" s="3322">
        <v>6</v>
      </c>
      <c r="B179" s="3310" t="s">
        <v>37</v>
      </c>
      <c r="C179" s="3311"/>
      <c r="D179" s="186">
        <f>'3.XT-C KH'!I16</f>
        <v>6.4957600000000006</v>
      </c>
      <c r="E179" s="134">
        <f>'3.XT-C KH'!Q16</f>
        <v>6.4745750000000006</v>
      </c>
      <c r="F179" s="134">
        <f>'3.XT-C KH'!Y16</f>
        <v>6.1568000000000005</v>
      </c>
      <c r="G179" s="134">
        <f>'3.XT-C KH'!I58</f>
        <v>6.1</v>
      </c>
      <c r="H179" s="134">
        <f>'3.XT-C KH'!Q58</f>
        <v>6</v>
      </c>
      <c r="I179" s="187">
        <f>'3.XT-C KH'!Y58</f>
        <v>6</v>
      </c>
    </row>
    <row r="180" spans="1:9" ht="21.75" hidden="1" customHeight="1">
      <c r="A180" s="3323"/>
      <c r="B180" s="3312"/>
      <c r="C180" s="3313"/>
      <c r="D180" s="186">
        <f>'3.XT-C KH'!I17</f>
        <v>2.2000000000000002</v>
      </c>
      <c r="E180" s="134">
        <f>'3.XT-C KH'!Q17</f>
        <v>2.1800000000000002</v>
      </c>
      <c r="F180" s="134">
        <f>'3.XT-C KH'!Y17</f>
        <v>2.2000000000000002</v>
      </c>
      <c r="G180" s="134">
        <f>'3.XT-C KH'!I59</f>
        <v>2.1800000000000002</v>
      </c>
      <c r="H180" s="134">
        <f>'3.XT-C KH'!Q59</f>
        <v>2.15</v>
      </c>
      <c r="I180" s="187">
        <f>'3.XT-C KH'!Y59</f>
        <v>2.1800000000000002</v>
      </c>
    </row>
    <row r="181" spans="1:9" ht="21.75" hidden="1" customHeight="1">
      <c r="A181" s="2693"/>
      <c r="B181" s="2694"/>
      <c r="C181" s="2695">
        <v>12</v>
      </c>
      <c r="D181" s="186">
        <f>'3.XT-C KH'!I18</f>
        <v>0.435</v>
      </c>
      <c r="E181" s="134">
        <f>'3.XT-C KH'!Q18</f>
        <v>0.44800000000000001</v>
      </c>
      <c r="F181" s="134">
        <f>'3.XT-C KH'!Y18</f>
        <v>0.46500000000000002</v>
      </c>
      <c r="G181" s="134">
        <f>'3.XT-C KH'!I60</f>
        <v>0.46</v>
      </c>
      <c r="H181" s="134">
        <f>'3.XT-C KH'!Q60</f>
        <v>0.45600000000000002</v>
      </c>
      <c r="I181" s="187">
        <f>'3.XT-C KH'!Y60</f>
        <v>0.45200000000000001</v>
      </c>
    </row>
    <row r="182" spans="1:9" ht="21.75" hidden="1" customHeight="1">
      <c r="A182" s="132">
        <v>7</v>
      </c>
      <c r="B182" s="3213">
        <v>13</v>
      </c>
      <c r="C182" s="3214"/>
      <c r="D182" s="186">
        <f>'3.XT-C KH'!I19</f>
        <v>0</v>
      </c>
      <c r="E182" s="134">
        <f>'3.XT-C KH'!Q19</f>
        <v>0</v>
      </c>
      <c r="F182" s="134">
        <f>'3.XT-C KH'!Y19</f>
        <v>0</v>
      </c>
      <c r="G182" s="134">
        <f>'3.XT-C KH'!I61</f>
        <v>0</v>
      </c>
      <c r="H182" s="134">
        <f>'3.XT-C KH'!Q61</f>
        <v>0</v>
      </c>
      <c r="I182" s="187">
        <f>'3.XT-C KH'!Y61</f>
        <v>0</v>
      </c>
    </row>
    <row r="183" spans="1:9" ht="21.75" hidden="1" customHeight="1">
      <c r="A183" s="2698"/>
      <c r="B183" s="2696"/>
      <c r="C183" s="2697">
        <v>14</v>
      </c>
      <c r="D183" s="186">
        <f>'3.XT-C KH'!I20</f>
        <v>0.46081249999999996</v>
      </c>
      <c r="E183" s="134">
        <f>'3.XT-C KH'!Q20</f>
        <v>0.45624999999999999</v>
      </c>
      <c r="F183" s="134">
        <f>'3.XT-C KH'!Y20</f>
        <v>0.46993750000000001</v>
      </c>
      <c r="G183" s="134">
        <f>'3.XT-C KH'!I62</f>
        <v>0.46600000000000003</v>
      </c>
      <c r="H183" s="134">
        <f>'3.XT-C KH'!Q62</f>
        <v>0.46537500000000004</v>
      </c>
      <c r="I183" s="187">
        <f>'3.XT-C KH'!Y62</f>
        <v>0.46081249999999996</v>
      </c>
    </row>
    <row r="184" spans="1:9" ht="21.75" hidden="1" customHeight="1">
      <c r="A184" s="132">
        <v>8</v>
      </c>
      <c r="B184" s="3213" t="s">
        <v>36</v>
      </c>
      <c r="C184" s="3214"/>
      <c r="D184" s="186">
        <f>'3.XT-C KH'!I21</f>
        <v>0.46993750000000001</v>
      </c>
      <c r="E184" s="134">
        <f>'3.XT-C KH'!Q21</f>
        <v>0.46993750000000001</v>
      </c>
      <c r="F184" s="134">
        <f>'3.XT-C KH'!Y21</f>
        <v>0.47906250000000006</v>
      </c>
      <c r="G184" s="134">
        <f>'3.XT-C KH'!I63</f>
        <v>0.47299999999999998</v>
      </c>
      <c r="H184" s="134">
        <f>'3.XT-C KH'!Q63</f>
        <v>0.47</v>
      </c>
      <c r="I184" s="187">
        <f>'3.XT-C KH'!Y63</f>
        <v>0.46800000000000003</v>
      </c>
    </row>
    <row r="185" spans="1:9" ht="21.75" hidden="1" customHeight="1">
      <c r="A185" s="132">
        <v>10</v>
      </c>
      <c r="B185" s="3200" t="s">
        <v>112</v>
      </c>
      <c r="C185" s="3201" t="s">
        <v>112</v>
      </c>
      <c r="D185" s="186">
        <f>'3.XT-C KH'!I22</f>
        <v>9.7999999999999997E-3</v>
      </c>
      <c r="E185" s="134">
        <f>'3.XT-C KH'!Q22</f>
        <v>0.01</v>
      </c>
      <c r="F185" s="134">
        <f>'3.XT-C KH'!Y22</f>
        <v>1.0200000000000001E-2</v>
      </c>
      <c r="G185" s="134">
        <f>'3.XT-C KH'!I64</f>
        <v>7.8120000000000004E-3</v>
      </c>
      <c r="H185" s="134">
        <f>'3.XT-C KH'!Q64</f>
        <v>0.01</v>
      </c>
      <c r="I185" s="187">
        <f>'3.XT-C KH'!Y64</f>
        <v>8.064E-3</v>
      </c>
    </row>
    <row r="186" spans="1:9" ht="21.75" hidden="1" customHeight="1">
      <c r="A186" s="147"/>
      <c r="B186" s="148" t="s">
        <v>109</v>
      </c>
      <c r="C186" s="155"/>
      <c r="D186" s="188" t="s">
        <v>157</v>
      </c>
      <c r="E186" s="143"/>
      <c r="F186" s="143"/>
      <c r="G186" s="143"/>
      <c r="H186" s="143"/>
      <c r="I186" s="189"/>
    </row>
    <row r="187" spans="1:9" ht="21.75" hidden="1" customHeight="1">
      <c r="A187" s="149" t="s">
        <v>7</v>
      </c>
      <c r="B187" s="150" t="s">
        <v>61</v>
      </c>
      <c r="C187" s="151"/>
      <c r="D187" s="190">
        <v>0.25</v>
      </c>
      <c r="E187" s="146">
        <v>0.41666666666666669</v>
      </c>
      <c r="F187" s="146">
        <v>0.58333333333333337</v>
      </c>
      <c r="G187" s="146">
        <v>0.75</v>
      </c>
      <c r="H187" s="146">
        <v>0.91666666666666663</v>
      </c>
      <c r="I187" s="191">
        <v>8.3333333333333329E-2</v>
      </c>
    </row>
    <row r="188" spans="1:9" ht="21.75" hidden="1" customHeight="1">
      <c r="A188" s="132">
        <v>1</v>
      </c>
      <c r="B188" s="3195" t="s">
        <v>34</v>
      </c>
      <c r="C188" s="3196"/>
      <c r="D188" s="186">
        <f>'3.XT-C KH'!I27</f>
        <v>60</v>
      </c>
      <c r="E188" s="134">
        <f>'3.XT-C KH'!Q27</f>
        <v>60</v>
      </c>
      <c r="F188" s="134">
        <f>'3.XT-C KH'!Y27</f>
        <v>60</v>
      </c>
      <c r="G188" s="134">
        <f>'3.XT-C KH'!I69</f>
        <v>61</v>
      </c>
      <c r="H188" s="134">
        <f>'3.XT-C KH'!Q69</f>
        <v>61</v>
      </c>
      <c r="I188" s="187">
        <f>'3.XT-C KH'!Y69</f>
        <v>61</v>
      </c>
    </row>
    <row r="189" spans="1:9" ht="21.75" hidden="1" customHeight="1">
      <c r="A189" s="132">
        <v>2</v>
      </c>
      <c r="B189" s="3195" t="s">
        <v>35</v>
      </c>
      <c r="C189" s="3196"/>
      <c r="D189" s="186">
        <f>'3.XT-C KH'!I28</f>
        <v>61</v>
      </c>
      <c r="E189" s="134">
        <f>'3.XT-C KH'!Q28</f>
        <v>60</v>
      </c>
      <c r="F189" s="134">
        <f>'3.XT-C KH'!Y28</f>
        <v>62</v>
      </c>
      <c r="G189" s="134">
        <f>'3.XT-C KH'!I70</f>
        <v>61</v>
      </c>
      <c r="H189" s="134">
        <f>'3.XT-C KH'!Q70</f>
        <v>61</v>
      </c>
      <c r="I189" s="187">
        <f>'3.XT-C KH'!Y70</f>
        <v>62</v>
      </c>
    </row>
    <row r="190" spans="1:9" ht="21.75" hidden="1" customHeight="1">
      <c r="A190" s="132">
        <v>3</v>
      </c>
      <c r="B190" s="3195" t="s">
        <v>27</v>
      </c>
      <c r="C190" s="3196"/>
      <c r="D190" s="186">
        <f>'3.XT-C KH'!I29</f>
        <v>60</v>
      </c>
      <c r="E190" s="134">
        <f>'3.XT-C KH'!Q29</f>
        <v>60</v>
      </c>
      <c r="F190" s="134">
        <f>'3.XT-C KH'!Y29</f>
        <v>60</v>
      </c>
      <c r="G190" s="134">
        <f>'3.XT-C KH'!I71</f>
        <v>61</v>
      </c>
      <c r="H190" s="134">
        <f>'3.XT-C KH'!Q71</f>
        <v>61</v>
      </c>
      <c r="I190" s="187">
        <f>'3.XT-C KH'!Y71</f>
        <v>61</v>
      </c>
    </row>
    <row r="191" spans="1:9" ht="21.75" hidden="1" customHeight="1">
      <c r="A191" s="132">
        <v>4</v>
      </c>
      <c r="B191" s="3195" t="s">
        <v>28</v>
      </c>
      <c r="C191" s="3196"/>
      <c r="D191" s="186">
        <f>'3.XT-C KH'!I30</f>
        <v>61</v>
      </c>
      <c r="E191" s="134">
        <f>'3.XT-C KH'!Q30</f>
        <v>59</v>
      </c>
      <c r="F191" s="134">
        <f>'3.XT-C KH'!Y30</f>
        <v>60</v>
      </c>
      <c r="G191" s="134">
        <f>'3.XT-C KH'!I72</f>
        <v>60</v>
      </c>
      <c r="H191" s="134">
        <f>'3.XT-C KH'!Q72</f>
        <v>60</v>
      </c>
      <c r="I191" s="187">
        <f>'3.XT-C KH'!Y72</f>
        <v>60</v>
      </c>
    </row>
    <row r="192" spans="1:9" ht="21.75" hidden="1" customHeight="1">
      <c r="A192" s="132">
        <v>5</v>
      </c>
      <c r="B192" s="3195" t="s">
        <v>29</v>
      </c>
      <c r="C192" s="3196"/>
      <c r="D192" s="186">
        <f>'3.XT-C KH'!I31</f>
        <v>26</v>
      </c>
      <c r="E192" s="134">
        <f>'3.XT-C KH'!Q31</f>
        <v>26</v>
      </c>
      <c r="F192" s="134">
        <f>'3.XT-C KH'!Y31</f>
        <v>26</v>
      </c>
      <c r="G192" s="134">
        <f>'3.XT-C KH'!I73</f>
        <v>25</v>
      </c>
      <c r="H192" s="134">
        <f>'3.XT-C KH'!Q73</f>
        <v>25</v>
      </c>
      <c r="I192" s="187">
        <f>'3.XT-C KH'!Y73</f>
        <v>26</v>
      </c>
    </row>
    <row r="193" spans="1:9" ht="21.75" hidden="1" customHeight="1">
      <c r="A193" s="132">
        <v>6</v>
      </c>
      <c r="B193" s="3195" t="s">
        <v>30</v>
      </c>
      <c r="C193" s="3196"/>
      <c r="D193" s="186">
        <f>'3.XT-C KH'!I32</f>
        <v>32</v>
      </c>
      <c r="E193" s="134">
        <f>'3.XT-C KH'!Q32</f>
        <v>33</v>
      </c>
      <c r="F193" s="134">
        <f>'3.XT-C KH'!Y32</f>
        <v>33</v>
      </c>
      <c r="G193" s="134">
        <f>'3.XT-C KH'!I74</f>
        <v>34</v>
      </c>
      <c r="H193" s="134">
        <f>'3.XT-C KH'!Q74</f>
        <v>34</v>
      </c>
      <c r="I193" s="187">
        <f>'3.XT-C KH'!Y74</f>
        <v>34</v>
      </c>
    </row>
    <row r="194" spans="1:9" ht="21.75" hidden="1" customHeight="1">
      <c r="A194" s="132">
        <v>7</v>
      </c>
      <c r="B194" s="3195" t="s">
        <v>31</v>
      </c>
      <c r="C194" s="3196"/>
      <c r="D194" s="186">
        <f>'3.XT-C KH'!I33</f>
        <v>55</v>
      </c>
      <c r="E194" s="134">
        <f>'3.XT-C KH'!Q33</f>
        <v>55</v>
      </c>
      <c r="F194" s="134">
        <f>'3.XT-C KH'!Y33</f>
        <v>56</v>
      </c>
      <c r="G194" s="134">
        <f>'3.XT-C KH'!I75</f>
        <v>57</v>
      </c>
      <c r="H194" s="134">
        <f>'3.XT-C KH'!Q75</f>
        <v>58</v>
      </c>
      <c r="I194" s="187">
        <f>'3.XT-C KH'!Y75</f>
        <v>59</v>
      </c>
    </row>
    <row r="195" spans="1:9" ht="21.75" hidden="1" customHeight="1">
      <c r="A195" s="132">
        <v>8</v>
      </c>
      <c r="B195" s="3195" t="s">
        <v>32</v>
      </c>
      <c r="C195" s="3196"/>
      <c r="D195" s="186">
        <f>'3.XT-C KH'!K34</f>
        <v>90</v>
      </c>
      <c r="E195" s="134">
        <f>'3.XT-C KH'!S34</f>
        <v>91</v>
      </c>
      <c r="F195" s="134">
        <f>'3.XT-C KH'!AA34</f>
        <v>90</v>
      </c>
      <c r="G195" s="134">
        <f>'3.XT-C KH'!K76</f>
        <v>94</v>
      </c>
      <c r="H195" s="134">
        <f>'3.XT-C KH'!S76</f>
        <v>92</v>
      </c>
      <c r="I195" s="187">
        <f>'3.XT-C KH'!AA76</f>
        <v>92</v>
      </c>
    </row>
    <row r="196" spans="1:9" ht="21.75" hidden="1" customHeight="1">
      <c r="A196" s="147"/>
      <c r="B196" s="148" t="s">
        <v>110</v>
      </c>
      <c r="C196" s="155"/>
      <c r="D196" s="188" t="s">
        <v>158</v>
      </c>
      <c r="E196" s="143"/>
      <c r="F196" s="143"/>
      <c r="G196" s="143"/>
      <c r="H196" s="143"/>
      <c r="I196" s="189"/>
    </row>
    <row r="197" spans="1:9" ht="21.75" hidden="1" customHeight="1">
      <c r="A197" s="149" t="s">
        <v>7</v>
      </c>
      <c r="B197" s="150" t="s">
        <v>92</v>
      </c>
      <c r="C197" s="151"/>
      <c r="D197" s="190">
        <v>0.25</v>
      </c>
      <c r="E197" s="146">
        <v>0.41666666666666669</v>
      </c>
      <c r="F197" s="146">
        <v>0.58333333333333337</v>
      </c>
      <c r="G197" s="146">
        <v>0.75</v>
      </c>
      <c r="H197" s="146">
        <v>0.91666666666666663</v>
      </c>
      <c r="I197" s="191">
        <v>8.3333333333333329E-2</v>
      </c>
    </row>
    <row r="198" spans="1:9" ht="21.75" hidden="1" customHeight="1">
      <c r="A198" s="132">
        <v>1</v>
      </c>
      <c r="B198" s="3367" t="s">
        <v>115</v>
      </c>
      <c r="C198" s="3368"/>
      <c r="D198" s="186">
        <f>'3.XT-C KH'!I40</f>
        <v>42</v>
      </c>
      <c r="E198" s="134">
        <f>'3.XT-C KH'!Q40</f>
        <v>40</v>
      </c>
      <c r="F198" s="134">
        <f>'3.XT-C KH'!Y40</f>
        <v>42</v>
      </c>
      <c r="G198" s="134">
        <f>'3.XT-C KH'!I82</f>
        <v>42</v>
      </c>
      <c r="H198" s="134">
        <f>'3.XT-C KH'!Q82</f>
        <v>43</v>
      </c>
      <c r="I198" s="187">
        <f>'3.XT-C KH'!Y82</f>
        <v>42</v>
      </c>
    </row>
    <row r="199" spans="1:9" ht="21.75" hidden="1" customHeight="1">
      <c r="A199" s="132">
        <v>2</v>
      </c>
      <c r="B199" s="3367" t="s">
        <v>114</v>
      </c>
      <c r="C199" s="3368"/>
      <c r="D199" s="186">
        <f>'3.XT-C KH'!I41</f>
        <v>170</v>
      </c>
      <c r="E199" s="134">
        <f>'3.XT-C KH'!Q41</f>
        <v>172</v>
      </c>
      <c r="F199" s="134">
        <f>'3.XT-C KH'!Y41</f>
        <v>172</v>
      </c>
      <c r="G199" s="134">
        <f>'3.XT-C KH'!I83</f>
        <v>170</v>
      </c>
      <c r="H199" s="134">
        <f>'3.XT-C KH'!Q83</f>
        <v>170</v>
      </c>
      <c r="I199" s="187">
        <f>'3.XT-C KH'!Y83</f>
        <v>175</v>
      </c>
    </row>
    <row r="200" spans="1:9" ht="21.75" hidden="1" customHeight="1">
      <c r="A200" s="140"/>
      <c r="B200" s="140"/>
      <c r="C200" s="140"/>
      <c r="D200" s="188" t="s">
        <v>156</v>
      </c>
      <c r="E200" s="143"/>
      <c r="F200" s="143"/>
      <c r="G200" s="143"/>
      <c r="H200" s="143"/>
      <c r="I200" s="189"/>
    </row>
    <row r="201" spans="1:9" ht="21.75" hidden="1" customHeight="1">
      <c r="A201" s="140"/>
      <c r="B201" s="140"/>
      <c r="C201" s="140"/>
      <c r="D201" s="192">
        <v>0.25</v>
      </c>
      <c r="E201" s="138">
        <v>0.41666666666666669</v>
      </c>
      <c r="F201" s="138">
        <v>0.58333333333333337</v>
      </c>
      <c r="G201" s="138">
        <v>0.75</v>
      </c>
      <c r="H201" s="138">
        <v>0.91666666666666663</v>
      </c>
      <c r="I201" s="193">
        <v>8.3333333333333329E-2</v>
      </c>
    </row>
    <row r="202" spans="1:9" ht="21.75" hidden="1" customHeight="1">
      <c r="A202" s="3322">
        <v>1</v>
      </c>
      <c r="B202" s="3333" t="s">
        <v>138</v>
      </c>
      <c r="C202" s="128" t="s">
        <v>100</v>
      </c>
      <c r="D202" s="199">
        <f>'3.XT-C KH'!K6</f>
        <v>35.66582450000007</v>
      </c>
      <c r="E202" s="156">
        <f>'3.XT-C KH'!S6</f>
        <v>20.560024999999932</v>
      </c>
      <c r="F202" s="156">
        <f>'3.XT-C KH'!AA6</f>
        <v>0</v>
      </c>
      <c r="G202" s="156">
        <f>'3.XT-C KH'!K48</f>
        <v>0</v>
      </c>
      <c r="H202" s="156">
        <f>'3.XT-C KH'!S48</f>
        <v>0</v>
      </c>
      <c r="I202" s="200">
        <f>'3.XT-C KH'!AA48</f>
        <v>0</v>
      </c>
    </row>
    <row r="203" spans="1:9" ht="21.75" hidden="1" customHeight="1">
      <c r="A203" s="3332"/>
      <c r="B203" s="3335"/>
      <c r="C203" s="129" t="s">
        <v>101</v>
      </c>
      <c r="D203" s="194">
        <f>'3.XT-C KH'!K7</f>
        <v>12.126380330000025</v>
      </c>
      <c r="E203" s="141">
        <f>'3.XT-C KH'!S7</f>
        <v>6.9904084999999769</v>
      </c>
      <c r="F203" s="141">
        <f>'3.XT-C KH'!AA7</f>
        <v>0</v>
      </c>
      <c r="G203" s="141">
        <f>'3.XT-C KH'!K49</f>
        <v>0</v>
      </c>
      <c r="H203" s="141">
        <f>'3.XT-C KH'!S49</f>
        <v>0</v>
      </c>
      <c r="I203" s="195">
        <f>'3.XT-C KH'!AA49</f>
        <v>0</v>
      </c>
    </row>
    <row r="204" spans="1:9" ht="21.75" hidden="1" customHeight="1">
      <c r="A204" s="3323"/>
      <c r="B204" s="3366"/>
      <c r="C204" s="129" t="s">
        <v>103</v>
      </c>
      <c r="D204" s="194" t="e">
        <f>'3.XT-C KH'!#REF!</f>
        <v>#REF!</v>
      </c>
      <c r="E204" s="141" t="e">
        <f>'3.XT-C KH'!#REF!</f>
        <v>#REF!</v>
      </c>
      <c r="F204" s="141" t="e">
        <f>'3.XT-C KH'!#REF!</f>
        <v>#REF!</v>
      </c>
      <c r="G204" s="141" t="e">
        <f>'3.XT-C KH'!#REF!</f>
        <v>#REF!</v>
      </c>
      <c r="H204" s="141" t="e">
        <f>'3.XT-C KH'!#REF!</f>
        <v>#REF!</v>
      </c>
      <c r="I204" s="195" t="e">
        <f>'3.XT-C KH'!#REF!</f>
        <v>#REF!</v>
      </c>
    </row>
    <row r="205" spans="1:9" ht="21.75" hidden="1" customHeight="1">
      <c r="A205" s="3322">
        <v>2</v>
      </c>
      <c r="B205" s="3333" t="s">
        <v>139</v>
      </c>
      <c r="C205" s="128" t="s">
        <v>100</v>
      </c>
      <c r="D205" s="194">
        <f>'3.XT-C KH'!K8</f>
        <v>41.269837499999987</v>
      </c>
      <c r="E205" s="141">
        <f>'3.XT-C KH'!S8</f>
        <v>26.375287500000049</v>
      </c>
      <c r="F205" s="141">
        <f>'3.XT-C KH'!AA8</f>
        <v>0.30982499999993018</v>
      </c>
      <c r="G205" s="141">
        <f>'3.XT-C KH'!K50</f>
        <v>9.1799999999999677</v>
      </c>
      <c r="H205" s="141">
        <f>'3.XT-C KH'!S50</f>
        <v>0</v>
      </c>
      <c r="I205" s="195">
        <f>'3.XT-C KH'!AA50</f>
        <v>0</v>
      </c>
    </row>
    <row r="206" spans="1:9" ht="21.75" hidden="1" customHeight="1">
      <c r="A206" s="3332"/>
      <c r="B206" s="3335"/>
      <c r="C206" s="129" t="s">
        <v>101</v>
      </c>
      <c r="D206" s="194">
        <f>'3.XT-C KH'!K9</f>
        <v>14.031744749999996</v>
      </c>
      <c r="E206" s="141">
        <f>'3.XT-C KH'!S9</f>
        <v>8.9675977500000172</v>
      </c>
      <c r="F206" s="141">
        <f>'3.XT-C KH'!AA9</f>
        <v>0.10534049999997626</v>
      </c>
      <c r="G206" s="141">
        <f>'3.XT-C KH'!K51</f>
        <v>3.1211999999999889</v>
      </c>
      <c r="H206" s="141">
        <f>'3.XT-C KH'!S51</f>
        <v>0</v>
      </c>
      <c r="I206" s="195">
        <f>'3.XT-C KH'!AA51</f>
        <v>0</v>
      </c>
    </row>
    <row r="207" spans="1:9" ht="21.75" hidden="1" customHeight="1">
      <c r="A207" s="3323"/>
      <c r="B207" s="3366"/>
      <c r="C207" s="129" t="s">
        <v>103</v>
      </c>
      <c r="D207" s="194" t="e">
        <f>'3.XT-C KH'!#REF!</f>
        <v>#REF!</v>
      </c>
      <c r="E207" s="141" t="e">
        <f>'3.XT-C KH'!#REF!</f>
        <v>#REF!</v>
      </c>
      <c r="F207" s="141" t="e">
        <f>'3.XT-C KH'!#REF!</f>
        <v>#REF!</v>
      </c>
      <c r="G207" s="141" t="e">
        <f>'3.XT-C KH'!#REF!</f>
        <v>#REF!</v>
      </c>
      <c r="H207" s="141" t="e">
        <f>'3.XT-C KH'!#REF!</f>
        <v>#REF!</v>
      </c>
      <c r="I207" s="195" t="e">
        <f>'3.XT-C KH'!#REF!</f>
        <v>#REF!</v>
      </c>
    </row>
    <row r="208" spans="1:9" ht="21.75" hidden="1" customHeight="1">
      <c r="A208" s="3322">
        <v>3</v>
      </c>
      <c r="B208" s="3250" t="s">
        <v>140</v>
      </c>
      <c r="C208" s="128" t="s">
        <v>100</v>
      </c>
      <c r="D208" s="194">
        <f>'3.XT-C KH'!K10</f>
        <v>12.767399999999959</v>
      </c>
      <c r="E208" s="141">
        <f>'3.XT-C KH'!S10</f>
        <v>14.661600000000032</v>
      </c>
      <c r="F208" s="141">
        <f>'3.XT-C KH'!AA10</f>
        <v>0</v>
      </c>
      <c r="G208" s="141">
        <f>'3.XT-C KH'!K52</f>
        <v>0</v>
      </c>
      <c r="H208" s="141">
        <f>'3.XT-C KH'!S52</f>
        <v>0</v>
      </c>
      <c r="I208" s="195">
        <f>'3.XT-C KH'!AA52</f>
        <v>0</v>
      </c>
    </row>
    <row r="209" spans="1:11" ht="21.75" hidden="1" customHeight="1">
      <c r="A209" s="3323"/>
      <c r="B209" s="3262"/>
      <c r="C209" s="129" t="s">
        <v>104</v>
      </c>
      <c r="D209" s="194">
        <f>'3.XT-C KH'!K11</f>
        <v>4.085567999999987</v>
      </c>
      <c r="E209" s="141">
        <f>'3.XT-C KH'!S11</f>
        <v>4.6917120000000105</v>
      </c>
      <c r="F209" s="141">
        <f>'3.XT-C KH'!AA11</f>
        <v>0</v>
      </c>
      <c r="G209" s="141">
        <f>'3.XT-C KH'!K53</f>
        <v>0</v>
      </c>
      <c r="H209" s="141">
        <f>'3.XT-C KH'!S53</f>
        <v>0</v>
      </c>
      <c r="I209" s="195">
        <f>'3.XT-C KH'!AA53</f>
        <v>0</v>
      </c>
    </row>
    <row r="210" spans="1:11" ht="21.75" hidden="1" customHeight="1">
      <c r="A210" s="3322">
        <v>4</v>
      </c>
      <c r="B210" s="3250" t="s">
        <v>141</v>
      </c>
      <c r="C210" s="128" t="s">
        <v>100</v>
      </c>
      <c r="D210" s="194">
        <f>'3.XT-C KH'!K12</f>
        <v>0</v>
      </c>
      <c r="E210" s="141">
        <f>'3.XT-C KH'!S12</f>
        <v>3.4845359999999475</v>
      </c>
      <c r="F210" s="141">
        <f>'3.XT-C KH'!AA12</f>
        <v>0</v>
      </c>
      <c r="G210" s="141">
        <f>'3.XT-C KH'!K54</f>
        <v>0</v>
      </c>
      <c r="H210" s="141">
        <f>'3.XT-C KH'!S54</f>
        <v>5.2008000000000116</v>
      </c>
      <c r="I210" s="195">
        <f>'3.XT-C KH'!AA54</f>
        <v>0</v>
      </c>
    </row>
    <row r="211" spans="1:11" ht="21.75" hidden="1" customHeight="1">
      <c r="A211" s="3323"/>
      <c r="B211" s="3262"/>
      <c r="C211" s="129" t="s">
        <v>104</v>
      </c>
      <c r="D211" s="194">
        <f>'3.XT-C KH'!K13</f>
        <v>0</v>
      </c>
      <c r="E211" s="141">
        <f>'3.XT-C KH'!S13</f>
        <v>1.1150515199999831</v>
      </c>
      <c r="F211" s="141">
        <f>'3.XT-C KH'!AA13</f>
        <v>0</v>
      </c>
      <c r="G211" s="141">
        <f>'3.XT-C KH'!K55</f>
        <v>0</v>
      </c>
      <c r="H211" s="141">
        <f>'3.XT-C KH'!S55</f>
        <v>1.6642560000000037</v>
      </c>
      <c r="I211" s="195">
        <f>'3.XT-C KH'!AA55</f>
        <v>0</v>
      </c>
    </row>
    <row r="212" spans="1:11" ht="21.75" hidden="1" customHeight="1">
      <c r="A212" s="3322">
        <v>5</v>
      </c>
      <c r="B212" s="3324" t="s">
        <v>113</v>
      </c>
      <c r="C212" s="130"/>
      <c r="D212" s="194">
        <f>'3.XT-C KH'!K14</f>
        <v>106.13200000000001</v>
      </c>
      <c r="E212" s="141">
        <f>'3.XT-C KH'!S14</f>
        <v>0</v>
      </c>
      <c r="F212" s="141">
        <f>'3.XT-C KH'!AA14</f>
        <v>0</v>
      </c>
      <c r="G212" s="141">
        <f>'3.XT-C KH'!K56</f>
        <v>42.452800000000607</v>
      </c>
      <c r="H212" s="141">
        <f>'3.XT-C KH'!S56</f>
        <v>0</v>
      </c>
      <c r="I212" s="195">
        <f>'3.XT-C KH'!AA56</f>
        <v>42.452800000000607</v>
      </c>
    </row>
    <row r="213" spans="1:11" ht="21.75" hidden="1" customHeight="1">
      <c r="A213" s="3323"/>
      <c r="B213" s="3325"/>
      <c r="C213" s="130"/>
      <c r="D213" s="194">
        <f>'3.XT-C KH'!K15</f>
        <v>2.6532999999999434</v>
      </c>
      <c r="E213" s="141">
        <f>'3.XT-C KH'!S15</f>
        <v>2.6532999999999434</v>
      </c>
      <c r="F213" s="141">
        <f>'3.XT-C KH'!AA15</f>
        <v>6.1025900000000108</v>
      </c>
      <c r="G213" s="141">
        <f>'3.XT-C KH'!K57</f>
        <v>0</v>
      </c>
      <c r="H213" s="141">
        <f>'3.XT-C KH'!S57</f>
        <v>2.6532999999999434</v>
      </c>
      <c r="I213" s="195">
        <f>'3.XT-C KH'!AA57</f>
        <v>0</v>
      </c>
    </row>
    <row r="214" spans="1:11" ht="21.75" hidden="1" customHeight="1">
      <c r="A214" s="3322">
        <v>6</v>
      </c>
      <c r="B214" s="3310" t="s">
        <v>37</v>
      </c>
      <c r="C214" s="3311"/>
      <c r="D214" s="194">
        <f>'3.XT-C KH'!K16</f>
        <v>0</v>
      </c>
      <c r="E214" s="141">
        <f>'3.XT-C KH'!S16</f>
        <v>0</v>
      </c>
      <c r="F214" s="141">
        <f>'3.XT-C KH'!AA16</f>
        <v>0</v>
      </c>
      <c r="G214" s="141">
        <f>'3.XT-C KH'!K58</f>
        <v>0</v>
      </c>
      <c r="H214" s="141">
        <f>'3.XT-C KH'!S58</f>
        <v>0</v>
      </c>
      <c r="I214" s="195">
        <f>'3.XT-C KH'!AA58</f>
        <v>0</v>
      </c>
    </row>
    <row r="215" spans="1:11" ht="21.75" hidden="1" customHeight="1">
      <c r="A215" s="3323"/>
      <c r="B215" s="3312"/>
      <c r="C215" s="3313"/>
      <c r="D215" s="194">
        <f>'3.XT-C KH'!K17</f>
        <v>0</v>
      </c>
      <c r="E215" s="141">
        <f>'3.XT-C KH'!S17</f>
        <v>0</v>
      </c>
      <c r="F215" s="141">
        <f>'3.XT-C KH'!AA17</f>
        <v>0</v>
      </c>
      <c r="G215" s="141">
        <f>'3.XT-C KH'!K59</f>
        <v>0</v>
      </c>
      <c r="H215" s="141">
        <f>'3.XT-C KH'!S59</f>
        <v>0</v>
      </c>
      <c r="I215" s="195">
        <f>'3.XT-C KH'!AA59</f>
        <v>0</v>
      </c>
    </row>
    <row r="216" spans="1:11" ht="21.75" hidden="1" customHeight="1">
      <c r="A216" s="2693"/>
      <c r="B216" s="2694"/>
      <c r="C216" s="2695" t="s">
        <v>1617</v>
      </c>
      <c r="D216" s="194">
        <f>'3.XT-C KH'!K18</f>
        <v>48.510000000000041</v>
      </c>
      <c r="E216" s="141">
        <f>'3.XT-C KH'!S18</f>
        <v>6.4680000000000053</v>
      </c>
      <c r="F216" s="141">
        <f>'3.XT-C KH'!AA18</f>
        <v>0</v>
      </c>
      <c r="G216" s="141">
        <f>'3.XT-C KH'!K60</f>
        <v>0</v>
      </c>
      <c r="H216" s="141">
        <f>'3.XT-C KH'!S60</f>
        <v>0</v>
      </c>
      <c r="I216" s="195">
        <f>'3.XT-C KH'!AA60</f>
        <v>0</v>
      </c>
    </row>
    <row r="217" spans="1:11" ht="21.75" hidden="1" customHeight="1">
      <c r="A217" s="132">
        <v>7</v>
      </c>
      <c r="B217" s="3213" t="s">
        <v>1618</v>
      </c>
      <c r="C217" s="3214"/>
      <c r="D217" s="194">
        <f>'3.XT-C KH'!K19</f>
        <v>604.98</v>
      </c>
      <c r="E217" s="141">
        <f>'3.XT-C KH'!S19</f>
        <v>604.98</v>
      </c>
      <c r="F217" s="141">
        <f>'3.XT-C KH'!AA19</f>
        <v>604.98</v>
      </c>
      <c r="G217" s="141">
        <f>'3.XT-C KH'!K61</f>
        <v>604.98</v>
      </c>
      <c r="H217" s="141">
        <f>'3.XT-C KH'!S61</f>
        <v>604.98</v>
      </c>
      <c r="I217" s="195">
        <f>'3.XT-C KH'!AA61</f>
        <v>604.98</v>
      </c>
    </row>
    <row r="218" spans="1:11" ht="21.75" hidden="1" customHeight="1">
      <c r="A218" s="2691"/>
      <c r="B218" s="3213" t="s">
        <v>1619</v>
      </c>
      <c r="C218" s="3214"/>
      <c r="D218" s="194">
        <f>'3.XT-C KH'!K20</f>
        <v>0</v>
      </c>
      <c r="E218" s="141">
        <f>'3.XT-C KH'!S20</f>
        <v>0</v>
      </c>
      <c r="F218" s="141">
        <f>'3.XT-C KH'!AA20</f>
        <v>0</v>
      </c>
      <c r="G218" s="141">
        <f>'3.XT-C KH'!K62</f>
        <v>0</v>
      </c>
      <c r="H218" s="141">
        <f>'3.XT-C KH'!S62</f>
        <v>0</v>
      </c>
      <c r="I218" s="195">
        <f>'3.XT-C KH'!AA62</f>
        <v>0</v>
      </c>
    </row>
    <row r="219" spans="1:11" ht="21.75" hidden="1" customHeight="1">
      <c r="A219" s="132">
        <v>8</v>
      </c>
      <c r="B219" s="3213" t="s">
        <v>36</v>
      </c>
      <c r="C219" s="3214"/>
      <c r="D219" s="194">
        <f>'3.XT-C KH'!K21</f>
        <v>0</v>
      </c>
      <c r="E219" s="141">
        <f>'3.XT-C KH'!S21</f>
        <v>0</v>
      </c>
      <c r="F219" s="141">
        <f>'3.XT-C KH'!AA21</f>
        <v>0</v>
      </c>
      <c r="G219" s="141">
        <f>'3.XT-C KH'!K63</f>
        <v>0</v>
      </c>
      <c r="H219" s="141">
        <f>'3.XT-C KH'!S63</f>
        <v>0</v>
      </c>
      <c r="I219" s="195">
        <f>'3.XT-C KH'!AA63</f>
        <v>0</v>
      </c>
    </row>
    <row r="220" spans="1:11" ht="21.75" hidden="1" customHeight="1">
      <c r="A220" s="132">
        <v>10</v>
      </c>
      <c r="B220" s="3200" t="s">
        <v>112</v>
      </c>
      <c r="C220" s="3201" t="s">
        <v>112</v>
      </c>
      <c r="D220" s="196">
        <f>'3.XT-C KH'!K22</f>
        <v>0.57218543046357762</v>
      </c>
      <c r="E220" s="145">
        <f>'3.XT-C KH'!S22</f>
        <v>0</v>
      </c>
      <c r="F220" s="145">
        <f>'3.XT-C KH'!AA22</f>
        <v>0</v>
      </c>
      <c r="G220" s="145">
        <f>'3.XT-C KH'!K64</f>
        <v>6.2597086092715228</v>
      </c>
      <c r="H220" s="145">
        <f>'3.XT-C KH'!S64</f>
        <v>0</v>
      </c>
      <c r="I220" s="197">
        <f>'3.XT-C KH'!AA64</f>
        <v>5.5387549668874172</v>
      </c>
    </row>
    <row r="221" spans="1:11" ht="21.75" hidden="1" customHeight="1">
      <c r="D221" s="186"/>
      <c r="E221" s="134"/>
      <c r="F221" s="134"/>
      <c r="G221" s="134"/>
      <c r="H221" s="134"/>
      <c r="I221" s="187"/>
    </row>
    <row r="222" spans="1:11" ht="21.75" hidden="1" customHeight="1">
      <c r="B222" s="3393" t="s">
        <v>1573</v>
      </c>
      <c r="C222" s="3393"/>
      <c r="D222" s="2281">
        <f>'3''''.XT-C KH-JC '!I16</f>
        <v>0</v>
      </c>
      <c r="E222" s="2281">
        <f>'3''''.XT-C KH-JC '!Q16</f>
        <v>0</v>
      </c>
      <c r="F222" s="2281">
        <f>'3''''.XT-C KH-JC '!Y16</f>
        <v>0</v>
      </c>
      <c r="G222" s="2281">
        <f>'3''''.XT-C KH-JC '!I58</f>
        <v>0</v>
      </c>
      <c r="H222" s="2281">
        <f>'3''''.XT-C KH-JC '!Q58</f>
        <v>0</v>
      </c>
      <c r="I222" s="2281">
        <f>'3''''.XT-C KH-JC '!Y58</f>
        <v>0</v>
      </c>
    </row>
    <row r="223" spans="1:11" ht="21.75" hidden="1" customHeight="1">
      <c r="B223" s="3393" t="s">
        <v>120</v>
      </c>
      <c r="C223" s="3393"/>
      <c r="D223" s="2281">
        <f>'3''''.XT-C KH-JC '!I17</f>
        <v>0</v>
      </c>
      <c r="E223" s="2281">
        <f>'3''''.XT-C KH-JC '!Q17</f>
        <v>0</v>
      </c>
      <c r="F223" s="2281">
        <f>'3''''.XT-C KH-JC '!Y17</f>
        <v>0</v>
      </c>
      <c r="G223" s="2281">
        <f>'3''''.XT-C KH-JC '!I59</f>
        <v>0</v>
      </c>
      <c r="H223" s="2281">
        <f>'3''''.XT-C KH-JC '!Q59</f>
        <v>0</v>
      </c>
      <c r="I223" s="2281">
        <f>'3''''.XT-C KH-JC '!Y59</f>
        <v>0</v>
      </c>
      <c r="K223" s="319" t="s">
        <v>359</v>
      </c>
    </row>
    <row r="224" spans="1:11" ht="21.75" hidden="1" customHeight="1">
      <c r="B224" s="3393" t="s">
        <v>1572</v>
      </c>
      <c r="C224" s="3393"/>
      <c r="D224" s="2281">
        <f>'3''''.XT-C KH-JC '!K16</f>
        <v>403.2</v>
      </c>
      <c r="E224" s="2281">
        <f>'3''''.XT-C KH-JC '!S16</f>
        <v>403.2</v>
      </c>
      <c r="F224" s="2281">
        <f>'3''''.XT-C KH-JC '!AA16</f>
        <v>403.2</v>
      </c>
      <c r="G224" s="2281">
        <f>'3''''.XT-C KH-JC '!K58</f>
        <v>403.2</v>
      </c>
      <c r="H224" s="2281">
        <f>'3''''.XT-C KH-JC '!S58</f>
        <v>403.2</v>
      </c>
      <c r="I224" s="2281">
        <f>'3''''.XT-C KH-JC '!AA58</f>
        <v>403.2</v>
      </c>
    </row>
    <row r="225" spans="2:9" ht="21.75" hidden="1" customHeight="1">
      <c r="B225" s="3393" t="s">
        <v>157</v>
      </c>
      <c r="C225" s="3393"/>
      <c r="D225" s="2281">
        <f>'3''''.XT-C KH-JC '!I32</f>
        <v>0</v>
      </c>
      <c r="E225" s="2281">
        <f>'3''''.XT-C KH-JC '!Q32</f>
        <v>0</v>
      </c>
      <c r="F225" s="2281">
        <f>'3''''.XT-C KH-JC '!Y32</f>
        <v>0</v>
      </c>
      <c r="G225" s="2281">
        <f>'3''''.XT-C KH-JC '!I74</f>
        <v>0</v>
      </c>
      <c r="H225" s="2281">
        <f>'3''''.XT-C KH-JC '!Q74</f>
        <v>0</v>
      </c>
      <c r="I225" s="2281">
        <f>'3''''.XT-C KH-JC '!Y74</f>
        <v>0</v>
      </c>
    </row>
    <row r="226" spans="2:9" ht="21.75" customHeight="1" thickBot="1">
      <c r="D226" s="201"/>
      <c r="E226" s="202"/>
      <c r="F226" s="202"/>
      <c r="G226" s="202"/>
      <c r="H226" s="202"/>
      <c r="I226" s="203"/>
    </row>
  </sheetData>
  <mergeCells count="131">
    <mergeCell ref="B222:C222"/>
    <mergeCell ref="B223:C223"/>
    <mergeCell ref="B224:C224"/>
    <mergeCell ref="B225:C225"/>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 ref="B33:C33"/>
    <mergeCell ref="B30:C30"/>
    <mergeCell ref="B28:C28"/>
    <mergeCell ref="B26:C26"/>
    <mergeCell ref="B24:C24"/>
    <mergeCell ref="B20:C20"/>
    <mergeCell ref="A21:C21"/>
    <mergeCell ref="B22:C22"/>
    <mergeCell ref="B34:C34"/>
    <mergeCell ref="A31:C31"/>
    <mergeCell ref="B32:C32"/>
    <mergeCell ref="B29:C29"/>
    <mergeCell ref="B27:C27"/>
    <mergeCell ref="B25:C25"/>
    <mergeCell ref="B23:C23"/>
    <mergeCell ref="B49:C49"/>
    <mergeCell ref="B50:C50"/>
    <mergeCell ref="B51:C51"/>
    <mergeCell ref="B52:C52"/>
    <mergeCell ref="A37:A38"/>
    <mergeCell ref="A39:A40"/>
    <mergeCell ref="A41:A42"/>
    <mergeCell ref="A43:A44"/>
    <mergeCell ref="A45:A46"/>
    <mergeCell ref="A47:A48"/>
    <mergeCell ref="B43:B44"/>
    <mergeCell ref="B45:B46"/>
    <mergeCell ref="B47:C48"/>
    <mergeCell ref="B37:B38"/>
    <mergeCell ref="B39:B40"/>
    <mergeCell ref="B41:B42"/>
    <mergeCell ref="A121:A122"/>
    <mergeCell ref="B121:B122"/>
    <mergeCell ref="B123:C123"/>
    <mergeCell ref="B124:C124"/>
    <mergeCell ref="A125:A126"/>
    <mergeCell ref="B125:C126"/>
    <mergeCell ref="A113:A115"/>
    <mergeCell ref="B113:B115"/>
    <mergeCell ref="A116:A118"/>
    <mergeCell ref="B116:B118"/>
    <mergeCell ref="A119:A120"/>
    <mergeCell ref="B119:B120"/>
    <mergeCell ref="B133:C133"/>
    <mergeCell ref="B134:C134"/>
    <mergeCell ref="B135:C135"/>
    <mergeCell ref="B136:C136"/>
    <mergeCell ref="B137:C137"/>
    <mergeCell ref="B138:C138"/>
    <mergeCell ref="B127:C127"/>
    <mergeCell ref="B128:C128"/>
    <mergeCell ref="B129:C129"/>
    <mergeCell ref="B132:C132"/>
    <mergeCell ref="A149:A151"/>
    <mergeCell ref="B149:B151"/>
    <mergeCell ref="A152:A153"/>
    <mergeCell ref="B152:B153"/>
    <mergeCell ref="A154:A155"/>
    <mergeCell ref="B154:B155"/>
    <mergeCell ref="B139:C139"/>
    <mergeCell ref="B142:C142"/>
    <mergeCell ref="B143:C143"/>
    <mergeCell ref="A146:A148"/>
    <mergeCell ref="B146:B148"/>
    <mergeCell ref="A170:A172"/>
    <mergeCell ref="B170:B172"/>
    <mergeCell ref="A173:A174"/>
    <mergeCell ref="B173:B174"/>
    <mergeCell ref="A167:A169"/>
    <mergeCell ref="B167:B169"/>
    <mergeCell ref="B162:C162"/>
    <mergeCell ref="B156:C156"/>
    <mergeCell ref="B157:C157"/>
    <mergeCell ref="A158:A159"/>
    <mergeCell ref="B158:C159"/>
    <mergeCell ref="B160:C160"/>
    <mergeCell ref="B161:C161"/>
    <mergeCell ref="B190:C190"/>
    <mergeCell ref="B189:C189"/>
    <mergeCell ref="B188:C188"/>
    <mergeCell ref="B185:C185"/>
    <mergeCell ref="A179:A180"/>
    <mergeCell ref="B179:C180"/>
    <mergeCell ref="B182:C182"/>
    <mergeCell ref="B184:C184"/>
    <mergeCell ref="A175:A176"/>
    <mergeCell ref="B175:B176"/>
    <mergeCell ref="A177:A178"/>
    <mergeCell ref="B177:B178"/>
    <mergeCell ref="B199:C199"/>
    <mergeCell ref="A202:A204"/>
    <mergeCell ref="B202:B204"/>
    <mergeCell ref="B198:C198"/>
    <mergeCell ref="B195:C195"/>
    <mergeCell ref="B194:C194"/>
    <mergeCell ref="B193:C193"/>
    <mergeCell ref="B192:C192"/>
    <mergeCell ref="B191:C191"/>
    <mergeCell ref="B220:C220"/>
    <mergeCell ref="A212:A213"/>
    <mergeCell ref="B212:B213"/>
    <mergeCell ref="A214:A215"/>
    <mergeCell ref="B214:C215"/>
    <mergeCell ref="B217:C217"/>
    <mergeCell ref="B219:C219"/>
    <mergeCell ref="A205:A207"/>
    <mergeCell ref="B205:B207"/>
    <mergeCell ref="A208:A209"/>
    <mergeCell ref="B208:B209"/>
    <mergeCell ref="A210:A211"/>
    <mergeCell ref="B210:B211"/>
    <mergeCell ref="B218:C218"/>
  </mergeCells>
  <phoneticPr fontId="7" type="noConversion"/>
  <pageMargins left="0.7" right="0.7" top="0.75" bottom="0.75" header="0.3" footer="0.3"/>
  <pageSetup paperSize="9" orientation="portrait" verticalDpi="0" r:id="rId1"/>
  <drawing r:id="rId2"/>
</worksheet>
</file>

<file path=xl/worksheets/sheet26.xml><?xml version="1.0" encoding="utf-8"?>
<worksheet xmlns="http://schemas.openxmlformats.org/spreadsheetml/2006/main" xmlns:r="http://schemas.openxmlformats.org/officeDocument/2006/relationships">
  <sheetPr codeName="Sheet15">
    <tabColor rgb="FFFF0000"/>
  </sheetPr>
  <dimension ref="A1:I188"/>
  <sheetViews>
    <sheetView zoomScale="85" zoomScaleNormal="85" workbookViewId="0">
      <selection activeCell="E199" sqref="E199"/>
    </sheetView>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1993" t="str">
        <f>MENU!$AC$9</f>
        <v>Thứ 4,</v>
      </c>
      <c r="C1" s="3399" t="str">
        <f>MENU!$AD$9</f>
        <v>2024/05/22</v>
      </c>
      <c r="D1" s="3400"/>
      <c r="E1" s="3400"/>
      <c r="F1" s="3400"/>
    </row>
    <row r="2" spans="1:9" ht="26.25" customHeight="1"/>
    <row r="3" spans="1:9" ht="36" customHeight="1">
      <c r="A3" s="157"/>
      <c r="B3" s="250" t="s">
        <v>215</v>
      </c>
      <c r="C3" s="158"/>
      <c r="D3" s="142" t="s">
        <v>155</v>
      </c>
      <c r="E3" s="143"/>
      <c r="F3" s="143"/>
      <c r="G3" s="143"/>
      <c r="H3" s="143"/>
      <c r="I3" s="144"/>
    </row>
    <row r="4" spans="1:9" ht="21.75" customHeight="1" thickBot="1">
      <c r="A4" s="178"/>
      <c r="B4" s="158"/>
      <c r="C4" s="179"/>
      <c r="D4" s="153">
        <v>0.25</v>
      </c>
      <c r="E4" s="153">
        <v>0.41666666666666669</v>
      </c>
      <c r="F4" s="153">
        <v>0.58333333333333337</v>
      </c>
      <c r="G4" s="153">
        <v>0.75</v>
      </c>
      <c r="H4" s="153">
        <v>0.91666666666666663</v>
      </c>
      <c r="I4" s="154">
        <v>8.3333333333333329E-2</v>
      </c>
    </row>
    <row r="5" spans="1:9" ht="27" customHeight="1">
      <c r="A5" s="3394">
        <v>1</v>
      </c>
      <c r="B5" s="3396" t="s">
        <v>131</v>
      </c>
      <c r="C5" s="177" t="s">
        <v>100</v>
      </c>
      <c r="D5" s="181">
        <f>'1. XL-1E TT'!I6</f>
        <v>0</v>
      </c>
      <c r="E5" s="182">
        <f>'1. XL-1E TT'!M6</f>
        <v>0</v>
      </c>
      <c r="F5" s="182">
        <f>'1. XL-1E TT'!Q6</f>
        <v>0</v>
      </c>
      <c r="G5" s="182">
        <f>'1. XL-1E TT(CA2)'!I6</f>
        <v>0</v>
      </c>
      <c r="H5" s="182">
        <f>'1. XL-1E TT(CA2)'!M6</f>
        <v>22</v>
      </c>
      <c r="I5" s="183">
        <f>'1. XL-1E TT(CA2)'!Q6</f>
        <v>29.2</v>
      </c>
    </row>
    <row r="6" spans="1:9" ht="27" hidden="1" customHeight="1">
      <c r="A6" s="3394"/>
      <c r="B6" s="3396"/>
      <c r="C6" s="177"/>
      <c r="D6" s="186"/>
      <c r="E6" s="134"/>
      <c r="F6" s="134"/>
      <c r="G6" s="134">
        <f>'1. XL-1E TT(CA2)'!I7</f>
        <v>0</v>
      </c>
      <c r="H6" s="134">
        <f>'1. XL-1E TT(CA2)'!M7</f>
        <v>0</v>
      </c>
      <c r="I6" s="187">
        <f>'1. XL-1E TT(CA2)'!Q7</f>
        <v>0</v>
      </c>
    </row>
    <row r="7" spans="1:9" ht="21.75" hidden="1" customHeight="1">
      <c r="A7" s="3395"/>
      <c r="B7" s="3397"/>
      <c r="C7" s="180" t="s">
        <v>128</v>
      </c>
      <c r="D7" s="186">
        <f>'1. XL-1E TT'!I8</f>
        <v>0</v>
      </c>
      <c r="E7" s="134">
        <f>'1. XL-1E TT'!M8</f>
        <v>0</v>
      </c>
      <c r="F7" s="134">
        <f>'1. XL-1E TT'!Q8</f>
        <v>0</v>
      </c>
      <c r="G7" s="134">
        <f>'1. XL-1E TT(CA2)'!I8</f>
        <v>0</v>
      </c>
      <c r="H7" s="134">
        <f>'1. XL-1E TT(CA2)'!M8</f>
        <v>0</v>
      </c>
      <c r="I7" s="187">
        <f>'1. XL-1E TT(CA2)'!Q8</f>
        <v>0</v>
      </c>
    </row>
    <row r="8" spans="1:9" ht="21.75" hidden="1" customHeight="1">
      <c r="A8" s="3265">
        <v>2</v>
      </c>
      <c r="B8" s="3398" t="s">
        <v>145</v>
      </c>
      <c r="C8" s="160" t="s">
        <v>100</v>
      </c>
      <c r="D8" s="186">
        <f>'1. XL-1E TT'!I9</f>
        <v>0</v>
      </c>
      <c r="E8" s="134">
        <f>'1. XL-1E TT'!M9</f>
        <v>0</v>
      </c>
      <c r="F8" s="134">
        <f>'1. XL-1E TT'!Q9</f>
        <v>0</v>
      </c>
      <c r="G8" s="134">
        <f>'1. XL-1E TT(CA2)'!I9</f>
        <v>0</v>
      </c>
      <c r="H8" s="134">
        <f>'1. XL-1E TT(CA2)'!M9</f>
        <v>23.2</v>
      </c>
      <c r="I8" s="187">
        <f>'1. XL-1E TT(CA2)'!Q9</f>
        <v>28.8</v>
      </c>
    </row>
    <row r="9" spans="1:9" ht="21.75" hidden="1" customHeight="1">
      <c r="A9" s="3265"/>
      <c r="B9" s="3398"/>
      <c r="C9" s="1516"/>
      <c r="D9" s="186"/>
      <c r="E9" s="134"/>
      <c r="F9" s="134"/>
      <c r="G9" s="134">
        <f>'1. XL-1E TT(CA2)'!I10</f>
        <v>0</v>
      </c>
      <c r="H9" s="134">
        <f>'1. XL-1E TT(CA2)'!M10</f>
        <v>0</v>
      </c>
      <c r="I9" s="187">
        <f>'1. XL-1E TT(CA2)'!Q10</f>
        <v>0</v>
      </c>
    </row>
    <row r="10" spans="1:9" ht="21.75" hidden="1" customHeight="1">
      <c r="A10" s="3259"/>
      <c r="B10" s="3385"/>
      <c r="C10" s="137" t="s">
        <v>128</v>
      </c>
      <c r="D10" s="186">
        <f>'1. XL-1E TT'!I11</f>
        <v>0</v>
      </c>
      <c r="E10" s="134">
        <f>'1. XL-1E TT'!M11</f>
        <v>0</v>
      </c>
      <c r="F10" s="134">
        <f>'1. XL-1E TT'!Q11</f>
        <v>0</v>
      </c>
      <c r="G10" s="134">
        <f>'1. XL-1E TT(CA2)'!I11</f>
        <v>0</v>
      </c>
      <c r="H10" s="134">
        <f>'1. XL-1E TT(CA2)'!M11</f>
        <v>0</v>
      </c>
      <c r="I10" s="187">
        <f>'1. XL-1E TT(CA2)'!Q11</f>
        <v>0</v>
      </c>
    </row>
    <row r="11" spans="1:9" ht="21.75" hidden="1" customHeight="1">
      <c r="A11" s="3258">
        <v>3</v>
      </c>
      <c r="B11" s="3384" t="s">
        <v>143</v>
      </c>
      <c r="C11" s="136" t="s">
        <v>100</v>
      </c>
      <c r="D11" s="186">
        <f>'1. XL-1E TT'!I12</f>
        <v>0</v>
      </c>
      <c r="E11" s="134">
        <f>'1. XL-1E TT'!M12</f>
        <v>0</v>
      </c>
      <c r="F11" s="134">
        <f>'1. XL-1E TT'!Q12</f>
        <v>0</v>
      </c>
      <c r="G11" s="134">
        <f>'1. XL-1E TT(CA2)'!I12</f>
        <v>0</v>
      </c>
      <c r="H11" s="134">
        <f>'1. XL-1E TT(CA2)'!M12</f>
        <v>70.400000000000006</v>
      </c>
      <c r="I11" s="187">
        <f>'1. XL-1E TT(CA2)'!Q12</f>
        <v>71.2</v>
      </c>
    </row>
    <row r="12" spans="1:9" ht="21.75" hidden="1" customHeight="1">
      <c r="A12" s="3259"/>
      <c r="B12" s="3385"/>
      <c r="C12" s="137" t="s">
        <v>128</v>
      </c>
      <c r="D12" s="186">
        <f>'1. XL-1E TT'!I13</f>
        <v>0</v>
      </c>
      <c r="E12" s="134">
        <f>'1. XL-1E TT'!M13</f>
        <v>0</v>
      </c>
      <c r="F12" s="134">
        <f>'1. XL-1E TT'!Q13</f>
        <v>0</v>
      </c>
      <c r="G12" s="134">
        <f>'1. XL-1E TT(CA2)'!I13</f>
        <v>0</v>
      </c>
      <c r="H12" s="134">
        <f>'1. XL-1E TT(CA2)'!M13</f>
        <v>0</v>
      </c>
      <c r="I12" s="187">
        <f>'1. XL-1E TT(CA2)'!Q13</f>
        <v>0</v>
      </c>
    </row>
    <row r="13" spans="1:9" ht="21.75" hidden="1" customHeight="1">
      <c r="A13" s="3258">
        <v>4</v>
      </c>
      <c r="B13" s="3384" t="s">
        <v>144</v>
      </c>
      <c r="C13" s="136" t="s">
        <v>100</v>
      </c>
      <c r="D13" s="186">
        <f>'1. XL-1E TT'!I14</f>
        <v>0</v>
      </c>
      <c r="E13" s="134">
        <f>'1. XL-1E TT'!M14</f>
        <v>0</v>
      </c>
      <c r="F13" s="134">
        <f>'1. XL-1E TT'!Q14</f>
        <v>0</v>
      </c>
      <c r="G13" s="134">
        <f>'1. XL-1E TT(CA2)'!I14</f>
        <v>0</v>
      </c>
      <c r="H13" s="134">
        <f>'1. XL-1E TT(CA2)'!M14</f>
        <v>74</v>
      </c>
      <c r="I13" s="187">
        <f>'1. XL-1E TT(CA2)'!Q14</f>
        <v>73.2</v>
      </c>
    </row>
    <row r="14" spans="1:9" ht="21.75" hidden="1" customHeight="1">
      <c r="A14" s="3259"/>
      <c r="B14" s="3385"/>
      <c r="C14" s="137" t="s">
        <v>128</v>
      </c>
      <c r="D14" s="186">
        <f>'1. XL-1E TT'!I15</f>
        <v>0</v>
      </c>
      <c r="E14" s="134">
        <f>'1. XL-1E TT'!M15</f>
        <v>0</v>
      </c>
      <c r="F14" s="134">
        <f>'1. XL-1E TT'!Q15</f>
        <v>0</v>
      </c>
      <c r="G14" s="134">
        <f>'1. XL-1E TT(CA2)'!I15</f>
        <v>0</v>
      </c>
      <c r="H14" s="134">
        <f>'1. XL-1E TT(CA2)'!M15</f>
        <v>0</v>
      </c>
      <c r="I14" s="187">
        <f>'1. XL-1E TT(CA2)'!Q15</f>
        <v>0</v>
      </c>
    </row>
    <row r="15" spans="1:9" ht="21.75" hidden="1" customHeight="1">
      <c r="A15" s="3258">
        <v>5</v>
      </c>
      <c r="B15" s="3148" t="s">
        <v>95</v>
      </c>
      <c r="C15" s="230" t="s">
        <v>94</v>
      </c>
      <c r="D15" s="186">
        <f>'1. XL-1E TT'!I16</f>
        <v>0</v>
      </c>
      <c r="E15" s="134">
        <f>'1. XL-1E TT'!M16</f>
        <v>0</v>
      </c>
      <c r="F15" s="134">
        <f>'1. XL-1E TT'!Q16</f>
        <v>0</v>
      </c>
      <c r="G15" s="134">
        <f>'1. XL-1E TT(CA2)'!I16</f>
        <v>0</v>
      </c>
      <c r="H15" s="134">
        <f>'1. XL-1E TT(CA2)'!M16</f>
        <v>141.6</v>
      </c>
      <c r="I15" s="187">
        <f>'1. XL-1E TT(CA2)'!Q16</f>
        <v>142.4</v>
      </c>
    </row>
    <row r="16" spans="1:9" ht="21.75" hidden="1" customHeight="1">
      <c r="A16" s="3259"/>
      <c r="B16" s="3149"/>
      <c r="C16" s="230" t="s">
        <v>57</v>
      </c>
      <c r="D16" s="186">
        <f>'1. XL-1E TT'!I17</f>
        <v>0</v>
      </c>
      <c r="E16" s="134">
        <f>'1. XL-1E TT'!M17</f>
        <v>0</v>
      </c>
      <c r="F16" s="134">
        <f>'1. XL-1E TT'!Q17</f>
        <v>0</v>
      </c>
      <c r="G16" s="134">
        <f>'1. XL-1E TT(CA2)'!I17</f>
        <v>0</v>
      </c>
      <c r="H16" s="134">
        <f>'1. XL-1E TT(CA2)'!M17</f>
        <v>11.57</v>
      </c>
      <c r="I16" s="187">
        <f>'1. XL-1E TT(CA2)'!Q17</f>
        <v>11.440000000000001</v>
      </c>
    </row>
    <row r="17" spans="1:9" ht="21.75" hidden="1" customHeight="1">
      <c r="A17" s="3258">
        <v>6</v>
      </c>
      <c r="B17" s="3386" t="s">
        <v>96</v>
      </c>
      <c r="C17" s="3387"/>
      <c r="D17" s="186">
        <f>'1. XL-1E TT'!I18</f>
        <v>0</v>
      </c>
      <c r="E17" s="134">
        <f>'1. XL-1E TT'!M18</f>
        <v>0</v>
      </c>
      <c r="F17" s="134">
        <f>'1. XL-1E TT'!Q18</f>
        <v>0</v>
      </c>
      <c r="G17" s="134">
        <f>'1. XL-1E TT(CA2)'!I18</f>
        <v>0</v>
      </c>
      <c r="H17" s="134">
        <f>'1. XL-1E TT(CA2)'!M18</f>
        <v>16.978417266187048</v>
      </c>
      <c r="I17" s="187">
        <f>'1. XL-1E TT(CA2)'!Q18</f>
        <v>16.546762589928058</v>
      </c>
    </row>
    <row r="18" spans="1:9" ht="21.75" hidden="1" customHeight="1">
      <c r="A18" s="3259"/>
      <c r="B18" s="3388"/>
      <c r="C18" s="3275"/>
      <c r="D18" s="186">
        <f>'1. XL-1E TT'!I19</f>
        <v>0</v>
      </c>
      <c r="E18" s="134">
        <f>'1. XL-1E TT'!M19</f>
        <v>0</v>
      </c>
      <c r="F18" s="134">
        <f>'1. XL-1E TT'!Q19</f>
        <v>0</v>
      </c>
      <c r="G18" s="134">
        <f>'1. XL-1E TT(CA2)'!I19</f>
        <v>0</v>
      </c>
      <c r="H18" s="134">
        <f>'1. XL-1E TT(CA2)'!M19</f>
        <v>1.48</v>
      </c>
      <c r="I18" s="187">
        <f>'1. XL-1E TT(CA2)'!Q19</f>
        <v>1.64</v>
      </c>
    </row>
    <row r="19" spans="1:9" ht="21.75" hidden="1" customHeight="1">
      <c r="A19" s="103">
        <v>7</v>
      </c>
      <c r="B19" s="3122" t="s">
        <v>58</v>
      </c>
      <c r="C19" s="3383"/>
      <c r="D19" s="186">
        <f>'1. XL-1E TT'!I20</f>
        <v>0</v>
      </c>
      <c r="E19" s="134">
        <f>'1. XL-1E TT'!M20</f>
        <v>0</v>
      </c>
      <c r="F19" s="134">
        <f>'1. XL-1E TT'!Q20</f>
        <v>0</v>
      </c>
      <c r="G19" s="134">
        <f>'1. XL-1E TT(CA2)'!I20</f>
        <v>0</v>
      </c>
      <c r="H19" s="134">
        <f>'1. XL-1E TT(CA2)'!M20</f>
        <v>0.3878125</v>
      </c>
      <c r="I19" s="187">
        <f>'1. XL-1E TT(CA2)'!Q20</f>
        <v>0.45624999999999999</v>
      </c>
    </row>
    <row r="20" spans="1:9" ht="21.75" hidden="1" customHeight="1">
      <c r="A20" s="103">
        <v>8</v>
      </c>
      <c r="B20" s="3122" t="s">
        <v>59</v>
      </c>
      <c r="C20" s="3383"/>
      <c r="D20" s="186">
        <f>'1. XL-1E TT'!I21</f>
        <v>0</v>
      </c>
      <c r="E20" s="134">
        <f>'1. XL-1E TT'!M21</f>
        <v>0</v>
      </c>
      <c r="F20" s="134">
        <f>'1. XL-1E TT'!Q21</f>
        <v>0</v>
      </c>
      <c r="G20" s="134">
        <f>'1. XL-1E TT(CA2)'!I21</f>
        <v>0</v>
      </c>
      <c r="H20" s="134">
        <f>'1. XL-1E TT(CA2)'!M21</f>
        <v>0</v>
      </c>
      <c r="I20" s="187">
        <f>'1. XL-1E TT(CA2)'!Q21</f>
        <v>0</v>
      </c>
    </row>
    <row r="21" spans="1:9" ht="21.75" hidden="1" customHeight="1">
      <c r="A21" s="103">
        <v>9</v>
      </c>
      <c r="B21" s="3122" t="s">
        <v>60</v>
      </c>
      <c r="C21" s="3383"/>
      <c r="D21" s="186">
        <f>'1. XL-1E TT'!I22</f>
        <v>0</v>
      </c>
      <c r="E21" s="134">
        <f>'1. XL-1E TT'!M22</f>
        <v>0</v>
      </c>
      <c r="F21" s="134">
        <f>'1. XL-1E TT'!Q22</f>
        <v>0</v>
      </c>
      <c r="G21" s="134">
        <f>'1. XL-1E TT(CA2)'!I22</f>
        <v>0</v>
      </c>
      <c r="H21" s="134">
        <f>'1. XL-1E TT(CA2)'!M22</f>
        <v>0</v>
      </c>
      <c r="I21" s="187">
        <f>'1. XL-1E TT(CA2)'!Q22</f>
        <v>0</v>
      </c>
    </row>
    <row r="22" spans="1:9" ht="21.75" hidden="1" customHeight="1">
      <c r="A22" s="103">
        <v>10</v>
      </c>
      <c r="B22" s="3122" t="s">
        <v>97</v>
      </c>
      <c r="C22" s="3383"/>
      <c r="D22" s="184">
        <f>'1. XL-1E TT'!I23</f>
        <v>0</v>
      </c>
      <c r="E22" s="1519">
        <f>'1. XL-1E TT'!M23</f>
        <v>0</v>
      </c>
      <c r="F22" s="1519">
        <f>'1. XL-1E TT'!Q23</f>
        <v>0</v>
      </c>
      <c r="G22" s="1519">
        <f>'1. XL-1E TT(CA2)'!I23</f>
        <v>0</v>
      </c>
      <c r="H22" s="1519" t="str">
        <f>'1. XL-1E TT(CA2)'!M23</f>
        <v>chưa pha</v>
      </c>
      <c r="I22" s="185">
        <f>'1. XL-1E TT(CA2)'!Q23</f>
        <v>1.0331999999999999E-2</v>
      </c>
    </row>
    <row r="23" spans="1:9" ht="21.75" hidden="1" customHeight="1">
      <c r="A23" s="3389" t="s">
        <v>73</v>
      </c>
      <c r="B23" s="3389"/>
      <c r="C23" s="3390"/>
      <c r="D23" s="188" t="s">
        <v>157</v>
      </c>
      <c r="E23" s="143"/>
      <c r="F23" s="143"/>
      <c r="G23" s="143"/>
      <c r="H23" s="143"/>
      <c r="I23" s="189"/>
    </row>
    <row r="24" spans="1:9" ht="21.75" hidden="1" customHeight="1">
      <c r="A24" s="139" t="s">
        <v>7</v>
      </c>
      <c r="B24" s="3390" t="s">
        <v>61</v>
      </c>
      <c r="C24" s="3391"/>
      <c r="D24" s="190">
        <v>0.25</v>
      </c>
      <c r="E24" s="146">
        <v>0.41666666666666669</v>
      </c>
      <c r="F24" s="146">
        <v>0.58333333333333337</v>
      </c>
      <c r="G24" s="146">
        <v>0.75</v>
      </c>
      <c r="H24" s="146">
        <v>0.91666666666666663</v>
      </c>
      <c r="I24" s="191">
        <v>8.3333333333333329E-2</v>
      </c>
    </row>
    <row r="25" spans="1:9" ht="21.75" hidden="1" customHeight="1">
      <c r="A25" s="103">
        <v>1</v>
      </c>
      <c r="B25" s="3130" t="s">
        <v>65</v>
      </c>
      <c r="C25" s="3131"/>
      <c r="D25" s="186">
        <f>'1. XL-1E TT'!I28</f>
        <v>0</v>
      </c>
      <c r="E25" s="134">
        <f>'1. XL-1E TT'!M28</f>
        <v>0</v>
      </c>
      <c r="F25" s="134">
        <f>'1. XL-1E TT'!Q28</f>
        <v>0</v>
      </c>
      <c r="G25" s="134">
        <f>'1. XL-1E TT(CA2)'!I28</f>
        <v>0</v>
      </c>
      <c r="H25" s="134">
        <f>'1. XL-1E TT(CA2)'!M28</f>
        <v>64</v>
      </c>
      <c r="I25" s="187">
        <f>'1. XL-1E TT(CA2)'!Q28</f>
        <v>64</v>
      </c>
    </row>
    <row r="26" spans="1:9" ht="21.75" hidden="1" customHeight="1">
      <c r="A26" s="103">
        <v>2</v>
      </c>
      <c r="B26" s="3130" t="s">
        <v>66</v>
      </c>
      <c r="C26" s="3131" t="s">
        <v>66</v>
      </c>
      <c r="D26" s="186">
        <f>'1. XL-1E TT'!I29</f>
        <v>0</v>
      </c>
      <c r="E26" s="134">
        <f>'1. XL-1E TT'!M29</f>
        <v>0</v>
      </c>
      <c r="F26" s="134">
        <f>'1. XL-1E TT'!Q29</f>
        <v>0</v>
      </c>
      <c r="G26" s="134">
        <f>'1. XL-1E TT(CA2)'!I29</f>
        <v>0</v>
      </c>
      <c r="H26" s="134">
        <f>'1. XL-1E TT(CA2)'!M29</f>
        <v>64</v>
      </c>
      <c r="I26" s="187">
        <f>'1. XL-1E TT(CA2)'!Q29</f>
        <v>63</v>
      </c>
    </row>
    <row r="27" spans="1:9" ht="21.75" hidden="1" customHeight="1">
      <c r="A27" s="103">
        <v>3</v>
      </c>
      <c r="B27" s="3130" t="s">
        <v>68</v>
      </c>
      <c r="C27" s="3131" t="s">
        <v>68</v>
      </c>
      <c r="D27" s="186">
        <f>'1. XL-1E TT'!I30</f>
        <v>0</v>
      </c>
      <c r="E27" s="134">
        <f>'1. XL-1E TT'!M30</f>
        <v>0</v>
      </c>
      <c r="F27" s="134">
        <f>'1. XL-1E TT'!Q30</f>
        <v>0</v>
      </c>
      <c r="G27" s="134">
        <f>'1. XL-1E TT(CA2)'!I30</f>
        <v>0</v>
      </c>
      <c r="H27" s="134">
        <f>'1. XL-1E TT(CA2)'!M30</f>
        <v>53</v>
      </c>
      <c r="I27" s="187">
        <f>'1. XL-1E TT(CA2)'!Q30</f>
        <v>55</v>
      </c>
    </row>
    <row r="28" spans="1:9" ht="21.75" hidden="1" customHeight="1">
      <c r="A28" s="103">
        <v>4</v>
      </c>
      <c r="B28" s="3130" t="s">
        <v>67</v>
      </c>
      <c r="C28" s="3131" t="s">
        <v>67</v>
      </c>
      <c r="D28" s="186">
        <f>'1. XL-1E TT'!I31</f>
        <v>0</v>
      </c>
      <c r="E28" s="134">
        <f>'1. XL-1E TT'!M31</f>
        <v>0</v>
      </c>
      <c r="F28" s="134">
        <f>'1. XL-1E TT'!Q31</f>
        <v>0</v>
      </c>
      <c r="G28" s="134">
        <f>'1. XL-1E TT(CA2)'!I31</f>
        <v>0</v>
      </c>
      <c r="H28" s="134">
        <f>'1. XL-1E TT(CA2)'!M31</f>
        <v>52</v>
      </c>
      <c r="I28" s="187">
        <f>'1. XL-1E TT(CA2)'!Q31</f>
        <v>53</v>
      </c>
    </row>
    <row r="29" spans="1:9" ht="21.75" hidden="1" customHeight="1">
      <c r="A29" s="103">
        <v>5</v>
      </c>
      <c r="B29" s="3130" t="s">
        <v>69</v>
      </c>
      <c r="C29" s="3131" t="s">
        <v>69</v>
      </c>
      <c r="D29" s="186">
        <f>'1. XL-1E TT'!I32</f>
        <v>0</v>
      </c>
      <c r="E29" s="134">
        <f>'1. XL-1E TT'!M32</f>
        <v>0</v>
      </c>
      <c r="F29" s="134">
        <f>'1. XL-1E TT'!Q32</f>
        <v>0</v>
      </c>
      <c r="G29" s="134">
        <f>'1. XL-1E TT(CA2)'!I32</f>
        <v>0</v>
      </c>
      <c r="H29" s="134">
        <f>'1. XL-1E TT(CA2)'!M32</f>
        <v>28</v>
      </c>
      <c r="I29" s="187">
        <f>'1. XL-1E TT(CA2)'!Q32</f>
        <v>28</v>
      </c>
    </row>
    <row r="30" spans="1:9" ht="21.75" hidden="1" customHeight="1">
      <c r="A30" s="103">
        <v>6</v>
      </c>
      <c r="B30" s="3130" t="s">
        <v>84</v>
      </c>
      <c r="C30" s="3131" t="s">
        <v>84</v>
      </c>
      <c r="D30" s="186">
        <f>'1. XL-1E TT'!I33</f>
        <v>0</v>
      </c>
      <c r="E30" s="134">
        <f>'1. XL-1E TT'!M33</f>
        <v>0</v>
      </c>
      <c r="F30" s="134">
        <f>'1. XL-1E TT'!Q33</f>
        <v>0</v>
      </c>
      <c r="G30" s="134">
        <f>'1. XL-1E TT(CA2)'!I33</f>
        <v>0</v>
      </c>
      <c r="H30" s="134">
        <f>'1. XL-1E TT(CA2)'!M33</f>
        <v>37</v>
      </c>
      <c r="I30" s="187">
        <f>'1. XL-1E TT(CA2)'!Q33</f>
        <v>37</v>
      </c>
    </row>
    <row r="31" spans="1:9" ht="21.75" hidden="1" customHeight="1">
      <c r="A31" s="103">
        <v>7</v>
      </c>
      <c r="B31" s="3130" t="s">
        <v>70</v>
      </c>
      <c r="C31" s="3131" t="s">
        <v>70</v>
      </c>
      <c r="D31" s="186">
        <f>'1. XL-1E TT'!I34</f>
        <v>0</v>
      </c>
      <c r="E31" s="134">
        <f>'1. XL-1E TT'!M34</f>
        <v>0</v>
      </c>
      <c r="F31" s="134">
        <f>'1. XL-1E TT'!Q34</f>
        <v>0</v>
      </c>
      <c r="G31" s="134">
        <f>'1. XL-1E TT(CA2)'!I34</f>
        <v>0</v>
      </c>
      <c r="H31" s="134">
        <f>'1. XL-1E TT(CA2)'!M34</f>
        <v>32</v>
      </c>
      <c r="I31" s="187">
        <f>'1. XL-1E TT(CA2)'!Q34</f>
        <v>46</v>
      </c>
    </row>
    <row r="32" spans="1:9" ht="21.75" hidden="1" customHeight="1">
      <c r="A32" s="103">
        <v>8</v>
      </c>
      <c r="B32" s="3130" t="s">
        <v>71</v>
      </c>
      <c r="C32" s="3131" t="s">
        <v>71</v>
      </c>
      <c r="D32" s="186">
        <f>'1. XL-1E TT'!K35</f>
        <v>0</v>
      </c>
      <c r="E32" s="134">
        <f>'1. XL-1E TT'!O35</f>
        <v>0</v>
      </c>
      <c r="F32" s="134">
        <f>'1. XL-1E TT'!S35</f>
        <v>0</v>
      </c>
      <c r="G32" s="134">
        <f>'1. XL-1E TT(CA2)'!K35</f>
        <v>0</v>
      </c>
      <c r="H32" s="134" t="str">
        <f>'1. XL-1E TT(CA2)'!O35</f>
        <v>chưa mo máy</v>
      </c>
      <c r="I32" s="187">
        <f>'1. XL-1E TT(CA2)'!S35</f>
        <v>87</v>
      </c>
    </row>
    <row r="33" spans="1:9" ht="21.75" hidden="1" customHeight="1">
      <c r="A33" s="3389" t="s">
        <v>75</v>
      </c>
      <c r="B33" s="3389"/>
      <c r="C33" s="3390"/>
      <c r="D33" s="188" t="s">
        <v>158</v>
      </c>
      <c r="E33" s="143"/>
      <c r="F33" s="143"/>
      <c r="G33" s="143"/>
      <c r="H33" s="143"/>
      <c r="I33" s="189"/>
    </row>
    <row r="34" spans="1:9" ht="21.75" hidden="1" customHeight="1">
      <c r="A34" s="139" t="s">
        <v>7</v>
      </c>
      <c r="B34" s="3390" t="s">
        <v>92</v>
      </c>
      <c r="C34" s="3391"/>
      <c r="D34" s="192">
        <v>0.25</v>
      </c>
      <c r="E34" s="138">
        <v>0.41666666666666669</v>
      </c>
      <c r="F34" s="138">
        <v>0.58333333333333337</v>
      </c>
      <c r="G34" s="138">
        <v>0.75</v>
      </c>
      <c r="H34" s="138">
        <v>0.91666666666666663</v>
      </c>
      <c r="I34" s="193">
        <v>8.3333333333333329E-2</v>
      </c>
    </row>
    <row r="35" spans="1:9" ht="21.75" hidden="1" customHeight="1">
      <c r="A35" s="103">
        <v>1</v>
      </c>
      <c r="B35" s="3122" t="s">
        <v>98</v>
      </c>
      <c r="C35" s="3392"/>
      <c r="D35" s="186">
        <f>'1. XL-1E TT'!I38</f>
        <v>0</v>
      </c>
      <c r="E35" s="134">
        <f>'1. XL-1E TT'!M38</f>
        <v>0</v>
      </c>
      <c r="F35" s="134">
        <f>'1. XL-1E TT'!Q38</f>
        <v>0</v>
      </c>
      <c r="G35" s="1517">
        <f>'1. XL-1E TT(CA2)'!I38</f>
        <v>0</v>
      </c>
      <c r="H35" s="1517" t="str">
        <f>'1. XL-1E TT(CA2)'!M38</f>
        <v>chưa có hâng ko bơm</v>
      </c>
      <c r="I35" s="1518" t="str">
        <f>'1. XL-1E TT(CA2)'!Q38</f>
        <v>chưa có hâng ko bơm</v>
      </c>
    </row>
    <row r="36" spans="1:9" ht="21.75" hidden="1" customHeight="1">
      <c r="A36" s="103">
        <v>2</v>
      </c>
      <c r="B36" s="3122" t="s">
        <v>99</v>
      </c>
      <c r="C36" s="3392"/>
      <c r="D36" s="186">
        <f>'1. XL-1E TT'!I39</f>
        <v>0</v>
      </c>
      <c r="E36" s="134">
        <f>'1. XL-1E TT'!M39</f>
        <v>0</v>
      </c>
      <c r="F36" s="134">
        <f>'1. XL-1E TT'!Q39</f>
        <v>0</v>
      </c>
      <c r="G36" s="1517">
        <f>'1. XL-1E TT(CA2)'!I39</f>
        <v>0</v>
      </c>
      <c r="H36" s="1517" t="str">
        <f>'1. XL-1E TT(CA2)'!M39</f>
        <v>chưa có hâng ko bơm</v>
      </c>
      <c r="I36" s="1518" t="str">
        <f>'1. XL-1E TT(CA2)'!Q39</f>
        <v>chưa có hâng ko bơm</v>
      </c>
    </row>
    <row r="37" spans="1:9" ht="21.75" hidden="1" customHeight="1">
      <c r="A37" s="140"/>
      <c r="B37" s="140"/>
      <c r="C37" s="140"/>
      <c r="D37" s="188" t="s">
        <v>156</v>
      </c>
      <c r="E37" s="143"/>
      <c r="F37" s="143"/>
      <c r="G37" s="143"/>
      <c r="H37" s="143"/>
      <c r="I37" s="189"/>
    </row>
    <row r="38" spans="1:9" ht="21.75" hidden="1" customHeight="1">
      <c r="A38" s="140"/>
      <c r="B38" s="140"/>
      <c r="C38" s="140"/>
      <c r="D38" s="192">
        <v>0.25</v>
      </c>
      <c r="E38" s="138">
        <v>0.41666666666666669</v>
      </c>
      <c r="F38" s="138">
        <v>0.58333333333333337</v>
      </c>
      <c r="G38" s="138">
        <v>0.75</v>
      </c>
      <c r="H38" s="138">
        <v>0.91666666666666663</v>
      </c>
      <c r="I38" s="193">
        <v>8.3333333333333329E-2</v>
      </c>
    </row>
    <row r="39" spans="1:9" ht="21.75" hidden="1" customHeight="1">
      <c r="A39" s="3258">
        <v>1</v>
      </c>
      <c r="B39" s="3384" t="s">
        <v>131</v>
      </c>
      <c r="C39" s="136" t="s">
        <v>100</v>
      </c>
      <c r="D39" s="194">
        <f>'1. XL-1E TT'!K6</f>
        <v>0</v>
      </c>
      <c r="E39" s="141">
        <f>'1. XL-1E TT'!O6</f>
        <v>0</v>
      </c>
      <c r="F39" s="141">
        <f>'1. XL-1E TT'!S6</f>
        <v>0</v>
      </c>
      <c r="G39" s="141">
        <f>'1. XL-1E TT(CA2)'!K6</f>
        <v>0</v>
      </c>
      <c r="H39" s="141">
        <f>'1. XL-1E TT(CA2)'!O6</f>
        <v>21.544</v>
      </c>
      <c r="I39" s="195">
        <f>'1. XL-1E TT(CA2)'!S6</f>
        <v>2.1544000000000021</v>
      </c>
    </row>
    <row r="40" spans="1:9" ht="21.75" hidden="1" customHeight="1">
      <c r="A40" s="3265"/>
      <c r="B40" s="3398"/>
      <c r="C40" s="136"/>
      <c r="D40" s="194"/>
      <c r="E40" s="141"/>
      <c r="F40" s="141"/>
      <c r="G40" s="141">
        <f>'1. XL-1E TT(CA2)'!K7</f>
        <v>0</v>
      </c>
      <c r="H40" s="141">
        <f>'1. XL-1E TT(CA2)'!O7</f>
        <v>0.72387839999999992</v>
      </c>
      <c r="I40" s="195">
        <f>'1. XL-1E TT(CA2)'!S7</f>
        <v>7.2387840000000064E-2</v>
      </c>
    </row>
    <row r="41" spans="1:9" ht="21.75" hidden="1" customHeight="1">
      <c r="A41" s="3259"/>
      <c r="B41" s="3385"/>
      <c r="C41" s="137" t="s">
        <v>128</v>
      </c>
      <c r="D41" s="194">
        <f>'1. XL-1E TT'!K8</f>
        <v>0</v>
      </c>
      <c r="E41" s="141">
        <f>'1. XL-1E TT'!O8</f>
        <v>0</v>
      </c>
      <c r="F41" s="141">
        <f>'1. XL-1E TT'!S8</f>
        <v>0</v>
      </c>
      <c r="G41" s="141">
        <f>'1. XL-1E TT(CA2)'!K8</f>
        <v>0</v>
      </c>
      <c r="H41" s="141">
        <f>'1. XL-1E TT(CA2)'!O8</f>
        <v>7.238783999999999</v>
      </c>
      <c r="I41" s="195">
        <f>'1. XL-1E TT(CA2)'!S8</f>
        <v>0.7238784000000007</v>
      </c>
    </row>
    <row r="42" spans="1:9" ht="21.75" hidden="1" customHeight="1">
      <c r="A42" s="3258">
        <v>2</v>
      </c>
      <c r="B42" s="3384" t="s">
        <v>145</v>
      </c>
      <c r="C42" s="136" t="s">
        <v>100</v>
      </c>
      <c r="D42" s="194">
        <f>'1. XL-1E TT'!K9</f>
        <v>0</v>
      </c>
      <c r="E42" s="141">
        <f>'1. XL-1E TT'!O9</f>
        <v>0</v>
      </c>
      <c r="F42" s="141">
        <f>'1. XL-1E TT'!S9</f>
        <v>0</v>
      </c>
      <c r="G42" s="141">
        <f>'1. XL-1E TT(CA2)'!K9</f>
        <v>0</v>
      </c>
      <c r="H42" s="141">
        <f>'1. XL-1E TT(CA2)'!O9</f>
        <v>22.474000000000004</v>
      </c>
      <c r="I42" s="195">
        <f>'1. XL-1E TT(CA2)'!S9</f>
        <v>3.9659999999999975</v>
      </c>
    </row>
    <row r="43" spans="1:9" ht="21.75" hidden="1" customHeight="1">
      <c r="A43" s="3265"/>
      <c r="B43" s="3398"/>
      <c r="C43" s="136"/>
      <c r="D43" s="194"/>
      <c r="E43" s="141"/>
      <c r="F43" s="141"/>
      <c r="G43" s="141">
        <f>'1. XL-1E TT(CA2)'!K10</f>
        <v>0</v>
      </c>
      <c r="H43" s="141">
        <f>'1. XL-1E TT(CA2)'!O10</f>
        <v>0.7551264000000002</v>
      </c>
      <c r="I43" s="195">
        <f>'1. XL-1E TT(CA2)'!S10</f>
        <v>0.13325759999999992</v>
      </c>
    </row>
    <row r="44" spans="1:9" ht="21.75" hidden="1" customHeight="1">
      <c r="A44" s="3259"/>
      <c r="B44" s="3385"/>
      <c r="C44" s="137" t="s">
        <v>128</v>
      </c>
      <c r="D44" s="194">
        <f>'1. XL-1E TT'!K11</f>
        <v>0</v>
      </c>
      <c r="E44" s="141">
        <f>'1. XL-1E TT'!O11</f>
        <v>0</v>
      </c>
      <c r="F44" s="141">
        <f>'1. XL-1E TT'!S11</f>
        <v>0</v>
      </c>
      <c r="G44" s="141">
        <f>'1. XL-1E TT(CA2)'!K11</f>
        <v>0</v>
      </c>
      <c r="H44" s="141">
        <f>'1. XL-1E TT(CA2)'!O11</f>
        <v>7.5512640000000015</v>
      </c>
      <c r="I44" s="195">
        <f>'1. XL-1E TT(CA2)'!S11</f>
        <v>1.3325759999999991</v>
      </c>
    </row>
    <row r="45" spans="1:9" ht="21.75" hidden="1" customHeight="1">
      <c r="A45" s="3258">
        <v>3</v>
      </c>
      <c r="B45" s="3384" t="s">
        <v>143</v>
      </c>
      <c r="C45" s="136" t="s">
        <v>100</v>
      </c>
      <c r="D45" s="194">
        <f>'1. XL-1E TT'!K12</f>
        <v>0</v>
      </c>
      <c r="E45" s="141">
        <f>'1. XL-1E TT'!O12</f>
        <v>0</v>
      </c>
      <c r="F45" s="141">
        <f>'1. XL-1E TT'!S12</f>
        <v>0</v>
      </c>
      <c r="G45" s="141">
        <f>'1. XL-1E TT(CA2)'!K12</f>
        <v>0</v>
      </c>
      <c r="H45" s="141">
        <f>'1. XL-1E TT(CA2)'!O12</f>
        <v>0</v>
      </c>
      <c r="I45" s="195">
        <f>'1. XL-1E TT(CA2)'!S12</f>
        <v>0</v>
      </c>
    </row>
    <row r="46" spans="1:9" ht="21.75" hidden="1" customHeight="1">
      <c r="A46" s="3259"/>
      <c r="B46" s="3385"/>
      <c r="C46" s="137" t="s">
        <v>128</v>
      </c>
      <c r="D46" s="194">
        <f>'1. XL-1E TT'!K13</f>
        <v>0</v>
      </c>
      <c r="E46" s="141">
        <f>'1. XL-1E TT'!O13</f>
        <v>0</v>
      </c>
      <c r="F46" s="141">
        <f>'1. XL-1E TT'!S13</f>
        <v>0</v>
      </c>
      <c r="G46" s="141">
        <f>'1. XL-1E TT(CA2)'!K13</f>
        <v>0</v>
      </c>
      <c r="H46" s="141">
        <f>'1. XL-1E TT(CA2)'!O13</f>
        <v>0</v>
      </c>
      <c r="I46" s="195">
        <f>'1. XL-1E TT(CA2)'!S13</f>
        <v>0</v>
      </c>
    </row>
    <row r="47" spans="1:9" ht="21.75" hidden="1" customHeight="1">
      <c r="A47" s="3258">
        <v>4</v>
      </c>
      <c r="B47" s="3384" t="s">
        <v>144</v>
      </c>
      <c r="C47" s="136" t="s">
        <v>100</v>
      </c>
      <c r="D47" s="194">
        <f>'1. XL-1E TT'!K14</f>
        <v>0</v>
      </c>
      <c r="E47" s="141">
        <f>'1. XL-1E TT'!O14</f>
        <v>0</v>
      </c>
      <c r="F47" s="141">
        <f>'1. XL-1E TT'!S14</f>
        <v>0</v>
      </c>
      <c r="G47" s="141">
        <f>'1. XL-1E TT(CA2)'!K14</f>
        <v>0</v>
      </c>
      <c r="H47" s="141">
        <f>'1. XL-1E TT(CA2)'!O14</f>
        <v>0</v>
      </c>
      <c r="I47" s="195">
        <f>'1. XL-1E TT(CA2)'!S14</f>
        <v>0</v>
      </c>
    </row>
    <row r="48" spans="1:9" ht="21.75" hidden="1" customHeight="1">
      <c r="A48" s="3259"/>
      <c r="B48" s="3385"/>
      <c r="C48" s="137" t="s">
        <v>128</v>
      </c>
      <c r="D48" s="194">
        <f>'1. XL-1E TT'!K15</f>
        <v>0</v>
      </c>
      <c r="E48" s="141">
        <f>'1. XL-1E TT'!O15</f>
        <v>0</v>
      </c>
      <c r="F48" s="141">
        <f>'1. XL-1E TT'!S15</f>
        <v>0</v>
      </c>
      <c r="G48" s="141">
        <f>'1. XL-1E TT(CA2)'!K15</f>
        <v>0</v>
      </c>
      <c r="H48" s="141">
        <f>'1. XL-1E TT(CA2)'!O15</f>
        <v>0</v>
      </c>
      <c r="I48" s="195">
        <f>'1. XL-1E TT(CA2)'!S15</f>
        <v>0</v>
      </c>
    </row>
    <row r="49" spans="1:9" ht="21.75" hidden="1" customHeight="1">
      <c r="A49" s="3258">
        <v>5</v>
      </c>
      <c r="B49" s="3148" t="s">
        <v>95</v>
      </c>
      <c r="C49" s="230" t="s">
        <v>94</v>
      </c>
      <c r="D49" s="194">
        <f>'1. XL-1E TT'!K16</f>
        <v>0</v>
      </c>
      <c r="E49" s="141">
        <f>'1. XL-1E TT'!O16</f>
        <v>0</v>
      </c>
      <c r="F49" s="141">
        <f>'1. XL-1E TT'!S16</f>
        <v>0</v>
      </c>
      <c r="G49" s="141">
        <f>'1. XL-1E TT(CA2)'!K16</f>
        <v>0</v>
      </c>
      <c r="H49" s="141">
        <f>'1. XL-1E TT(CA2)'!O16</f>
        <v>0</v>
      </c>
      <c r="I49" s="195">
        <f>'1. XL-1E TT(CA2)'!S16</f>
        <v>0</v>
      </c>
    </row>
    <row r="50" spans="1:9" ht="21.75" hidden="1" customHeight="1">
      <c r="A50" s="3259"/>
      <c r="B50" s="3149"/>
      <c r="C50" s="230" t="s">
        <v>57</v>
      </c>
      <c r="D50" s="194">
        <f>'1. XL-1E TT'!K17</f>
        <v>0</v>
      </c>
      <c r="E50" s="141">
        <f>'1. XL-1E TT'!O17</f>
        <v>0</v>
      </c>
      <c r="F50" s="141">
        <f>'1. XL-1E TT'!S17</f>
        <v>0</v>
      </c>
      <c r="G50" s="141">
        <f>'1. XL-1E TT(CA2)'!K17</f>
        <v>0</v>
      </c>
      <c r="H50" s="141">
        <f>'1. XL-1E TT(CA2)'!O17</f>
        <v>0</v>
      </c>
      <c r="I50" s="195">
        <f>'1. XL-1E TT(CA2)'!S17</f>
        <v>0</v>
      </c>
    </row>
    <row r="51" spans="1:9" ht="21.75" hidden="1" customHeight="1">
      <c r="A51" s="3258">
        <v>6</v>
      </c>
      <c r="B51" s="3386" t="s">
        <v>96</v>
      </c>
      <c r="C51" s="3387"/>
      <c r="D51" s="194">
        <f>'1. XL-1E TT'!K18</f>
        <v>0</v>
      </c>
      <c r="E51" s="141">
        <f>'1. XL-1E TT'!O18</f>
        <v>0</v>
      </c>
      <c r="F51" s="141">
        <f>'1. XL-1E TT'!S18</f>
        <v>0</v>
      </c>
      <c r="G51" s="141">
        <f>'1. XL-1E TT(CA2)'!K18</f>
        <v>0</v>
      </c>
      <c r="H51" s="141">
        <f>'1. XL-1E TT(CA2)'!O18</f>
        <v>0</v>
      </c>
      <c r="I51" s="195">
        <f>'1. XL-1E TT(CA2)'!S18</f>
        <v>0</v>
      </c>
    </row>
    <row r="52" spans="1:9" ht="21.75" hidden="1" customHeight="1">
      <c r="A52" s="3259"/>
      <c r="B52" s="3388"/>
      <c r="C52" s="3275"/>
      <c r="D52" s="194">
        <f>'1. XL-1E TT'!K19</f>
        <v>0</v>
      </c>
      <c r="E52" s="141">
        <f>'1. XL-1E TT'!O19</f>
        <v>0</v>
      </c>
      <c r="F52" s="141">
        <f>'1. XL-1E TT'!S19</f>
        <v>0</v>
      </c>
      <c r="G52" s="141">
        <f>'1. XL-1E TT(CA2)'!K19</f>
        <v>0</v>
      </c>
      <c r="H52" s="141">
        <f>'1. XL-1E TT(CA2)'!O19</f>
        <v>0</v>
      </c>
      <c r="I52" s="195">
        <f>'1. XL-1E TT(CA2)'!S19</f>
        <v>0</v>
      </c>
    </row>
    <row r="53" spans="1:9" ht="21.75" hidden="1" customHeight="1">
      <c r="A53" s="103">
        <v>7</v>
      </c>
      <c r="B53" s="3122" t="s">
        <v>58</v>
      </c>
      <c r="C53" s="3383"/>
      <c r="D53" s="194">
        <f>'1. XL-1E TT'!K20</f>
        <v>0</v>
      </c>
      <c r="E53" s="141">
        <f>'1. XL-1E TT'!O20</f>
        <v>0</v>
      </c>
      <c r="F53" s="141">
        <f>'1. XL-1E TT'!S20</f>
        <v>0</v>
      </c>
      <c r="G53" s="141">
        <f>'1. XL-1E TT(CA2)'!K20</f>
        <v>0</v>
      </c>
      <c r="H53" s="141">
        <f>'1. XL-1E TT(CA2)'!O20</f>
        <v>131.96187500000002</v>
      </c>
      <c r="I53" s="195">
        <f>'1. XL-1E TT(CA2)'!S20</f>
        <v>0</v>
      </c>
    </row>
    <row r="54" spans="1:9" ht="21.75" hidden="1" customHeight="1">
      <c r="A54" s="103">
        <v>8</v>
      </c>
      <c r="B54" s="3122" t="s">
        <v>59</v>
      </c>
      <c r="C54" s="3383"/>
      <c r="D54" s="194">
        <f>'1. XL-1E TT'!K21</f>
        <v>0</v>
      </c>
      <c r="E54" s="141">
        <f>'1. XL-1E TT'!O21</f>
        <v>0</v>
      </c>
      <c r="F54" s="141">
        <f>'1. XL-1E TT'!S21</f>
        <v>0</v>
      </c>
      <c r="G54" s="141">
        <f>'1. XL-1E TT(CA2)'!K21</f>
        <v>0</v>
      </c>
      <c r="H54" s="141">
        <f>'1. XL-1E TT(CA2)'!O21</f>
        <v>0</v>
      </c>
      <c r="I54" s="195">
        <f>'1. XL-1E TT(CA2)'!S21</f>
        <v>0</v>
      </c>
    </row>
    <row r="55" spans="1:9" ht="21.75" hidden="1" customHeight="1">
      <c r="A55" s="103">
        <v>9</v>
      </c>
      <c r="B55" s="3122" t="s">
        <v>60</v>
      </c>
      <c r="C55" s="3383"/>
      <c r="D55" s="194">
        <f>'1. XL-1E TT'!K22</f>
        <v>0</v>
      </c>
      <c r="E55" s="141">
        <f>'1. XL-1E TT'!O22</f>
        <v>0</v>
      </c>
      <c r="F55" s="141">
        <f>'1. XL-1E TT'!S22</f>
        <v>0</v>
      </c>
      <c r="G55" s="141">
        <f>'1. XL-1E TT(CA2)'!K22</f>
        <v>0</v>
      </c>
      <c r="H55" s="141">
        <f>'1. XL-1E TT(CA2)'!O22</f>
        <v>0</v>
      </c>
      <c r="I55" s="195">
        <f>'1. XL-1E TT(CA2)'!S22</f>
        <v>0</v>
      </c>
    </row>
    <row r="56" spans="1:9" ht="21.75" hidden="1" customHeight="1">
      <c r="A56" s="103">
        <v>10</v>
      </c>
      <c r="B56" s="3122" t="s">
        <v>97</v>
      </c>
      <c r="C56" s="3383"/>
      <c r="D56" s="194">
        <f>'1. XL-1E TT'!K23</f>
        <v>0</v>
      </c>
      <c r="E56" s="141">
        <f>'1. XL-1E TT'!O23</f>
        <v>0</v>
      </c>
      <c r="F56" s="141">
        <f>'1. XL-1E TT'!S23</f>
        <v>0</v>
      </c>
      <c r="G56" s="141">
        <f>'1. XL-1E TT(CA2)'!K23</f>
        <v>0</v>
      </c>
      <c r="H56" s="141">
        <f>'1. XL-1E TT(CA2)'!O23</f>
        <v>0</v>
      </c>
      <c r="I56" s="195">
        <f>'1. XL-1E TT(CA2)'!S23</f>
        <v>0</v>
      </c>
    </row>
    <row r="57" spans="1:9" ht="21.75" hidden="1" customHeight="1">
      <c r="D57" s="186"/>
      <c r="E57" s="134"/>
      <c r="F57" s="134"/>
      <c r="G57" s="134"/>
      <c r="H57" s="134"/>
      <c r="I57" s="187"/>
    </row>
    <row r="58" spans="1:9" ht="21.75" hidden="1" customHeight="1">
      <c r="A58" s="174"/>
      <c r="B58" s="159" t="s">
        <v>214</v>
      </c>
      <c r="C58" s="170"/>
      <c r="D58" s="198"/>
      <c r="E58" s="171"/>
      <c r="F58" s="134"/>
      <c r="G58" s="134"/>
      <c r="H58" s="134"/>
      <c r="I58" s="187"/>
    </row>
    <row r="59" spans="1:9" ht="21.75" hidden="1" customHeight="1">
      <c r="A59" s="164" t="s">
        <v>7</v>
      </c>
      <c r="B59" s="152"/>
      <c r="C59" s="152"/>
      <c r="D59" s="188" t="s">
        <v>155</v>
      </c>
      <c r="E59" s="143"/>
      <c r="F59" s="143"/>
      <c r="G59" s="143"/>
      <c r="H59" s="143"/>
      <c r="I59" s="189"/>
    </row>
    <row r="60" spans="1:9" ht="21.75" hidden="1" customHeight="1">
      <c r="A60" s="165"/>
      <c r="B60" s="161"/>
      <c r="C60" s="161"/>
      <c r="D60" s="192">
        <v>0.25</v>
      </c>
      <c r="E60" s="138">
        <v>0.41666666666666669</v>
      </c>
      <c r="F60" s="138">
        <v>0.58333333333333337</v>
      </c>
      <c r="G60" s="138">
        <v>0.75</v>
      </c>
      <c r="H60" s="138">
        <v>0.91666666666666663</v>
      </c>
      <c r="I60" s="193">
        <v>8.3333333333333329E-2</v>
      </c>
    </row>
    <row r="61" spans="1:9" ht="21.75" hidden="1" customHeight="1">
      <c r="A61" s="242">
        <v>1</v>
      </c>
      <c r="B61" s="229" t="s">
        <v>131</v>
      </c>
      <c r="C61" s="243" t="s">
        <v>100</v>
      </c>
      <c r="D61" s="184">
        <f>'2. XL-1F TT '!I6</f>
        <v>70.416499999999999</v>
      </c>
      <c r="E61" s="135">
        <f>'2. XL-1F TT '!M6</f>
        <v>70.416499999999999</v>
      </c>
      <c r="F61" s="135">
        <f>'2. XL-1F TT '!Q6</f>
        <v>68.144999999999996</v>
      </c>
      <c r="G61" s="135">
        <f>'2. XL-1F TT(CA2)'!I6</f>
        <v>64.900000000000006</v>
      </c>
      <c r="H61" s="135">
        <f>'2. XL-1F TT(CA2)'!M6</f>
        <v>68.793999999999997</v>
      </c>
      <c r="I61" s="185">
        <f>'2. XL-1F TT(CA2)'!Q6</f>
        <v>71.39</v>
      </c>
    </row>
    <row r="62" spans="1:9" ht="21.75" hidden="1" customHeight="1">
      <c r="A62" s="214"/>
      <c r="B62" s="219"/>
      <c r="C62" s="228" t="s">
        <v>101</v>
      </c>
      <c r="D62" s="184">
        <f>'2. XL-1F TT '!I7</f>
        <v>0</v>
      </c>
      <c r="E62" s="135">
        <f>'2. XL-1F TT '!M7</f>
        <v>0</v>
      </c>
      <c r="F62" s="135">
        <f>'2. XL-1F TT '!Q7</f>
        <v>0</v>
      </c>
      <c r="G62" s="135">
        <f>'2. XL-1F TT(CA2)'!I7</f>
        <v>0</v>
      </c>
      <c r="H62" s="135">
        <f>'2. XL-1F TT(CA2)'!M7</f>
        <v>0</v>
      </c>
      <c r="I62" s="185">
        <f>'2. XL-1F TT(CA2)'!Q7</f>
        <v>0</v>
      </c>
    </row>
    <row r="63" spans="1:9" ht="21.75" hidden="1" customHeight="1">
      <c r="A63" s="213">
        <v>2</v>
      </c>
      <c r="B63" s="218" t="s">
        <v>132</v>
      </c>
      <c r="C63" s="220" t="s">
        <v>100</v>
      </c>
      <c r="D63" s="184">
        <f>'2. XL-1F TT '!I8</f>
        <v>72.688000000000002</v>
      </c>
      <c r="E63" s="135">
        <f>'2. XL-1F TT '!M8</f>
        <v>72.688000000000002</v>
      </c>
      <c r="F63" s="135">
        <f>'2. XL-1F TT '!Q8</f>
        <v>71.714500000000001</v>
      </c>
      <c r="G63" s="135">
        <f>'2. XL-1F TT(CA2)'!I8</f>
        <v>70.741</v>
      </c>
      <c r="H63" s="135">
        <f>'2. XL-1F TT(CA2)'!M8</f>
        <v>71.39</v>
      </c>
      <c r="I63" s="185">
        <f>'2. XL-1F TT(CA2)'!Q8</f>
        <v>72.039000000000001</v>
      </c>
    </row>
    <row r="64" spans="1:9" ht="21.75" hidden="1" customHeight="1">
      <c r="A64" s="214"/>
      <c r="B64" s="219"/>
      <c r="C64" s="221" t="s">
        <v>101</v>
      </c>
      <c r="D64" s="184">
        <f>'2. XL-1F TT '!I9</f>
        <v>0</v>
      </c>
      <c r="E64" s="135">
        <f>'2. XL-1F TT '!M9</f>
        <v>0</v>
      </c>
      <c r="F64" s="135">
        <f>'2. XL-1F TT '!Q9</f>
        <v>0</v>
      </c>
      <c r="G64" s="135">
        <f>'2. XL-1F TT(CA2)'!I9</f>
        <v>0</v>
      </c>
      <c r="H64" s="135">
        <f>'2. XL-1F TT(CA2)'!M9</f>
        <v>0</v>
      </c>
      <c r="I64" s="185">
        <f>'2. XL-1F TT(CA2)'!Q9</f>
        <v>0</v>
      </c>
    </row>
    <row r="65" spans="1:9" ht="21.75" hidden="1" customHeight="1">
      <c r="A65" s="213">
        <v>3</v>
      </c>
      <c r="B65" s="223" t="s">
        <v>133</v>
      </c>
      <c r="C65" s="220" t="s">
        <v>100</v>
      </c>
      <c r="D65" s="184">
        <f>'2. XL-1F TT '!I10</f>
        <v>62.601000000000006</v>
      </c>
      <c r="E65" s="135">
        <f>'2. XL-1F TT '!M10</f>
        <v>63.063000000000002</v>
      </c>
      <c r="F65" s="135">
        <f>'2. XL-1F TT '!Q10</f>
        <v>64.680000000000007</v>
      </c>
      <c r="G65" s="135">
        <f>'2. XL-1F TT(CA2)'!I10</f>
        <v>63.293999999999997</v>
      </c>
      <c r="H65" s="135">
        <f>'2. XL-1F TT(CA2)'!M10</f>
        <v>62.370000000000005</v>
      </c>
      <c r="I65" s="185">
        <f>'2. XL-1F TT(CA2)'!Q10</f>
        <v>60.06</v>
      </c>
    </row>
    <row r="66" spans="1:9" ht="21.75" hidden="1" customHeight="1">
      <c r="A66" s="215"/>
      <c r="B66" s="224"/>
      <c r="C66" s="221" t="s">
        <v>104</v>
      </c>
      <c r="D66" s="184">
        <f>'2. XL-1F TT '!I11</f>
        <v>0</v>
      </c>
      <c r="E66" s="135">
        <f>'2. XL-1F TT '!M11</f>
        <v>0</v>
      </c>
      <c r="F66" s="135">
        <f>'2. XL-1F TT '!Q11</f>
        <v>0</v>
      </c>
      <c r="G66" s="135">
        <f>'2. XL-1F TT(CA2)'!I11</f>
        <v>0</v>
      </c>
      <c r="H66" s="135">
        <f>'2. XL-1F TT(CA2)'!M11</f>
        <v>0</v>
      </c>
      <c r="I66" s="185">
        <f>'2. XL-1F TT(CA2)'!Q11</f>
        <v>0</v>
      </c>
    </row>
    <row r="67" spans="1:9" ht="21.75" hidden="1" customHeight="1">
      <c r="A67" s="213">
        <v>4</v>
      </c>
      <c r="B67" s="223" t="s">
        <v>134</v>
      </c>
      <c r="C67" s="220" t="s">
        <v>100</v>
      </c>
      <c r="D67" s="184">
        <f>'2. XL-1F TT '!I12</f>
        <v>62.138999999999996</v>
      </c>
      <c r="E67" s="135">
        <f>'2. XL-1F TT '!M12</f>
        <v>60.291000000000004</v>
      </c>
      <c r="F67" s="135">
        <f>'2. XL-1F TT '!Q12</f>
        <v>60.06</v>
      </c>
      <c r="G67" s="135">
        <f>'2. XL-1F TT(CA2)'!I12</f>
        <v>54.516000000000005</v>
      </c>
      <c r="H67" s="135">
        <f>'2. XL-1F TT(CA2)'!M12</f>
        <v>66.989999999999995</v>
      </c>
      <c r="I67" s="185">
        <f>'2. XL-1F TT(CA2)'!Q12</f>
        <v>66.528000000000006</v>
      </c>
    </row>
    <row r="68" spans="1:9" ht="21.75" hidden="1" customHeight="1">
      <c r="A68" s="215"/>
      <c r="B68" s="224"/>
      <c r="C68" s="221" t="s">
        <v>104</v>
      </c>
      <c r="D68" s="184">
        <f>'2. XL-1F TT '!I13</f>
        <v>0</v>
      </c>
      <c r="E68" s="135">
        <f>'2. XL-1F TT '!M13</f>
        <v>0</v>
      </c>
      <c r="F68" s="135">
        <f>'2. XL-1F TT '!Q13</f>
        <v>0</v>
      </c>
      <c r="G68" s="135">
        <f>'2. XL-1F TT(CA2)'!I13</f>
        <v>0</v>
      </c>
      <c r="H68" s="135">
        <f>'2. XL-1F TT(CA2)'!M13</f>
        <v>0</v>
      </c>
      <c r="I68" s="185">
        <f>'2. XL-1F TT(CA2)'!Q13</f>
        <v>0</v>
      </c>
    </row>
    <row r="69" spans="1:9" ht="21.75" hidden="1" customHeight="1">
      <c r="A69" s="216">
        <v>5</v>
      </c>
      <c r="B69" s="221" t="s">
        <v>79</v>
      </c>
      <c r="C69" s="222"/>
      <c r="D69" s="184">
        <f>'2. XL-1F TT '!I14</f>
        <v>144</v>
      </c>
      <c r="E69" s="135">
        <f>'2. XL-1F TT '!M14</f>
        <v>141.6</v>
      </c>
      <c r="F69" s="135">
        <f>'2. XL-1F TT '!Q14</f>
        <v>141.19999999999999</v>
      </c>
      <c r="G69" s="135">
        <f>'2. XL-1F TT(CA2)'!I14</f>
        <v>140.80000000000001</v>
      </c>
      <c r="H69" s="135">
        <f>'2. XL-1F TT(CA2)'!M14</f>
        <v>141.6</v>
      </c>
      <c r="I69" s="185">
        <f>'2. XL-1F TT(CA2)'!Q14</f>
        <v>140.80000000000001</v>
      </c>
    </row>
    <row r="70" spans="1:9" ht="21.75" hidden="1" customHeight="1">
      <c r="A70" s="216">
        <v>6</v>
      </c>
      <c r="B70" s="221" t="s">
        <v>57</v>
      </c>
      <c r="C70" s="222"/>
      <c r="D70" s="184">
        <f>'2. XL-1F TT '!I15</f>
        <v>10.270000000000001</v>
      </c>
      <c r="E70" s="135">
        <f>'2. XL-1F TT '!M15</f>
        <v>10.66</v>
      </c>
      <c r="F70" s="135">
        <f>'2. XL-1F TT '!Q15</f>
        <v>10.790000000000001</v>
      </c>
      <c r="G70" s="135">
        <f>'2. XL-1F TT(CA2)'!I15</f>
        <v>11.309999999999999</v>
      </c>
      <c r="H70" s="135">
        <f>'2. XL-1F TT(CA2)'!M15</f>
        <v>11.05</v>
      </c>
      <c r="I70" s="185">
        <f>'2. XL-1F TT(CA2)'!Q15</f>
        <v>10.790000000000001</v>
      </c>
    </row>
    <row r="71" spans="1:9" ht="21.75" hidden="1" customHeight="1">
      <c r="A71" s="225">
        <v>7</v>
      </c>
      <c r="B71" s="218" t="s">
        <v>106</v>
      </c>
      <c r="C71" s="227"/>
      <c r="D71" s="184">
        <f>'2. XL-1F TT '!I16</f>
        <v>6.2627250000000005</v>
      </c>
      <c r="E71" s="135">
        <f>'2. XL-1F TT '!M16</f>
        <v>6.3262799999999997</v>
      </c>
      <c r="F71" s="135">
        <f>'2. XL-1F TT '!Q16</f>
        <v>6.1568000000000005</v>
      </c>
      <c r="G71" s="135">
        <f>'2. XL-1F TT(CA2)'!I16</f>
        <v>5.9025799999999995</v>
      </c>
      <c r="H71" s="135">
        <f>'2. XL-1F TT(CA2)'!M16</f>
        <v>6.0296900000000004</v>
      </c>
      <c r="I71" s="185">
        <f>'2. XL-1F TT(CA2)'!Q16</f>
        <v>6.1991700000000005</v>
      </c>
    </row>
    <row r="72" spans="1:9" ht="21.75" hidden="1" customHeight="1">
      <c r="A72" s="226"/>
      <c r="B72" s="228"/>
      <c r="C72" s="229"/>
      <c r="D72" s="184">
        <f>'2. XL-1F TT '!I17</f>
        <v>3</v>
      </c>
      <c r="E72" s="135">
        <f>'2. XL-1F TT '!M17</f>
        <v>3</v>
      </c>
      <c r="F72" s="135">
        <f>'2. XL-1F TT '!Q17</f>
        <v>2.2000000000000002</v>
      </c>
      <c r="G72" s="135">
        <f>'2. XL-1F TT(CA2)'!I17</f>
        <v>2.68</v>
      </c>
      <c r="H72" s="135">
        <f>'2. XL-1F TT(CA2)'!M17</f>
        <v>2.6</v>
      </c>
      <c r="I72" s="185">
        <f>'2. XL-1F TT(CA2)'!Q17</f>
        <v>2.9</v>
      </c>
    </row>
    <row r="73" spans="1:9" ht="21.75" hidden="1" customHeight="1">
      <c r="A73" s="216">
        <v>8</v>
      </c>
      <c r="B73" s="221" t="s">
        <v>58</v>
      </c>
      <c r="C73" s="222"/>
      <c r="D73" s="184">
        <f>'2. XL-1F TT '!I18</f>
        <v>0.43914062500000001</v>
      </c>
      <c r="E73" s="135">
        <f>'2. XL-1F TT '!M18</f>
        <v>0.46765624999999994</v>
      </c>
      <c r="F73" s="135">
        <f>'2. XL-1F TT '!Q18</f>
        <v>0.45624999999999999</v>
      </c>
      <c r="G73" s="135">
        <f>'2. XL-1F TT(CA2)'!I18</f>
        <v>0.45054687500000001</v>
      </c>
      <c r="H73" s="135">
        <f>'2. XL-1F TT(CA2)'!M18</f>
        <v>0.47906250000000006</v>
      </c>
      <c r="I73" s="185">
        <f>'2. XL-1F TT(CA2)'!Q18</f>
        <v>0.45624999999999999</v>
      </c>
    </row>
    <row r="74" spans="1:9" ht="21.75" hidden="1" customHeight="1">
      <c r="A74" s="216">
        <v>9</v>
      </c>
      <c r="B74" s="221" t="s">
        <v>59</v>
      </c>
      <c r="C74" s="222"/>
      <c r="D74" s="184">
        <f>'2. XL-1F TT '!I19</f>
        <v>0</v>
      </c>
      <c r="E74" s="135">
        <f>'2. XL-1F TT '!M19</f>
        <v>0</v>
      </c>
      <c r="F74" s="135">
        <f>'2. XL-1F TT '!Q19</f>
        <v>0</v>
      </c>
      <c r="G74" s="135">
        <f>'2. XL-1F TT(CA2)'!I19</f>
        <v>0</v>
      </c>
      <c r="H74" s="135">
        <f>'2. XL-1F TT(CA2)'!M19</f>
        <v>0</v>
      </c>
      <c r="I74" s="185">
        <f>'2. XL-1F TT(CA2)'!Q19</f>
        <v>0</v>
      </c>
    </row>
    <row r="75" spans="1:9" ht="21.75" hidden="1" customHeight="1">
      <c r="A75" s="216">
        <v>11</v>
      </c>
      <c r="B75" s="221" t="s">
        <v>108</v>
      </c>
      <c r="C75" s="222"/>
      <c r="D75" s="184">
        <f>'2. XL-1F TT '!I20</f>
        <v>0</v>
      </c>
      <c r="E75" s="135">
        <f>'2. XL-1F TT '!M20</f>
        <v>0</v>
      </c>
      <c r="F75" s="135">
        <f>'2. XL-1F TT '!Q20</f>
        <v>0</v>
      </c>
      <c r="G75" s="135">
        <f>'2. XL-1F TT(CA2)'!I20</f>
        <v>0</v>
      </c>
      <c r="H75" s="135">
        <f>'2. XL-1F TT(CA2)'!M20</f>
        <v>0</v>
      </c>
      <c r="I75" s="185">
        <f>'2. XL-1F TT(CA2)'!Q20</f>
        <v>0</v>
      </c>
    </row>
    <row r="76" spans="1:9" ht="21.75" hidden="1" customHeight="1">
      <c r="A76" s="216">
        <v>12</v>
      </c>
      <c r="B76" s="221" t="s">
        <v>107</v>
      </c>
      <c r="C76" s="222"/>
      <c r="D76" s="184">
        <f>'2. XL-1F TT '!I21</f>
        <v>1.0458E-2</v>
      </c>
      <c r="E76" s="135">
        <f>'2. XL-1F TT '!M21</f>
        <v>1.0709999999999999E-2</v>
      </c>
      <c r="F76" s="135">
        <f>'2. XL-1F TT '!Q21</f>
        <v>1.008E-2</v>
      </c>
      <c r="G76" s="135">
        <f>'2. XL-1F TT(CA2)'!I21</f>
        <v>1.4112E-2</v>
      </c>
      <c r="H76" s="135">
        <f>'2. XL-1F TT(CA2)'!M21</f>
        <v>1.0584E-2</v>
      </c>
      <c r="I76" s="185">
        <f>'2. XL-1F TT(CA2)'!Q21</f>
        <v>1.0206E-2</v>
      </c>
    </row>
    <row r="77" spans="1:9" ht="21.75" hidden="1" customHeight="1">
      <c r="A77" s="147"/>
      <c r="B77" s="148" t="s">
        <v>109</v>
      </c>
      <c r="C77" s="155"/>
      <c r="D77" s="188" t="s">
        <v>157</v>
      </c>
      <c r="E77" s="143"/>
      <c r="F77" s="143"/>
      <c r="G77" s="143"/>
      <c r="H77" s="143"/>
      <c r="I77" s="189"/>
    </row>
    <row r="78" spans="1:9" ht="21.75" hidden="1" customHeight="1">
      <c r="A78" s="149" t="s">
        <v>7</v>
      </c>
      <c r="B78" s="150" t="s">
        <v>61</v>
      </c>
      <c r="C78" s="151"/>
      <c r="D78" s="190">
        <v>0.25</v>
      </c>
      <c r="E78" s="146">
        <v>0.41666666666666669</v>
      </c>
      <c r="F78" s="146">
        <v>0.58333333333333337</v>
      </c>
      <c r="G78" s="146">
        <v>0.75</v>
      </c>
      <c r="H78" s="146">
        <v>0.91666666666666663</v>
      </c>
      <c r="I78" s="191">
        <v>8.3333333333333329E-2</v>
      </c>
    </row>
    <row r="79" spans="1:9" ht="21.75" hidden="1" customHeight="1">
      <c r="A79" s="217">
        <v>1</v>
      </c>
      <c r="B79" s="233" t="s">
        <v>65</v>
      </c>
      <c r="C79" s="234"/>
      <c r="D79" s="186">
        <f>'2. XL-1F TT '!I26</f>
        <v>60</v>
      </c>
      <c r="E79" s="134">
        <f>'2. XL-1F TT '!M26</f>
        <v>60</v>
      </c>
      <c r="F79" s="134">
        <f>'2. XL-1F TT '!Q26</f>
        <v>60</v>
      </c>
      <c r="G79" s="134">
        <f>'2. XL-1F TT(CA2)'!I26</f>
        <v>57</v>
      </c>
      <c r="H79" s="134">
        <f>'2. XL-1F TT(CA2)'!M26</f>
        <v>55</v>
      </c>
      <c r="I79" s="187">
        <f>'2. XL-1F TT(CA2)'!Q26</f>
        <v>59</v>
      </c>
    </row>
    <row r="80" spans="1:9" ht="21.75" hidden="1" customHeight="1">
      <c r="A80" s="217">
        <v>2</v>
      </c>
      <c r="B80" s="233" t="s">
        <v>66</v>
      </c>
      <c r="C80" s="234" t="s">
        <v>66</v>
      </c>
      <c r="D80" s="186">
        <f>'2. XL-1F TT '!I27</f>
        <v>60</v>
      </c>
      <c r="E80" s="134">
        <f>'2. XL-1F TT '!M27</f>
        <v>62</v>
      </c>
      <c r="F80" s="134">
        <f>'2. XL-1F TT '!Q27</f>
        <v>60</v>
      </c>
      <c r="G80" s="134">
        <f>'2. XL-1F TT(CA2)'!I27</f>
        <v>62</v>
      </c>
      <c r="H80" s="134">
        <f>'2. XL-1F TT(CA2)'!M27</f>
        <v>62</v>
      </c>
      <c r="I80" s="187">
        <f>'2. XL-1F TT(CA2)'!Q27</f>
        <v>61</v>
      </c>
    </row>
    <row r="81" spans="1:9" ht="21.75" hidden="1" customHeight="1">
      <c r="A81" s="217">
        <v>3</v>
      </c>
      <c r="B81" s="233" t="s">
        <v>68</v>
      </c>
      <c r="C81" s="234" t="s">
        <v>68</v>
      </c>
      <c r="D81" s="186">
        <f>'2. XL-1F TT '!I28</f>
        <v>52</v>
      </c>
      <c r="E81" s="134">
        <f>'2. XL-1F TT '!M28</f>
        <v>52</v>
      </c>
      <c r="F81" s="134">
        <f>'2. XL-1F TT '!Q28</f>
        <v>53</v>
      </c>
      <c r="G81" s="134">
        <f>'2. XL-1F TT(CA2)'!I28</f>
        <v>53</v>
      </c>
      <c r="H81" s="134">
        <f>'2. XL-1F TT(CA2)'!M28</f>
        <v>53</v>
      </c>
      <c r="I81" s="187">
        <f>'2. XL-1F TT(CA2)'!Q28</f>
        <v>52</v>
      </c>
    </row>
    <row r="82" spans="1:9" ht="21.75" hidden="1" customHeight="1">
      <c r="A82" s="217">
        <v>4</v>
      </c>
      <c r="B82" s="233" t="s">
        <v>67</v>
      </c>
      <c r="C82" s="234" t="s">
        <v>67</v>
      </c>
      <c r="D82" s="186">
        <f>'2. XL-1F TT '!I29</f>
        <v>52</v>
      </c>
      <c r="E82" s="134">
        <f>'2. XL-1F TT '!M29</f>
        <v>52</v>
      </c>
      <c r="F82" s="134">
        <f>'2. XL-1F TT '!Q29</f>
        <v>50</v>
      </c>
      <c r="G82" s="134">
        <f>'2. XL-1F TT(CA2)'!I29</f>
        <v>52</v>
      </c>
      <c r="H82" s="134">
        <f>'2. XL-1F TT(CA2)'!M29</f>
        <v>51</v>
      </c>
      <c r="I82" s="187">
        <f>'2. XL-1F TT(CA2)'!Q29</f>
        <v>52</v>
      </c>
    </row>
    <row r="83" spans="1:9" ht="21.75" hidden="1" customHeight="1">
      <c r="A83" s="217">
        <v>5</v>
      </c>
      <c r="B83" s="233" t="s">
        <v>69</v>
      </c>
      <c r="C83" s="234" t="s">
        <v>69</v>
      </c>
      <c r="D83" s="186">
        <f>'2. XL-1F TT '!I30</f>
        <v>35</v>
      </c>
      <c r="E83" s="134">
        <f>'2. XL-1F TT '!M30</f>
        <v>36</v>
      </c>
      <c r="F83" s="134">
        <f>'2. XL-1F TT '!Q30</f>
        <v>36</v>
      </c>
      <c r="G83" s="134">
        <f>'2. XL-1F TT(CA2)'!I30</f>
        <v>34</v>
      </c>
      <c r="H83" s="134">
        <f>'2. XL-1F TT(CA2)'!M30</f>
        <v>34</v>
      </c>
      <c r="I83" s="187">
        <f>'2. XL-1F TT(CA2)'!Q30</f>
        <v>33</v>
      </c>
    </row>
    <row r="84" spans="1:9" ht="21.75" hidden="1" customHeight="1">
      <c r="A84" s="217">
        <v>6</v>
      </c>
      <c r="B84" s="233" t="s">
        <v>87</v>
      </c>
      <c r="C84" s="234" t="s">
        <v>87</v>
      </c>
      <c r="D84" s="186">
        <f>'2. XL-1F TT '!I31</f>
        <v>33</v>
      </c>
      <c r="E84" s="134">
        <f>'2. XL-1F TT '!M31</f>
        <v>33</v>
      </c>
      <c r="F84" s="134">
        <f>'2. XL-1F TT '!Q31</f>
        <v>34</v>
      </c>
      <c r="G84" s="134">
        <f>'2. XL-1F TT(CA2)'!I31</f>
        <v>33</v>
      </c>
      <c r="H84" s="134">
        <f>'2. XL-1F TT(CA2)'!M31</f>
        <v>34</v>
      </c>
      <c r="I84" s="187">
        <f>'2. XL-1F TT(CA2)'!Q31</f>
        <v>34</v>
      </c>
    </row>
    <row r="85" spans="1:9" ht="21.75" hidden="1" customHeight="1">
      <c r="A85" s="217">
        <v>7</v>
      </c>
      <c r="B85" s="233" t="s">
        <v>70</v>
      </c>
      <c r="C85" s="234" t="s">
        <v>70</v>
      </c>
      <c r="D85" s="186">
        <f>'2. XL-1F TT '!I32</f>
        <v>56</v>
      </c>
      <c r="E85" s="134">
        <f>'2. XL-1F TT '!M32</f>
        <v>55</v>
      </c>
      <c r="F85" s="134">
        <f>'2. XL-1F TT '!Q32</f>
        <v>56</v>
      </c>
      <c r="G85" s="134">
        <f>'2. XL-1F TT(CA2)'!I32</f>
        <v>58</v>
      </c>
      <c r="H85" s="134">
        <f>'2. XL-1F TT(CA2)'!M32</f>
        <v>55</v>
      </c>
      <c r="I85" s="187">
        <f>'2. XL-1F TT(CA2)'!Q32</f>
        <v>56</v>
      </c>
    </row>
    <row r="86" spans="1:9" ht="21.75" hidden="1" customHeight="1">
      <c r="A86" s="217">
        <v>8</v>
      </c>
      <c r="B86" s="231" t="s">
        <v>71</v>
      </c>
      <c r="C86" s="232" t="s">
        <v>71</v>
      </c>
      <c r="D86" s="186">
        <f>'2. XL-1F TT '!K33</f>
        <v>91</v>
      </c>
      <c r="E86" s="134">
        <f>'2. XL-1F TT '!O33</f>
        <v>90</v>
      </c>
      <c r="F86" s="134">
        <f>'2. XL-1F TT '!S33</f>
        <v>90</v>
      </c>
      <c r="G86" s="134">
        <f>'2. XL-1F TT(CA2)'!K33</f>
        <v>91</v>
      </c>
      <c r="H86" s="134">
        <f>'2. XL-1F TT(CA2)'!O33</f>
        <v>92</v>
      </c>
      <c r="I86" s="187">
        <f>'2. XL-1F TT(CA2)'!S33</f>
        <v>90</v>
      </c>
    </row>
    <row r="87" spans="1:9" ht="21.75" hidden="1" customHeight="1">
      <c r="A87" s="147"/>
      <c r="B87" s="148" t="s">
        <v>110</v>
      </c>
      <c r="C87" s="155"/>
      <c r="D87" s="188" t="s">
        <v>158</v>
      </c>
      <c r="E87" s="143"/>
      <c r="F87" s="143"/>
      <c r="G87" s="143"/>
      <c r="H87" s="143"/>
      <c r="I87" s="189"/>
    </row>
    <row r="88" spans="1:9" ht="21.75" hidden="1" customHeight="1">
      <c r="A88" s="149" t="s">
        <v>7</v>
      </c>
      <c r="B88" s="150" t="s">
        <v>92</v>
      </c>
      <c r="C88" s="151"/>
      <c r="D88" s="190">
        <v>0.25</v>
      </c>
      <c r="E88" s="146">
        <v>0.41666666666666669</v>
      </c>
      <c r="F88" s="146">
        <v>0.58333333333333337</v>
      </c>
      <c r="G88" s="146">
        <v>0.75</v>
      </c>
      <c r="H88" s="146">
        <v>0.91666666666666663</v>
      </c>
      <c r="I88" s="191">
        <v>8.3333333333333329E-2</v>
      </c>
    </row>
    <row r="89" spans="1:9" ht="21.75" hidden="1" customHeight="1">
      <c r="A89" s="216">
        <v>1</v>
      </c>
      <c r="B89" s="221" t="s">
        <v>51</v>
      </c>
      <c r="C89" s="222"/>
      <c r="D89" s="186">
        <f>'2. XL-1F TT '!I36</f>
        <v>140</v>
      </c>
      <c r="E89" s="134">
        <f>'2. XL-1F TT '!M36</f>
        <v>142</v>
      </c>
      <c r="F89" s="134">
        <f>'2. XL-1F TT '!Q36</f>
        <v>142</v>
      </c>
      <c r="G89" s="1517">
        <f>'2. XL-1F TT(CA2)'!I36</f>
        <v>130</v>
      </c>
      <c r="H89" s="1517">
        <f>'2. XL-1F TT(CA2)'!M36</f>
        <v>125</v>
      </c>
      <c r="I89" s="1518">
        <f>'2. XL-1F TT(CA2)'!Q36</f>
        <v>130</v>
      </c>
    </row>
    <row r="90" spans="1:9" ht="21.75" hidden="1" customHeight="1">
      <c r="A90" s="216">
        <v>2</v>
      </c>
      <c r="B90" s="221" t="s">
        <v>86</v>
      </c>
      <c r="C90" s="222"/>
      <c r="D90" s="186">
        <f>'2. XL-1F TT '!I37</f>
        <v>38</v>
      </c>
      <c r="E90" s="134">
        <f>'2. XL-1F TT '!M37</f>
        <v>40</v>
      </c>
      <c r="F90" s="134">
        <f>'2. XL-1F TT '!Q37</f>
        <v>42</v>
      </c>
      <c r="G90" s="1517">
        <f>'2. XL-1F TT(CA2)'!I37</f>
        <v>40</v>
      </c>
      <c r="H90" s="1517">
        <f>'2. XL-1F TT(CA2)'!M37</f>
        <v>42</v>
      </c>
      <c r="I90" s="1518">
        <f>'2. XL-1F TT(CA2)'!Q37</f>
        <v>40</v>
      </c>
    </row>
    <row r="91" spans="1:9" ht="21.75" hidden="1" customHeight="1">
      <c r="A91" s="140"/>
      <c r="B91" s="140"/>
      <c r="C91" s="140"/>
      <c r="D91" s="188" t="s">
        <v>156</v>
      </c>
      <c r="E91" s="143"/>
      <c r="F91" s="143"/>
      <c r="G91" s="143"/>
      <c r="H91" s="143"/>
      <c r="I91" s="189"/>
    </row>
    <row r="92" spans="1:9" ht="21.75" hidden="1" customHeight="1">
      <c r="A92" s="140"/>
      <c r="B92" s="140"/>
      <c r="C92" s="140"/>
      <c r="D92" s="192">
        <v>0.25</v>
      </c>
      <c r="E92" s="138">
        <v>0.41666666666666669</v>
      </c>
      <c r="F92" s="138">
        <v>0.58333333333333337</v>
      </c>
      <c r="G92" s="138">
        <v>0.75</v>
      </c>
      <c r="H92" s="138">
        <v>0.91666666666666663</v>
      </c>
      <c r="I92" s="193">
        <v>8.3333333333333329E-2</v>
      </c>
    </row>
    <row r="93" spans="1:9" ht="21.75" hidden="1" customHeight="1">
      <c r="A93" s="213">
        <v>1</v>
      </c>
      <c r="B93" s="218" t="s">
        <v>131</v>
      </c>
      <c r="C93" s="220" t="s">
        <v>100</v>
      </c>
      <c r="D93" s="194">
        <f>'2. XL-1F TT '!K6</f>
        <v>0</v>
      </c>
      <c r="E93" s="141">
        <f>'2. XL-1F TT '!O6</f>
        <v>0</v>
      </c>
      <c r="F93" s="141">
        <f>'2. XL-1F TT '!S6</f>
        <v>4.9955150000000099</v>
      </c>
      <c r="G93" s="141">
        <f>'2. XL-1F TT(CA2)'!K6</f>
        <v>13.734299999999985</v>
      </c>
      <c r="H93" s="141">
        <f>'2. XL-1F TT(CA2)'!O6</f>
        <v>3.2477580000000086</v>
      </c>
      <c r="I93" s="195">
        <f>'2. XL-1F TT(CA2)'!S6</f>
        <v>0</v>
      </c>
    </row>
    <row r="94" spans="1:9" ht="21.75" hidden="1" customHeight="1">
      <c r="A94" s="214"/>
      <c r="B94" s="219"/>
      <c r="C94" s="221" t="s">
        <v>101</v>
      </c>
      <c r="D94" s="194">
        <f>'2. XL-1F TT '!K7</f>
        <v>0</v>
      </c>
      <c r="E94" s="141">
        <f>'2. XL-1F TT '!O7</f>
        <v>0</v>
      </c>
      <c r="F94" s="141">
        <f>'2. XL-1F TT '!S7</f>
        <v>1.4986545000000031</v>
      </c>
      <c r="G94" s="141">
        <f>'2. XL-1F TT(CA2)'!K7</f>
        <v>4.1202899999999953</v>
      </c>
      <c r="H94" s="141">
        <f>'2. XL-1F TT(CA2)'!O7</f>
        <v>0.97432740000000262</v>
      </c>
      <c r="I94" s="195">
        <f>'2. XL-1F TT(CA2)'!S7</f>
        <v>0</v>
      </c>
    </row>
    <row r="95" spans="1:9" ht="21.75" hidden="1" customHeight="1">
      <c r="A95" s="213">
        <v>2</v>
      </c>
      <c r="B95" s="218" t="s">
        <v>132</v>
      </c>
      <c r="C95" s="220" t="s">
        <v>100</v>
      </c>
      <c r="D95" s="194">
        <f>'2. XL-1F TT '!K8</f>
        <v>0</v>
      </c>
      <c r="E95" s="141">
        <f>'2. XL-1F TT '!O8</f>
        <v>0</v>
      </c>
      <c r="F95" s="141">
        <f>'2. XL-1F TT '!S8</f>
        <v>0</v>
      </c>
      <c r="G95" s="141">
        <f>'2. XL-1F TT(CA2)'!K8</f>
        <v>0</v>
      </c>
      <c r="H95" s="141">
        <f>'2. XL-1F TT(CA2)'!O8</f>
        <v>0</v>
      </c>
      <c r="I95" s="195">
        <f>'2. XL-1F TT(CA2)'!S8</f>
        <v>0</v>
      </c>
    </row>
    <row r="96" spans="1:9" ht="21.75" hidden="1" customHeight="1">
      <c r="A96" s="214"/>
      <c r="B96" s="219"/>
      <c r="C96" s="221" t="s">
        <v>101</v>
      </c>
      <c r="D96" s="194">
        <f>'2. XL-1F TT '!K9</f>
        <v>0</v>
      </c>
      <c r="E96" s="141">
        <f>'2. XL-1F TT '!O9</f>
        <v>0</v>
      </c>
      <c r="F96" s="141">
        <f>'2. XL-1F TT '!S9</f>
        <v>0</v>
      </c>
      <c r="G96" s="141">
        <f>'2. XL-1F TT(CA2)'!K9</f>
        <v>0</v>
      </c>
      <c r="H96" s="141">
        <f>'2. XL-1F TT(CA2)'!O9</f>
        <v>0</v>
      </c>
      <c r="I96" s="195">
        <f>'2. XL-1F TT(CA2)'!S9</f>
        <v>0</v>
      </c>
    </row>
    <row r="97" spans="1:9" ht="21.75" hidden="1" customHeight="1">
      <c r="A97" s="213">
        <v>3</v>
      </c>
      <c r="B97" s="223" t="s">
        <v>133</v>
      </c>
      <c r="C97" s="220" t="s">
        <v>100</v>
      </c>
      <c r="D97" s="194">
        <f>'2. XL-1F TT '!K10</f>
        <v>0</v>
      </c>
      <c r="E97" s="141">
        <f>'2. XL-1F TT '!O10</f>
        <v>0</v>
      </c>
      <c r="F97" s="141">
        <f>'2. XL-1F TT '!S10</f>
        <v>0</v>
      </c>
      <c r="G97" s="141">
        <f>'2. XL-1F TT(CA2)'!K10</f>
        <v>0</v>
      </c>
      <c r="H97" s="141">
        <f>'2. XL-1F TT(CA2)'!O10</f>
        <v>0</v>
      </c>
      <c r="I97" s="195">
        <f>'2. XL-1F TT(CA2)'!S10</f>
        <v>0</v>
      </c>
    </row>
    <row r="98" spans="1:9" ht="21.75" hidden="1" customHeight="1">
      <c r="A98" s="215"/>
      <c r="B98" s="224"/>
      <c r="C98" s="221" t="s">
        <v>104</v>
      </c>
      <c r="D98" s="194">
        <f>'2. XL-1F TT '!K11</f>
        <v>0</v>
      </c>
      <c r="E98" s="141">
        <f>'2. XL-1F TT '!O11</f>
        <v>0</v>
      </c>
      <c r="F98" s="141">
        <f>'2. XL-1F TT '!S11</f>
        <v>0</v>
      </c>
      <c r="G98" s="141">
        <f>'2. XL-1F TT(CA2)'!K11</f>
        <v>0</v>
      </c>
      <c r="H98" s="141">
        <f>'2. XL-1F TT(CA2)'!O11</f>
        <v>0</v>
      </c>
      <c r="I98" s="195">
        <f>'2. XL-1F TT(CA2)'!S11</f>
        <v>0</v>
      </c>
    </row>
    <row r="99" spans="1:9" ht="21.75" hidden="1" customHeight="1">
      <c r="A99" s="213">
        <v>4</v>
      </c>
      <c r="B99" s="223" t="s">
        <v>134</v>
      </c>
      <c r="C99" s="220" t="s">
        <v>100</v>
      </c>
      <c r="D99" s="194">
        <f>'2. XL-1F TT '!K12</f>
        <v>0</v>
      </c>
      <c r="E99" s="141">
        <f>'2. XL-1F TT '!O12</f>
        <v>0</v>
      </c>
      <c r="F99" s="141">
        <f>'2. XL-1F TT '!S12</f>
        <v>0</v>
      </c>
      <c r="G99" s="141">
        <f>'2. XL-1F TT(CA2)'!K12</f>
        <v>8.0011559999999911</v>
      </c>
      <c r="H99" s="141">
        <f>'2. XL-1F TT(CA2)'!O12</f>
        <v>0</v>
      </c>
      <c r="I99" s="195">
        <f>'2. XL-1F TT(CA2)'!S12</f>
        <v>0</v>
      </c>
    </row>
    <row r="100" spans="1:9" ht="21.75" hidden="1" customHeight="1">
      <c r="A100" s="215"/>
      <c r="B100" s="224"/>
      <c r="C100" s="221" t="s">
        <v>104</v>
      </c>
      <c r="D100" s="194">
        <f>'2. XL-1F TT '!K13</f>
        <v>0</v>
      </c>
      <c r="E100" s="141">
        <f>'2. XL-1F TT '!O13</f>
        <v>0</v>
      </c>
      <c r="F100" s="141">
        <f>'2. XL-1F TT '!S13</f>
        <v>0</v>
      </c>
      <c r="G100" s="141">
        <f>'2. XL-1F TT(CA2)'!K13</f>
        <v>2.2403236799999977</v>
      </c>
      <c r="H100" s="141">
        <f>'2. XL-1F TT(CA2)'!O13</f>
        <v>0</v>
      </c>
      <c r="I100" s="195">
        <f>'2. XL-1F TT(CA2)'!S13</f>
        <v>0</v>
      </c>
    </row>
    <row r="101" spans="1:9" ht="21.75" hidden="1" customHeight="1">
      <c r="A101" s="216">
        <v>5</v>
      </c>
      <c r="B101" s="221" t="s">
        <v>79</v>
      </c>
      <c r="C101" s="222"/>
      <c r="D101" s="194">
        <f>'2. XL-1F TT '!K14</f>
        <v>0</v>
      </c>
      <c r="E101" s="141">
        <f>'2. XL-1F TT '!O14</f>
        <v>0</v>
      </c>
      <c r="F101" s="141">
        <f>'2. XL-1F TT '!S14</f>
        <v>0</v>
      </c>
      <c r="G101" s="141">
        <f>'2. XL-1F TT(CA2)'!K14</f>
        <v>0</v>
      </c>
      <c r="H101" s="141">
        <f>'2. XL-1F TT(CA2)'!O14</f>
        <v>0</v>
      </c>
      <c r="I101" s="195">
        <f>'2. XL-1F TT(CA2)'!S14</f>
        <v>0</v>
      </c>
    </row>
    <row r="102" spans="1:9" ht="21.75" hidden="1" customHeight="1">
      <c r="A102" s="216">
        <v>6</v>
      </c>
      <c r="B102" s="221" t="s">
        <v>57</v>
      </c>
      <c r="C102" s="222"/>
      <c r="D102" s="194">
        <f>'2. XL-1F TT '!K15</f>
        <v>0</v>
      </c>
      <c r="E102" s="141">
        <f>'2. XL-1F TT '!O15</f>
        <v>0</v>
      </c>
      <c r="F102" s="141">
        <f>'2. XL-1F TT '!S15</f>
        <v>0</v>
      </c>
      <c r="G102" s="141">
        <f>'2. XL-1F TT(CA2)'!K15</f>
        <v>0</v>
      </c>
      <c r="H102" s="141">
        <f>'2. XL-1F TT(CA2)'!O15</f>
        <v>0</v>
      </c>
      <c r="I102" s="195">
        <f>'2. XL-1F TT(CA2)'!S15</f>
        <v>0</v>
      </c>
    </row>
    <row r="103" spans="1:9" ht="21.75" hidden="1" customHeight="1">
      <c r="A103" s="225">
        <v>7</v>
      </c>
      <c r="B103" s="218" t="s">
        <v>106</v>
      </c>
      <c r="C103" s="227"/>
      <c r="D103" s="194">
        <f>'2. XL-1F TT '!K16</f>
        <v>4.2393312499999967</v>
      </c>
      <c r="E103" s="141">
        <f>'2. XL-1F TT '!O16</f>
        <v>3.8738900000000016</v>
      </c>
      <c r="F103" s="141">
        <f>'2. XL-1F TT '!S16</f>
        <v>4.8483999999999972</v>
      </c>
      <c r="G103" s="141">
        <f>'2. XL-1F TT(CA2)'!K16</f>
        <v>6.3101650000000031</v>
      </c>
      <c r="H103" s="141">
        <f>'2. XL-1F TT(CA2)'!O16</f>
        <v>5.579282499999997</v>
      </c>
      <c r="I103" s="195">
        <f>'2. XL-1F TT(CA2)'!S16</f>
        <v>4.6047724999999966</v>
      </c>
    </row>
    <row r="104" spans="1:9" ht="21.75" hidden="1" customHeight="1">
      <c r="A104" s="226"/>
      <c r="B104" s="228"/>
      <c r="C104" s="229"/>
      <c r="D104" s="194">
        <f>'2. XL-1F TT '!K17</f>
        <v>0</v>
      </c>
      <c r="E104" s="141">
        <f>'2. XL-1F TT '!O17</f>
        <v>0</v>
      </c>
      <c r="F104" s="141">
        <f>'2. XL-1F TT '!S17</f>
        <v>0</v>
      </c>
      <c r="G104" s="141">
        <f>'2. XL-1F TT(CA2)'!K17</f>
        <v>0</v>
      </c>
      <c r="H104" s="141">
        <f>'2. XL-1F TT(CA2)'!O17</f>
        <v>0</v>
      </c>
      <c r="I104" s="195">
        <f>'2. XL-1F TT(CA2)'!S17</f>
        <v>0</v>
      </c>
    </row>
    <row r="105" spans="1:9" ht="21.75" hidden="1" customHeight="1">
      <c r="A105" s="216">
        <v>8</v>
      </c>
      <c r="B105" s="221" t="s">
        <v>58</v>
      </c>
      <c r="C105" s="222"/>
      <c r="D105" s="194">
        <f>'2. XL-1F TT '!K18</f>
        <v>23.04359375000001</v>
      </c>
      <c r="E105" s="141">
        <f>'2. XL-1F TT '!O18</f>
        <v>0</v>
      </c>
      <c r="F105" s="141">
        <f>'2. XL-1F TT '!S18</f>
        <v>0</v>
      </c>
      <c r="G105" s="141">
        <f>'2. XL-1F TT(CA2)'!K18</f>
        <v>0</v>
      </c>
      <c r="H105" s="141">
        <f>'2. XL-1F TT(CA2)'!O18</f>
        <v>0</v>
      </c>
      <c r="I105" s="195">
        <f>'2. XL-1F TT(CA2)'!S18</f>
        <v>0</v>
      </c>
    </row>
    <row r="106" spans="1:9" ht="21.75" hidden="1" customHeight="1">
      <c r="A106" s="216">
        <v>9</v>
      </c>
      <c r="B106" s="221" t="s">
        <v>59</v>
      </c>
      <c r="C106" s="222"/>
      <c r="D106" s="194">
        <f>'2. XL-1F TT '!K19</f>
        <v>0</v>
      </c>
      <c r="E106" s="141">
        <f>'2. XL-1F TT '!O19</f>
        <v>0</v>
      </c>
      <c r="F106" s="141">
        <f>'2. XL-1F TT '!S19</f>
        <v>0</v>
      </c>
      <c r="G106" s="141">
        <f>'2. XL-1F TT(CA2)'!K19</f>
        <v>0</v>
      </c>
      <c r="H106" s="141">
        <f>'2. XL-1F TT(CA2)'!O19</f>
        <v>0</v>
      </c>
      <c r="I106" s="195">
        <f>'2. XL-1F TT(CA2)'!S19</f>
        <v>0</v>
      </c>
    </row>
    <row r="107" spans="1:9" ht="21.75" hidden="1" customHeight="1">
      <c r="A107" s="216">
        <v>11</v>
      </c>
      <c r="B107" s="221" t="s">
        <v>108</v>
      </c>
      <c r="C107" s="222"/>
      <c r="D107" s="194">
        <f>'2. XL-1F TT '!K20</f>
        <v>0</v>
      </c>
      <c r="E107" s="141">
        <f>'2. XL-1F TT '!O20</f>
        <v>0</v>
      </c>
      <c r="F107" s="141">
        <f>'2. XL-1F TT '!S20</f>
        <v>0</v>
      </c>
      <c r="G107" s="141">
        <f>'2. XL-1F TT(CA2)'!K20</f>
        <v>0</v>
      </c>
      <c r="H107" s="141">
        <f>'2. XL-1F TT(CA2)'!O20</f>
        <v>0</v>
      </c>
      <c r="I107" s="195">
        <f>'2. XL-1F TT(CA2)'!S20</f>
        <v>0</v>
      </c>
    </row>
    <row r="108" spans="1:9" ht="21.75" hidden="1" customHeight="1">
      <c r="A108" s="216">
        <v>12</v>
      </c>
      <c r="B108" s="221" t="s">
        <v>107</v>
      </c>
      <c r="C108" s="222"/>
      <c r="D108" s="194">
        <f>'2. XL-1F TT '!K21</f>
        <v>0</v>
      </c>
      <c r="E108" s="141">
        <f>'2. XL-1F TT '!O21</f>
        <v>0</v>
      </c>
      <c r="F108" s="141">
        <f>'2. XL-1F TT '!S21</f>
        <v>0</v>
      </c>
      <c r="G108" s="141">
        <f>'2. XL-1F TT(CA2)'!K21</f>
        <v>0</v>
      </c>
      <c r="H108" s="141">
        <f>'2. XL-1F TT(CA2)'!O21</f>
        <v>0</v>
      </c>
      <c r="I108" s="195">
        <f>'2. XL-1F TT(CA2)'!S21</f>
        <v>0</v>
      </c>
    </row>
    <row r="109" spans="1:9" ht="21.75" hidden="1" customHeight="1">
      <c r="D109" s="186"/>
      <c r="E109" s="134"/>
      <c r="F109" s="134"/>
      <c r="G109" s="134"/>
      <c r="H109" s="134"/>
      <c r="I109" s="187"/>
    </row>
    <row r="110" spans="1:9" ht="21.75" hidden="1" customHeight="1">
      <c r="D110" s="186"/>
      <c r="E110" s="134"/>
      <c r="F110" s="134"/>
      <c r="G110" s="134"/>
      <c r="H110" s="134"/>
      <c r="I110" s="187"/>
    </row>
    <row r="111" spans="1:9" s="134" customFormat="1" ht="32.25" hidden="1" customHeight="1">
      <c r="A111" s="166"/>
      <c r="B111" s="167" t="s">
        <v>127</v>
      </c>
      <c r="C111" s="168"/>
      <c r="D111" s="186"/>
      <c r="I111" s="187"/>
    </row>
    <row r="112" spans="1:9" ht="21.75" hidden="1" customHeight="1">
      <c r="A112" s="164" t="s">
        <v>7</v>
      </c>
      <c r="B112" s="152"/>
      <c r="C112" s="152"/>
      <c r="D112" s="188" t="s">
        <v>155</v>
      </c>
      <c r="E112" s="143"/>
      <c r="F112" s="143"/>
      <c r="G112" s="143"/>
      <c r="H112" s="143"/>
      <c r="I112" s="189"/>
    </row>
    <row r="113" spans="1:9" ht="21.75" hidden="1" customHeight="1">
      <c r="A113" s="165"/>
      <c r="B113" s="161"/>
      <c r="C113" s="161"/>
      <c r="D113" s="192">
        <v>0.25</v>
      </c>
      <c r="E113" s="138">
        <v>0.41666666666666669</v>
      </c>
      <c r="F113" s="138">
        <v>0.58333333333333337</v>
      </c>
      <c r="G113" s="138">
        <v>0.75</v>
      </c>
      <c r="H113" s="138">
        <v>0.91666666666666663</v>
      </c>
      <c r="I113" s="193">
        <v>8.3333333333333329E-2</v>
      </c>
    </row>
    <row r="114" spans="1:9" ht="21.75" hidden="1" customHeight="1">
      <c r="A114" s="3370">
        <v>1</v>
      </c>
      <c r="B114" s="3372" t="s">
        <v>138</v>
      </c>
      <c r="C114" s="241" t="s">
        <v>100</v>
      </c>
      <c r="D114" s="186">
        <f>'3.XT-C TT'!I6</f>
        <v>47.701499999999996</v>
      </c>
      <c r="E114" s="134">
        <f>'3.XT-C TT'!M6</f>
        <v>48.675000000000004</v>
      </c>
      <c r="F114" s="134">
        <f>'3.XT-C TT'!Q6</f>
        <v>52.244500000000009</v>
      </c>
      <c r="G114" s="134">
        <f>'3.XT-C TT(CA2)'!I6</f>
        <v>49.973000000000006</v>
      </c>
      <c r="H114" s="134">
        <f>'3.XT-C TT(CA2)'!M6</f>
        <v>49.973000000000006</v>
      </c>
      <c r="I114" s="187">
        <f>'3.XT-C TT(CA2)'!Q6</f>
        <v>50.622</v>
      </c>
    </row>
    <row r="115" spans="1:9" ht="21.75" hidden="1" customHeight="1">
      <c r="A115" s="3370"/>
      <c r="B115" s="3373"/>
      <c r="C115" s="240" t="s">
        <v>101</v>
      </c>
      <c r="D115" s="186">
        <f>'3.XT-C TT'!I7</f>
        <v>0</v>
      </c>
      <c r="E115" s="134">
        <f>'3.XT-C TT'!M7</f>
        <v>0</v>
      </c>
      <c r="F115" s="134">
        <f>'3.XT-C TT'!Q7</f>
        <v>0</v>
      </c>
      <c r="G115" s="134">
        <f>'3.XT-C TT(CA2)'!I7</f>
        <v>0</v>
      </c>
      <c r="H115" s="134">
        <f>'3.XT-C TT(CA2)'!M7</f>
        <v>0</v>
      </c>
      <c r="I115" s="187">
        <f>'3.XT-C TT(CA2)'!Q7</f>
        <v>0</v>
      </c>
    </row>
    <row r="116" spans="1:9" ht="21.75" hidden="1" customHeight="1">
      <c r="A116" s="3332">
        <v>2</v>
      </c>
      <c r="B116" s="3369" t="s">
        <v>139</v>
      </c>
      <c r="C116" s="238" t="s">
        <v>100</v>
      </c>
      <c r="D116" s="186">
        <f>'3.XT-C TT'!I8</f>
        <v>46.403500000000001</v>
      </c>
      <c r="E116" s="134">
        <f>'3.XT-C TT'!M8</f>
        <v>47.701499999999996</v>
      </c>
      <c r="F116" s="134">
        <f>'3.XT-C TT'!Q8</f>
        <v>49.973000000000006</v>
      </c>
      <c r="G116" s="134">
        <f>'3.XT-C TT(CA2)'!I8</f>
        <v>48.675000000000004</v>
      </c>
      <c r="H116" s="134">
        <f>'3.XT-C TT(CA2)'!M8</f>
        <v>49.323999999999998</v>
      </c>
      <c r="I116" s="187">
        <f>'3.XT-C TT(CA2)'!Q8</f>
        <v>51.271000000000001</v>
      </c>
    </row>
    <row r="117" spans="1:9" ht="21.75" hidden="1" customHeight="1">
      <c r="A117" s="3332"/>
      <c r="B117" s="3335"/>
      <c r="C117" s="236" t="s">
        <v>101</v>
      </c>
      <c r="D117" s="186">
        <f>'3.XT-C TT'!I9</f>
        <v>0</v>
      </c>
      <c r="E117" s="134">
        <f>'3.XT-C TT'!M9</f>
        <v>0</v>
      </c>
      <c r="F117" s="134">
        <f>'3.XT-C TT'!Q9</f>
        <v>0</v>
      </c>
      <c r="G117" s="134">
        <f>'3.XT-C TT(CA2)'!I9</f>
        <v>0</v>
      </c>
      <c r="H117" s="134">
        <f>'3.XT-C TT(CA2)'!M9</f>
        <v>0</v>
      </c>
      <c r="I117" s="187">
        <f>'3.XT-C TT(CA2)'!Q9</f>
        <v>0</v>
      </c>
    </row>
    <row r="118" spans="1:9" ht="21.75" hidden="1" customHeight="1">
      <c r="A118" s="3322">
        <v>3</v>
      </c>
      <c r="B118" s="3250" t="s">
        <v>140</v>
      </c>
      <c r="C118" s="235" t="s">
        <v>100</v>
      </c>
      <c r="D118" s="186">
        <f>'3.XT-C TT'!I10</f>
        <v>58.443000000000005</v>
      </c>
      <c r="E118" s="134">
        <f>'3.XT-C TT'!M10</f>
        <v>58.211999999999996</v>
      </c>
      <c r="F118" s="134">
        <f>'3.XT-C TT'!Q10</f>
        <v>64.680000000000007</v>
      </c>
      <c r="G118" s="134">
        <f>'3.XT-C TT(CA2)'!I10</f>
        <v>61.908000000000001</v>
      </c>
      <c r="H118" s="134">
        <f>'3.XT-C TT(CA2)'!M10</f>
        <v>61.446000000000005</v>
      </c>
      <c r="I118" s="187">
        <f>'3.XT-C TT(CA2)'!Q10</f>
        <v>61.908000000000001</v>
      </c>
    </row>
    <row r="119" spans="1:9" ht="21.75" hidden="1" customHeight="1">
      <c r="A119" s="3323"/>
      <c r="B119" s="3262"/>
      <c r="C119" s="236" t="s">
        <v>104</v>
      </c>
      <c r="D119" s="186">
        <f>'3.XT-C TT'!I11</f>
        <v>0</v>
      </c>
      <c r="E119" s="134">
        <f>'3.XT-C TT'!M11</f>
        <v>0</v>
      </c>
      <c r="F119" s="134">
        <f>'3.XT-C TT'!Q11</f>
        <v>0</v>
      </c>
      <c r="G119" s="134">
        <f>'3.XT-C TT(CA2)'!I11</f>
        <v>0</v>
      </c>
      <c r="H119" s="134">
        <f>'3.XT-C TT(CA2)'!M11</f>
        <v>0</v>
      </c>
      <c r="I119" s="187">
        <f>'3.XT-C TT(CA2)'!Q11</f>
        <v>0</v>
      </c>
    </row>
    <row r="120" spans="1:9" ht="21.75" hidden="1" customHeight="1">
      <c r="A120" s="3322">
        <v>4</v>
      </c>
      <c r="B120" s="3250" t="s">
        <v>141</v>
      </c>
      <c r="C120" s="235" t="s">
        <v>100</v>
      </c>
      <c r="D120" s="186">
        <f>'3.XT-C TT'!I12</f>
        <v>60.06</v>
      </c>
      <c r="E120" s="134">
        <f>'3.XT-C TT'!M12</f>
        <v>59.598000000000006</v>
      </c>
      <c r="F120" s="134">
        <f>'3.XT-C TT'!Q12</f>
        <v>60.983999999999995</v>
      </c>
      <c r="G120" s="134">
        <f>'3.XT-C TT(CA2)'!I12</f>
        <v>60.06</v>
      </c>
      <c r="H120" s="134">
        <f>'3.XT-C TT(CA2)'!M12</f>
        <v>60.06</v>
      </c>
      <c r="I120" s="187">
        <f>'3.XT-C TT(CA2)'!Q12</f>
        <v>60.06</v>
      </c>
    </row>
    <row r="121" spans="1:9" ht="21.75" hidden="1" customHeight="1">
      <c r="A121" s="3323"/>
      <c r="B121" s="3262"/>
      <c r="C121" s="236" t="s">
        <v>104</v>
      </c>
      <c r="D121" s="186">
        <f>'3.XT-C TT'!I13</f>
        <v>0</v>
      </c>
      <c r="E121" s="134">
        <f>'3.XT-C TT'!M13</f>
        <v>0</v>
      </c>
      <c r="F121" s="134">
        <f>'3.XT-C TT'!Q13</f>
        <v>0</v>
      </c>
      <c r="G121" s="134">
        <f>'3.XT-C TT(CA2)'!I13</f>
        <v>0</v>
      </c>
      <c r="H121" s="134">
        <f>'3.XT-C TT(CA2)'!M13</f>
        <v>0</v>
      </c>
      <c r="I121" s="187">
        <f>'3.XT-C TT(CA2)'!Q13</f>
        <v>0</v>
      </c>
    </row>
    <row r="122" spans="1:9" ht="21.75" hidden="1" customHeight="1">
      <c r="A122" s="3322">
        <v>5</v>
      </c>
      <c r="B122" s="3324" t="s">
        <v>113</v>
      </c>
      <c r="C122" s="237"/>
      <c r="D122" s="186">
        <f>'3.XT-C TT'!I14</f>
        <v>138</v>
      </c>
      <c r="E122" s="134">
        <f>'3.XT-C TT'!M14</f>
        <v>140</v>
      </c>
      <c r="F122" s="134">
        <f>'3.XT-C TT'!Q14</f>
        <v>137.6</v>
      </c>
      <c r="G122" s="134">
        <f>'3.XT-C TT(CA2)'!I14</f>
        <v>140</v>
      </c>
      <c r="H122" s="134">
        <f>'3.XT-C TT(CA2)'!M14</f>
        <v>140</v>
      </c>
      <c r="I122" s="187">
        <f>'3.XT-C TT(CA2)'!Q14</f>
        <v>139.19999999999999</v>
      </c>
    </row>
    <row r="123" spans="1:9" ht="21.75" hidden="1" customHeight="1">
      <c r="A123" s="3323"/>
      <c r="B123" s="3325"/>
      <c r="C123" s="237"/>
      <c r="D123" s="186">
        <f>'3.XT-C TT'!I15</f>
        <v>8.4500000000000011</v>
      </c>
      <c r="E123" s="134">
        <f>'3.XT-C TT'!M15</f>
        <v>8.4500000000000011</v>
      </c>
      <c r="F123" s="134">
        <f>'3.XT-C TT'!Q15</f>
        <v>8.3849999999999998</v>
      </c>
      <c r="G123" s="134">
        <f>'3.XT-C TT(CA2)'!I15</f>
        <v>8.5150000000000006</v>
      </c>
      <c r="H123" s="134">
        <f>'3.XT-C TT(CA2)'!M15</f>
        <v>8.4500000000000011</v>
      </c>
      <c r="I123" s="187">
        <f>'3.XT-C TT(CA2)'!Q15</f>
        <v>8.32</v>
      </c>
    </row>
    <row r="124" spans="1:9" ht="21.75" hidden="1" customHeight="1">
      <c r="A124" s="3322">
        <v>6</v>
      </c>
      <c r="B124" s="3310" t="s">
        <v>37</v>
      </c>
      <c r="C124" s="3311"/>
      <c r="D124" s="186">
        <f>'3.XT-C TT'!I16</f>
        <v>6.4957600000000006</v>
      </c>
      <c r="E124" s="134">
        <f>'3.XT-C TT'!M16</f>
        <v>6.4745750000000006</v>
      </c>
      <c r="F124" s="134">
        <f>'3.XT-C TT'!Q16</f>
        <v>6.1568000000000005</v>
      </c>
      <c r="G124" s="134">
        <f>'3.XT-C TT(CA2)'!I16</f>
        <v>6.2839100000000006</v>
      </c>
      <c r="H124" s="134">
        <f>'3.XT-C TT(CA2)'!M16</f>
        <v>6.2415399999999996</v>
      </c>
      <c r="I124" s="187">
        <f>'3.XT-C TT(CA2)'!Q16</f>
        <v>6.3262799999999997</v>
      </c>
    </row>
    <row r="125" spans="1:9" ht="21.75" hidden="1" customHeight="1">
      <c r="A125" s="3323"/>
      <c r="B125" s="3312"/>
      <c r="C125" s="3313"/>
      <c r="D125" s="186">
        <f>'3.XT-C TT'!I17</f>
        <v>2.2000000000000002</v>
      </c>
      <c r="E125" s="134">
        <f>'3.XT-C TT'!M17</f>
        <v>2.1800000000000002</v>
      </c>
      <c r="F125" s="134">
        <f>'3.XT-C TT'!Q17</f>
        <v>2.2000000000000002</v>
      </c>
      <c r="G125" s="134">
        <f>'3.XT-C TT(CA2)'!I17</f>
        <v>2.1800000000000002</v>
      </c>
      <c r="H125" s="134">
        <f>'3.XT-C TT(CA2)'!M17</f>
        <v>2.15</v>
      </c>
      <c r="I125" s="187">
        <f>'3.XT-C TT(CA2)'!Q17</f>
        <v>2.1800000000000002</v>
      </c>
    </row>
    <row r="126" spans="1:9" ht="21.75" hidden="1" customHeight="1">
      <c r="A126" s="2693"/>
      <c r="B126" s="2694"/>
      <c r="C126" s="2695" t="s">
        <v>1617</v>
      </c>
      <c r="D126" s="186">
        <f>'3.XT-C TT'!I18</f>
        <v>0.41062500000000002</v>
      </c>
      <c r="E126" s="134">
        <f>'3.XT-C TT'!M18</f>
        <v>0.40606249999999994</v>
      </c>
      <c r="F126" s="134">
        <f>'3.XT-C TT'!Q18</f>
        <v>0.41062500000000002</v>
      </c>
      <c r="G126" s="134">
        <f>'3.XT-C TT(CA2)'!I18</f>
        <v>0.41062500000000002</v>
      </c>
      <c r="H126" s="134">
        <f>'3.XT-C TT(CA2)'!M18</f>
        <v>0.42887499999999995</v>
      </c>
      <c r="I126" s="187">
        <f>'3.XT-C TT(CA2)'!Q18</f>
        <v>0.42431249999999998</v>
      </c>
    </row>
    <row r="127" spans="1:9" ht="21.75" hidden="1" customHeight="1">
      <c r="A127" s="239">
        <v>7</v>
      </c>
      <c r="B127" s="3213" t="s">
        <v>1618</v>
      </c>
      <c r="C127" s="3214"/>
      <c r="D127" s="186">
        <f>'3.XT-C TT'!I19</f>
        <v>0</v>
      </c>
      <c r="E127" s="134">
        <f>'3.XT-C TT'!M19</f>
        <v>0</v>
      </c>
      <c r="F127" s="134">
        <f>'3.XT-C TT'!Q19</f>
        <v>0</v>
      </c>
      <c r="G127" s="134">
        <f>'3.XT-C TT(CA2)'!I19</f>
        <v>0</v>
      </c>
      <c r="H127" s="134">
        <f>'3.XT-C TT(CA2)'!M19</f>
        <v>0</v>
      </c>
      <c r="I127" s="187">
        <f>'3.XT-C TT(CA2)'!Q19</f>
        <v>0</v>
      </c>
    </row>
    <row r="128" spans="1:9" ht="21.75" hidden="1" customHeight="1">
      <c r="A128" s="2691"/>
      <c r="B128" s="3213" t="s">
        <v>1618</v>
      </c>
      <c r="C128" s="3214"/>
      <c r="D128" s="186">
        <f>'3.XT-C TT'!I20</f>
        <v>0.46081249999999996</v>
      </c>
      <c r="E128" s="134">
        <f>'3.XT-C TT'!M20</f>
        <v>0.45624999999999999</v>
      </c>
      <c r="F128" s="134">
        <f>'3.XT-C TT'!Q20</f>
        <v>0.46993750000000001</v>
      </c>
      <c r="G128" s="134">
        <f>'3.XT-C TT(CA2)'!I20</f>
        <v>0.46993750000000001</v>
      </c>
      <c r="H128" s="134">
        <f>'3.XT-C TT(CA2)'!M20</f>
        <v>0.46537500000000004</v>
      </c>
      <c r="I128" s="187">
        <f>'3.XT-C TT(CA2)'!Q20</f>
        <v>0.46081249999999996</v>
      </c>
    </row>
    <row r="129" spans="1:9" ht="21.75" hidden="1" customHeight="1">
      <c r="A129" s="239">
        <v>8</v>
      </c>
      <c r="B129" s="3213" t="s">
        <v>36</v>
      </c>
      <c r="C129" s="3214"/>
      <c r="D129" s="186">
        <f>'3.XT-C TT'!I21</f>
        <v>0.46993750000000001</v>
      </c>
      <c r="E129" s="134">
        <f>'3.XT-C TT'!M21</f>
        <v>0.46993750000000001</v>
      </c>
      <c r="F129" s="134">
        <f>'3.XT-C TT'!Q21</f>
        <v>0.47906250000000006</v>
      </c>
      <c r="G129" s="134">
        <f>'3.XT-C TT(CA2)'!I20</f>
        <v>0.46993750000000001</v>
      </c>
      <c r="H129" s="134">
        <f>'3.XT-C TT(CA2)'!M20</f>
        <v>0.46537500000000004</v>
      </c>
      <c r="I129" s="187">
        <f>'3.XT-C TT(CA2)'!Q20</f>
        <v>0.46081249999999996</v>
      </c>
    </row>
    <row r="130" spans="1:9" ht="21.75" hidden="1" customHeight="1">
      <c r="A130" s="239">
        <v>10</v>
      </c>
      <c r="B130" s="3200" t="s">
        <v>112</v>
      </c>
      <c r="C130" s="3201" t="s">
        <v>112</v>
      </c>
      <c r="D130" s="186">
        <f>'3.XT-C TT'!I22</f>
        <v>6.6779999999999999E-3</v>
      </c>
      <c r="E130" s="134">
        <f>'3.XT-C TT'!M22</f>
        <v>6.5519999999999997E-3</v>
      </c>
      <c r="F130" s="134">
        <f>'3.XT-C TT'!Q22</f>
        <v>7.6859999999999993E-3</v>
      </c>
      <c r="G130" s="134">
        <f>'3.XT-C TT(CA2)'!I22</f>
        <v>7.8120000000000004E-3</v>
      </c>
      <c r="H130" s="134">
        <f>'3.XT-C TT(CA2)'!M22</f>
        <v>8.064E-3</v>
      </c>
      <c r="I130" s="187">
        <f>'3.XT-C TT(CA2)'!Q22</f>
        <v>8.064E-3</v>
      </c>
    </row>
    <row r="131" spans="1:9" ht="21.75" hidden="1" customHeight="1">
      <c r="A131" s="147"/>
      <c r="B131" s="148" t="s">
        <v>109</v>
      </c>
      <c r="C131" s="155"/>
      <c r="D131" s="188" t="s">
        <v>157</v>
      </c>
      <c r="E131" s="143"/>
      <c r="F131" s="143"/>
      <c r="G131" s="143"/>
      <c r="H131" s="143"/>
      <c r="I131" s="189"/>
    </row>
    <row r="132" spans="1:9" ht="21.75" hidden="1" customHeight="1">
      <c r="A132" s="149" t="s">
        <v>7</v>
      </c>
      <c r="B132" s="150" t="s">
        <v>61</v>
      </c>
      <c r="C132" s="151"/>
      <c r="D132" s="190">
        <v>0.25</v>
      </c>
      <c r="E132" s="146">
        <v>0.41666666666666669</v>
      </c>
      <c r="F132" s="146">
        <v>0.58333333333333337</v>
      </c>
      <c r="G132" s="146">
        <v>0.75</v>
      </c>
      <c r="H132" s="146">
        <v>0.91666666666666663</v>
      </c>
      <c r="I132" s="191">
        <v>8.3333333333333329E-2</v>
      </c>
    </row>
    <row r="133" spans="1:9" ht="21.75" hidden="1" customHeight="1">
      <c r="A133" s="239">
        <v>1</v>
      </c>
      <c r="B133" s="3195" t="s">
        <v>34</v>
      </c>
      <c r="C133" s="3196"/>
      <c r="D133" s="186">
        <f>'3.XT-C TT'!I29</f>
        <v>60</v>
      </c>
      <c r="E133" s="134">
        <f>'3.XT-C TT'!M29</f>
        <v>60</v>
      </c>
      <c r="F133" s="134">
        <f>'3.XT-C TT'!Q29</f>
        <v>60</v>
      </c>
      <c r="G133" s="134">
        <f>'3.XT-C TT(CA2)'!I29</f>
        <v>61</v>
      </c>
      <c r="H133" s="134">
        <f>'3.XT-C TT(CA2)'!M29</f>
        <v>61</v>
      </c>
      <c r="I133" s="187">
        <f>'3.XT-C TT(CA2)'!Q29</f>
        <v>61</v>
      </c>
    </row>
    <row r="134" spans="1:9" ht="21.75" hidden="1" customHeight="1">
      <c r="A134" s="239">
        <v>2</v>
      </c>
      <c r="B134" s="3195" t="s">
        <v>35</v>
      </c>
      <c r="C134" s="3196"/>
      <c r="D134" s="186">
        <f>'3.XT-C TT'!I30</f>
        <v>61</v>
      </c>
      <c r="E134" s="134">
        <f>'3.XT-C TT'!M30</f>
        <v>60</v>
      </c>
      <c r="F134" s="134">
        <f>'3.XT-C TT'!Q30</f>
        <v>62</v>
      </c>
      <c r="G134" s="134">
        <f>'3.XT-C TT(CA2)'!I30</f>
        <v>61</v>
      </c>
      <c r="H134" s="134">
        <f>'3.XT-C TT(CA2)'!M30</f>
        <v>61</v>
      </c>
      <c r="I134" s="187">
        <f>'3.XT-C TT(CA2)'!Q30</f>
        <v>62</v>
      </c>
    </row>
    <row r="135" spans="1:9" ht="21.75" hidden="1" customHeight="1">
      <c r="A135" s="239">
        <v>3</v>
      </c>
      <c r="B135" s="3195" t="s">
        <v>27</v>
      </c>
      <c r="C135" s="3196"/>
      <c r="D135" s="186">
        <f>'3.XT-C TT'!I31</f>
        <v>60</v>
      </c>
      <c r="E135" s="134">
        <f>'3.XT-C TT'!M31</f>
        <v>60</v>
      </c>
      <c r="F135" s="134">
        <f>'3.XT-C TT'!Q31</f>
        <v>60</v>
      </c>
      <c r="G135" s="134">
        <f>'3.XT-C TT(CA2)'!I31</f>
        <v>61</v>
      </c>
      <c r="H135" s="134">
        <f>'3.XT-C TT(CA2)'!M31</f>
        <v>61</v>
      </c>
      <c r="I135" s="187">
        <f>'3.XT-C TT(CA2)'!Q31</f>
        <v>61</v>
      </c>
    </row>
    <row r="136" spans="1:9" ht="21.75" hidden="1" customHeight="1">
      <c r="A136" s="239">
        <v>4</v>
      </c>
      <c r="B136" s="3195" t="s">
        <v>28</v>
      </c>
      <c r="C136" s="3196"/>
      <c r="D136" s="186">
        <f>'3.XT-C TT'!I32</f>
        <v>61</v>
      </c>
      <c r="E136" s="134">
        <f>'3.XT-C TT'!M32</f>
        <v>59</v>
      </c>
      <c r="F136" s="134">
        <f>'3.XT-C TT'!Q32</f>
        <v>60</v>
      </c>
      <c r="G136" s="134">
        <f>'3.XT-C TT(CA2)'!I32</f>
        <v>60</v>
      </c>
      <c r="H136" s="134">
        <f>'3.XT-C TT(CA2)'!M32</f>
        <v>60</v>
      </c>
      <c r="I136" s="187">
        <f>'3.XT-C TT(CA2)'!Q32</f>
        <v>60</v>
      </c>
    </row>
    <row r="137" spans="1:9" ht="21.75" hidden="1" customHeight="1">
      <c r="A137" s="239">
        <v>5</v>
      </c>
      <c r="B137" s="3195" t="s">
        <v>29</v>
      </c>
      <c r="C137" s="3196"/>
      <c r="D137" s="186">
        <f>'3.XT-C TT'!I33</f>
        <v>26</v>
      </c>
      <c r="E137" s="134">
        <f>'3.XT-C TT'!M33</f>
        <v>26</v>
      </c>
      <c r="F137" s="134">
        <f>'3.XT-C TT'!Q33</f>
        <v>26</v>
      </c>
      <c r="G137" s="134">
        <f>'3.XT-C TT(CA2)'!I33</f>
        <v>25</v>
      </c>
      <c r="H137" s="134">
        <f>'3.XT-C TT(CA2)'!M33</f>
        <v>25</v>
      </c>
      <c r="I137" s="187">
        <f>'3.XT-C TT(CA2)'!Q33</f>
        <v>26</v>
      </c>
    </row>
    <row r="138" spans="1:9" ht="21.75" hidden="1" customHeight="1">
      <c r="A138" s="239">
        <v>6</v>
      </c>
      <c r="B138" s="3195" t="s">
        <v>30</v>
      </c>
      <c r="C138" s="3196"/>
      <c r="D138" s="186">
        <f>'3.XT-C TT'!I34</f>
        <v>32</v>
      </c>
      <c r="E138" s="134">
        <f>'3.XT-C TT'!M34</f>
        <v>33</v>
      </c>
      <c r="F138" s="134">
        <f>'3.XT-C TT'!Q34</f>
        <v>33</v>
      </c>
      <c r="G138" s="134">
        <f>'3.XT-C TT(CA2)'!I34</f>
        <v>34</v>
      </c>
      <c r="H138" s="134">
        <f>'3.XT-C TT(CA2)'!M34</f>
        <v>34</v>
      </c>
      <c r="I138" s="187">
        <f>'3.XT-C TT(CA2)'!Q34</f>
        <v>34</v>
      </c>
    </row>
    <row r="139" spans="1:9" ht="21.75" hidden="1" customHeight="1">
      <c r="A139" s="239">
        <v>7</v>
      </c>
      <c r="B139" s="3195" t="s">
        <v>31</v>
      </c>
      <c r="C139" s="3196"/>
      <c r="D139" s="186">
        <f>'3.XT-C TT'!I35</f>
        <v>55</v>
      </c>
      <c r="E139" s="134">
        <f>'3.XT-C TT'!M35</f>
        <v>55</v>
      </c>
      <c r="F139" s="134">
        <f>'3.XT-C TT'!Q35</f>
        <v>56</v>
      </c>
      <c r="G139" s="134">
        <f>'3.XT-C TT(CA2)'!I35</f>
        <v>57</v>
      </c>
      <c r="H139" s="134">
        <f>'3.XT-C TT(CA2)'!M35</f>
        <v>58</v>
      </c>
      <c r="I139" s="187">
        <f>'3.XT-C TT(CA2)'!Q35</f>
        <v>59</v>
      </c>
    </row>
    <row r="140" spans="1:9" ht="21.75" hidden="1" customHeight="1">
      <c r="A140" s="239">
        <v>8</v>
      </c>
      <c r="B140" s="3195" t="s">
        <v>32</v>
      </c>
      <c r="C140" s="3196"/>
      <c r="D140" s="186">
        <f>'3.XT-C TT'!K36</f>
        <v>90</v>
      </c>
      <c r="E140" s="134">
        <f>'3.XT-C TT'!O36</f>
        <v>91</v>
      </c>
      <c r="F140" s="134">
        <f>'3.XT-C TT'!S36</f>
        <v>90</v>
      </c>
      <c r="G140" s="134">
        <f>'3.XT-C TT(CA2)'!K36</f>
        <v>94</v>
      </c>
      <c r="H140" s="134">
        <f>'3.XT-C TT(CA2)'!O36</f>
        <v>92</v>
      </c>
      <c r="I140" s="187">
        <f>'3.XT-C TT(CA2)'!S36</f>
        <v>92</v>
      </c>
    </row>
    <row r="141" spans="1:9" ht="21.75" hidden="1" customHeight="1">
      <c r="A141" s="147"/>
      <c r="B141" s="148" t="s">
        <v>110</v>
      </c>
      <c r="C141" s="155"/>
      <c r="D141" s="188" t="s">
        <v>158</v>
      </c>
      <c r="E141" s="143"/>
      <c r="F141" s="143"/>
      <c r="G141" s="143"/>
      <c r="H141" s="143"/>
      <c r="I141" s="189"/>
    </row>
    <row r="142" spans="1:9" ht="21.75" hidden="1" customHeight="1">
      <c r="A142" s="149" t="s">
        <v>7</v>
      </c>
      <c r="B142" s="150" t="s">
        <v>92</v>
      </c>
      <c r="C142" s="151"/>
      <c r="D142" s="190">
        <v>0.25</v>
      </c>
      <c r="E142" s="146">
        <v>0.41666666666666669</v>
      </c>
      <c r="F142" s="146">
        <v>0.58333333333333337</v>
      </c>
      <c r="G142" s="146">
        <v>0.75</v>
      </c>
      <c r="H142" s="146">
        <v>0.91666666666666663</v>
      </c>
      <c r="I142" s="191">
        <v>8.3333333333333329E-2</v>
      </c>
    </row>
    <row r="143" spans="1:9" ht="21.75" hidden="1" customHeight="1">
      <c r="A143" s="239">
        <v>1</v>
      </c>
      <c r="B143" s="3367" t="s">
        <v>115</v>
      </c>
      <c r="C143" s="3368"/>
      <c r="D143" s="186">
        <f>'3.XT-C TT'!I43</f>
        <v>42</v>
      </c>
      <c r="E143" s="134">
        <f>'3.XT-C TT'!M43</f>
        <v>40</v>
      </c>
      <c r="F143" s="134">
        <f>'3.XT-C TT'!Q43</f>
        <v>42</v>
      </c>
      <c r="G143" s="1517">
        <f>'3.XT-C TT(CA2)'!I43</f>
        <v>42</v>
      </c>
      <c r="H143" s="1517">
        <f>'3.XT-C TT(CA2)'!M43</f>
        <v>43</v>
      </c>
      <c r="I143" s="1518">
        <f>'3.XT-C TT(CA2)'!Q43</f>
        <v>42</v>
      </c>
    </row>
    <row r="144" spans="1:9" ht="21.75" hidden="1" customHeight="1">
      <c r="A144" s="239">
        <v>2</v>
      </c>
      <c r="B144" s="3367" t="s">
        <v>114</v>
      </c>
      <c r="C144" s="3368"/>
      <c r="D144" s="186">
        <f>'3.XT-C TT'!I44</f>
        <v>170</v>
      </c>
      <c r="E144" s="134">
        <f>'3.XT-C TT'!M44</f>
        <v>172</v>
      </c>
      <c r="F144" s="134">
        <f>'3.XT-C TT'!Q44</f>
        <v>172</v>
      </c>
      <c r="G144" s="1517">
        <f>'3.XT-C TT(CA2)'!I44</f>
        <v>170</v>
      </c>
      <c r="H144" s="1517">
        <f>'3.XT-C TT(CA2)'!M44</f>
        <v>170</v>
      </c>
      <c r="I144" s="1518">
        <f>'3.XT-C TT(CA2)'!Q44</f>
        <v>175</v>
      </c>
    </row>
    <row r="145" spans="1:9" ht="21.75" hidden="1" customHeight="1">
      <c r="A145" s="140"/>
      <c r="B145" s="140"/>
      <c r="C145" s="140"/>
      <c r="D145" s="188" t="s">
        <v>156</v>
      </c>
      <c r="E145" s="143"/>
      <c r="F145" s="143"/>
      <c r="G145" s="143"/>
      <c r="H145" s="143"/>
      <c r="I145" s="189"/>
    </row>
    <row r="146" spans="1:9" ht="21.75" hidden="1" customHeight="1">
      <c r="A146" s="140"/>
      <c r="B146" s="140"/>
      <c r="C146" s="140"/>
      <c r="D146" s="192">
        <v>0.25</v>
      </c>
      <c r="E146" s="138">
        <v>0.41666666666666669</v>
      </c>
      <c r="F146" s="138">
        <v>0.58333333333333337</v>
      </c>
      <c r="G146" s="138">
        <v>0.75</v>
      </c>
      <c r="H146" s="138">
        <v>0.91666666666666663</v>
      </c>
      <c r="I146" s="193">
        <v>8.3333333333333329E-2</v>
      </c>
    </row>
    <row r="147" spans="1:9" ht="21.75" hidden="1" customHeight="1">
      <c r="A147" s="3322">
        <v>1</v>
      </c>
      <c r="B147" s="3333" t="s">
        <v>138</v>
      </c>
      <c r="C147" s="235" t="s">
        <v>100</v>
      </c>
      <c r="D147" s="199">
        <f>'3.XT-C TT'!K6</f>
        <v>35.66582450000007</v>
      </c>
      <c r="E147" s="156">
        <f>'3.XT-C TT'!O6</f>
        <v>20.560024999999932</v>
      </c>
      <c r="F147" s="156">
        <f>'3.XT-C TT'!S6</f>
        <v>0</v>
      </c>
      <c r="G147" s="156">
        <f>'3.XT-C TT(CA2)'!K6</f>
        <v>0.41895899999990566</v>
      </c>
      <c r="H147" s="156">
        <f>'3.XT-C TT(CA2)'!O6</f>
        <v>0.41895899999990566</v>
      </c>
      <c r="I147" s="200">
        <f>'3.XT-C TT(CA2)'!S6</f>
        <v>0</v>
      </c>
    </row>
    <row r="148" spans="1:9" ht="21.75" hidden="1" customHeight="1">
      <c r="A148" s="3332"/>
      <c r="B148" s="3335"/>
      <c r="C148" s="236" t="s">
        <v>101</v>
      </c>
      <c r="D148" s="199">
        <f>'3.XT-C TT'!K7</f>
        <v>12.126380330000025</v>
      </c>
      <c r="E148" s="156">
        <f>'3.XT-C TT'!O7</f>
        <v>6.9904084999999769</v>
      </c>
      <c r="F148" s="156">
        <f>'3.XT-C TT'!S7</f>
        <v>0</v>
      </c>
      <c r="G148" s="156">
        <f>'3.XT-C TT(CA2)'!K7</f>
        <v>0.1424460599999679</v>
      </c>
      <c r="H148" s="156">
        <f>'3.XT-C TT(CA2)'!O7</f>
        <v>0.1424460599999679</v>
      </c>
      <c r="I148" s="200">
        <f>'3.XT-C TT(CA2)'!S7</f>
        <v>0</v>
      </c>
    </row>
    <row r="149" spans="1:9" ht="21.75" hidden="1" customHeight="1">
      <c r="A149" s="3322">
        <v>2</v>
      </c>
      <c r="B149" s="3333" t="s">
        <v>139</v>
      </c>
      <c r="C149" s="235" t="s">
        <v>100</v>
      </c>
      <c r="D149" s="199">
        <f>'3.XT-C TT'!K8</f>
        <v>41.269837499999987</v>
      </c>
      <c r="E149" s="156">
        <f>'3.XT-C TT'!O8</f>
        <v>26.375287500000049</v>
      </c>
      <c r="F149" s="156">
        <f>'3.XT-C TT'!S8</f>
        <v>0.30982499999993018</v>
      </c>
      <c r="G149" s="156">
        <f>'3.XT-C TT(CA2)'!K8</f>
        <v>15.204374999999951</v>
      </c>
      <c r="H149" s="156">
        <f>'3.XT-C TT(CA2)'!O8</f>
        <v>7.7571000000000225</v>
      </c>
      <c r="I149" s="200">
        <f>'3.XT-C TT(CA2)'!S8</f>
        <v>0</v>
      </c>
    </row>
    <row r="150" spans="1:9" ht="21.75" hidden="1" customHeight="1">
      <c r="A150" s="3332"/>
      <c r="B150" s="3335"/>
      <c r="C150" s="236" t="s">
        <v>101</v>
      </c>
      <c r="D150" s="199">
        <f>'3.XT-C TT'!K9</f>
        <v>14.031744749999996</v>
      </c>
      <c r="E150" s="156">
        <f>'3.XT-C TT'!O9</f>
        <v>8.9675977500000172</v>
      </c>
      <c r="F150" s="156">
        <f>'3.XT-C TT'!S9</f>
        <v>0.10534049999997626</v>
      </c>
      <c r="G150" s="156">
        <f>'3.XT-C TT(CA2)'!K9</f>
        <v>5.1694874999999829</v>
      </c>
      <c r="H150" s="156">
        <f>'3.XT-C TT(CA2)'!O9</f>
        <v>2.6374140000000077</v>
      </c>
      <c r="I150" s="200">
        <f>'3.XT-C TT(CA2)'!S9</f>
        <v>0</v>
      </c>
    </row>
    <row r="151" spans="1:9" ht="21.75" hidden="1" customHeight="1">
      <c r="A151" s="3322">
        <v>3</v>
      </c>
      <c r="B151" s="3250" t="s">
        <v>140</v>
      </c>
      <c r="C151" s="235" t="s">
        <v>100</v>
      </c>
      <c r="D151" s="199">
        <f>'3.XT-C TT'!K10</f>
        <v>12.767399999999959</v>
      </c>
      <c r="E151" s="156">
        <f>'3.XT-C TT'!O10</f>
        <v>14.661600000000032</v>
      </c>
      <c r="F151" s="156">
        <f>'3.XT-C TT'!S10</f>
        <v>0</v>
      </c>
      <c r="G151" s="156">
        <f>'3.XT-C TT(CA2)'!K10</f>
        <v>0</v>
      </c>
      <c r="H151" s="156">
        <f>'3.XT-C TT(CA2)'!O10</f>
        <v>0</v>
      </c>
      <c r="I151" s="200">
        <f>'3.XT-C TT(CA2)'!S10</f>
        <v>0</v>
      </c>
    </row>
    <row r="152" spans="1:9" ht="21.75" hidden="1" customHeight="1">
      <c r="A152" s="3323"/>
      <c r="B152" s="3262"/>
      <c r="C152" s="236" t="s">
        <v>104</v>
      </c>
      <c r="D152" s="199">
        <f>'3.XT-C TT'!K11</f>
        <v>4.085567999999987</v>
      </c>
      <c r="E152" s="156">
        <f>'3.XT-C TT'!O11</f>
        <v>4.6917120000000105</v>
      </c>
      <c r="F152" s="156">
        <f>'3.XT-C TT'!S11</f>
        <v>0</v>
      </c>
      <c r="G152" s="156">
        <f>'3.XT-C TT(CA2)'!K11</f>
        <v>0</v>
      </c>
      <c r="H152" s="156">
        <f>'3.XT-C TT(CA2)'!O11</f>
        <v>0</v>
      </c>
      <c r="I152" s="200">
        <f>'3.XT-C TT(CA2)'!S11</f>
        <v>0</v>
      </c>
    </row>
    <row r="153" spans="1:9" ht="21.75" hidden="1" customHeight="1">
      <c r="A153" s="3322">
        <v>4</v>
      </c>
      <c r="B153" s="3250" t="s">
        <v>141</v>
      </c>
      <c r="C153" s="235" t="s">
        <v>100</v>
      </c>
      <c r="D153" s="199">
        <f>'3.XT-C TT'!K12</f>
        <v>0</v>
      </c>
      <c r="E153" s="156">
        <f>'3.XT-C TT'!O12</f>
        <v>3.4845359999999475</v>
      </c>
      <c r="F153" s="156">
        <f>'3.XT-C TT'!S12</f>
        <v>0</v>
      </c>
      <c r="G153" s="156">
        <f>'3.XT-C TT(CA2)'!K12</f>
        <v>0</v>
      </c>
      <c r="H153" s="156">
        <f>'3.XT-C TT(CA2)'!O12</f>
        <v>0</v>
      </c>
      <c r="I153" s="200">
        <f>'3.XT-C TT(CA2)'!S12</f>
        <v>0</v>
      </c>
    </row>
    <row r="154" spans="1:9" ht="21.75" hidden="1" customHeight="1">
      <c r="A154" s="3323"/>
      <c r="B154" s="3262"/>
      <c r="C154" s="236" t="s">
        <v>104</v>
      </c>
      <c r="D154" s="199">
        <f>'3.XT-C TT'!K13</f>
        <v>0</v>
      </c>
      <c r="E154" s="156">
        <f>'3.XT-C TT'!O13</f>
        <v>1.1150515199999831</v>
      </c>
      <c r="F154" s="156">
        <f>'3.XT-C TT'!S13</f>
        <v>0</v>
      </c>
      <c r="G154" s="156">
        <f>'3.XT-C TT(CA2)'!K13</f>
        <v>0</v>
      </c>
      <c r="H154" s="156">
        <f>'3.XT-C TT(CA2)'!O13</f>
        <v>0</v>
      </c>
      <c r="I154" s="200">
        <f>'3.XT-C TT(CA2)'!S13</f>
        <v>0</v>
      </c>
    </row>
    <row r="155" spans="1:9" ht="21.75" hidden="1" customHeight="1">
      <c r="A155" s="3322">
        <v>5</v>
      </c>
      <c r="B155" s="3324" t="s">
        <v>113</v>
      </c>
      <c r="C155" s="237"/>
      <c r="D155" s="199">
        <f>'3.XT-C TT'!K14</f>
        <v>106.13200000000001</v>
      </c>
      <c r="E155" s="156">
        <f>'3.XT-C TT'!O14</f>
        <v>0</v>
      </c>
      <c r="F155" s="156">
        <f>'3.XT-C TT'!S14</f>
        <v>127.3584000000003</v>
      </c>
      <c r="G155" s="156">
        <f>'3.XT-C TT(CA2)'!K14</f>
        <v>0</v>
      </c>
      <c r="H155" s="156">
        <f>'3.XT-C TT(CA2)'!O14</f>
        <v>0</v>
      </c>
      <c r="I155" s="200">
        <f>'3.XT-C TT(CA2)'!S14</f>
        <v>42.452800000000607</v>
      </c>
    </row>
    <row r="156" spans="1:9" ht="21.75" hidden="1" customHeight="1">
      <c r="A156" s="3323"/>
      <c r="B156" s="3325"/>
      <c r="C156" s="237"/>
      <c r="D156" s="199">
        <f>'3.XT-C TT'!K15</f>
        <v>2.6532999999999434</v>
      </c>
      <c r="E156" s="156">
        <f>'3.XT-C TT'!O15</f>
        <v>2.6532999999999434</v>
      </c>
      <c r="F156" s="156">
        <f>'3.XT-C TT'!S15</f>
        <v>6.1025900000000108</v>
      </c>
      <c r="G156" s="156">
        <f>'3.XT-C TT(CA2)'!K15</f>
        <v>0</v>
      </c>
      <c r="H156" s="156">
        <f>'3.XT-C TT(CA2)'!O15</f>
        <v>2.6532999999999434</v>
      </c>
      <c r="I156" s="200">
        <f>'3.XT-C TT(CA2)'!S15</f>
        <v>9.5518799999999846</v>
      </c>
    </row>
    <row r="157" spans="1:9" ht="21.75" hidden="1" customHeight="1">
      <c r="A157" s="3322">
        <v>6</v>
      </c>
      <c r="B157" s="3310" t="s">
        <v>37</v>
      </c>
      <c r="C157" s="3311"/>
      <c r="D157" s="199">
        <f>'3.XT-C TT'!K16</f>
        <v>0</v>
      </c>
      <c r="E157" s="156">
        <f>'3.XT-C TT'!O16</f>
        <v>0</v>
      </c>
      <c r="F157" s="156">
        <f>'3.XT-C TT'!S16</f>
        <v>0</v>
      </c>
      <c r="G157" s="156">
        <f>'3.XT-C TT(CA2)'!K16</f>
        <v>0</v>
      </c>
      <c r="H157" s="156">
        <f>'3.XT-C TT(CA2)'!O16</f>
        <v>0</v>
      </c>
      <c r="I157" s="200">
        <f>'3.XT-C TT(CA2)'!S16</f>
        <v>0</v>
      </c>
    </row>
    <row r="158" spans="1:9" ht="21.75" hidden="1" customHeight="1">
      <c r="A158" s="3323"/>
      <c r="B158" s="3312"/>
      <c r="C158" s="3313"/>
      <c r="D158" s="199">
        <f>'3.XT-C TT'!K17</f>
        <v>0</v>
      </c>
      <c r="E158" s="156">
        <f>'3.XT-C TT'!O17</f>
        <v>0</v>
      </c>
      <c r="F158" s="156">
        <f>'3.XT-C TT'!S17</f>
        <v>0</v>
      </c>
      <c r="G158" s="156">
        <f>'3.XT-C TT(CA2)'!K17</f>
        <v>0</v>
      </c>
      <c r="H158" s="156">
        <f>'3.XT-C TT(CA2)'!O17</f>
        <v>0</v>
      </c>
      <c r="I158" s="200">
        <f>'3.XT-C TT(CA2)'!S17</f>
        <v>0</v>
      </c>
    </row>
    <row r="159" spans="1:9" ht="21.75" hidden="1" customHeight="1">
      <c r="A159" s="2693"/>
      <c r="B159" s="2694"/>
      <c r="C159" s="2695" t="s">
        <v>1620</v>
      </c>
      <c r="D159" s="199">
        <f>'3.XT-C TT'!K18</f>
        <v>127.33874999999998</v>
      </c>
      <c r="E159" s="156">
        <f>'3.XT-C TT'!O18</f>
        <v>142.09387500000022</v>
      </c>
      <c r="F159" s="156">
        <f>'3.XT-C TT'!S18</f>
        <v>127.33874999999998</v>
      </c>
      <c r="G159" s="156">
        <f>'3.XT-C TT(CA2)'!K18</f>
        <v>127.33874999999998</v>
      </c>
      <c r="H159" s="156">
        <f>'3.XT-C TT(CA2)'!O18</f>
        <v>68.318250000000191</v>
      </c>
      <c r="I159" s="200">
        <f>'3.XT-C TT(CA2)'!S18</f>
        <v>83.073375000000098</v>
      </c>
    </row>
    <row r="160" spans="1:9" ht="21.75" hidden="1" customHeight="1">
      <c r="A160" s="239">
        <v>7</v>
      </c>
      <c r="B160" s="3213" t="s">
        <v>1618</v>
      </c>
      <c r="C160" s="3214"/>
      <c r="D160" s="199">
        <f>'3.XT-C TT'!K19</f>
        <v>0</v>
      </c>
      <c r="E160" s="156">
        <f>'3.XT-C TT'!O19</f>
        <v>0</v>
      </c>
      <c r="F160" s="156">
        <f>'3.XT-C TT'!S19</f>
        <v>0</v>
      </c>
      <c r="G160" s="156">
        <f>'3.XT-C TT(CA2)'!K19</f>
        <v>0</v>
      </c>
      <c r="H160" s="156">
        <f>'3.XT-C TT(CA2)'!O19</f>
        <v>0</v>
      </c>
      <c r="I160" s="200">
        <f>'3.XT-C TT(CA2)'!S19</f>
        <v>0</v>
      </c>
    </row>
    <row r="161" spans="1:9" ht="21.75" hidden="1" customHeight="1">
      <c r="A161" s="2691"/>
      <c r="B161" s="3213" t="s">
        <v>1619</v>
      </c>
      <c r="C161" s="3214"/>
      <c r="D161" s="199">
        <f>'3.XT-C TT'!K20</f>
        <v>0</v>
      </c>
      <c r="E161" s="156">
        <f>'3.XT-C TT'!O20</f>
        <v>0</v>
      </c>
      <c r="F161" s="156">
        <f>'3.XT-C TT'!S20</f>
        <v>0</v>
      </c>
      <c r="G161" s="156">
        <f>'3.XT-C TT(CA2)'!K20</f>
        <v>0</v>
      </c>
      <c r="H161" s="156">
        <f>'3.XT-C TT(CA2)'!O20</f>
        <v>0</v>
      </c>
      <c r="I161" s="200">
        <f>'3.XT-C TT(CA2)'!S20</f>
        <v>0</v>
      </c>
    </row>
    <row r="162" spans="1:9" ht="21.75" hidden="1" customHeight="1">
      <c r="A162" s="239">
        <v>8</v>
      </c>
      <c r="B162" s="3213" t="s">
        <v>36</v>
      </c>
      <c r="C162" s="3214"/>
      <c r="D162" s="199">
        <f>'3.XT-C TT'!K21</f>
        <v>0</v>
      </c>
      <c r="E162" s="156">
        <f>'3.XT-C TT'!O21</f>
        <v>0</v>
      </c>
      <c r="F162" s="156">
        <f>'3.XT-C TT'!S21</f>
        <v>0</v>
      </c>
      <c r="G162" s="156">
        <f>'3.XT-C TT(CA2)'!K20</f>
        <v>0</v>
      </c>
      <c r="H162" s="156">
        <f>'3.XT-C TT(CA2)'!O20</f>
        <v>0</v>
      </c>
      <c r="I162" s="200">
        <f>'3.XT-C TT(CA2)'!S20</f>
        <v>0</v>
      </c>
    </row>
    <row r="163" spans="1:9" ht="21.75" hidden="1" customHeight="1">
      <c r="A163" s="239">
        <v>10</v>
      </c>
      <c r="B163" s="3200" t="s">
        <v>112</v>
      </c>
      <c r="C163" s="3201" t="s">
        <v>112</v>
      </c>
      <c r="D163" s="199">
        <f>'3.XT-C TT'!K22</f>
        <v>9.5040000000000013</v>
      </c>
      <c r="E163" s="156">
        <f>'3.XT-C TT'!O22</f>
        <v>9.8644768211920546</v>
      </c>
      <c r="F163" s="156">
        <f>'3.XT-C TT'!S22</f>
        <v>6.6201854304635788</v>
      </c>
      <c r="G163" s="156">
        <f>'3.XT-C TT(CA2)'!K22</f>
        <v>6.2597086092715228</v>
      </c>
      <c r="H163" s="156">
        <f>'3.XT-C TT(CA2)'!O22</f>
        <v>5.5387549668874172</v>
      </c>
      <c r="I163" s="200">
        <f>'3.XT-C TT(CA2)'!S22</f>
        <v>5.5387549668874172</v>
      </c>
    </row>
    <row r="164" spans="1:9" ht="21.75" hidden="1" customHeight="1" thickBot="1">
      <c r="D164" s="201"/>
      <c r="E164" s="202"/>
      <c r="F164" s="202"/>
      <c r="G164" s="202"/>
      <c r="H164" s="202"/>
      <c r="I164" s="203"/>
    </row>
    <row r="165" spans="1:9" ht="21.75" hidden="1" customHeight="1">
      <c r="D165" s="181"/>
      <c r="E165" s="182"/>
      <c r="F165" s="182"/>
      <c r="G165" s="182"/>
      <c r="H165" s="182"/>
      <c r="I165" s="183"/>
    </row>
    <row r="166" spans="1:9" ht="21.75" hidden="1" customHeight="1">
      <c r="A166" s="1544"/>
      <c r="B166" s="1545"/>
      <c r="C166" s="1565" t="s">
        <v>1391</v>
      </c>
      <c r="D166" s="1566" t="s">
        <v>1398</v>
      </c>
      <c r="E166" s="1567" t="s">
        <v>1399</v>
      </c>
      <c r="F166" s="134"/>
      <c r="G166" s="134"/>
      <c r="H166" s="134"/>
      <c r="I166" s="187"/>
    </row>
    <row r="167" spans="1:9" ht="21.75" hidden="1" customHeight="1">
      <c r="A167" s="1563" t="s">
        <v>1390</v>
      </c>
      <c r="B167" s="1564"/>
      <c r="C167" s="1568"/>
      <c r="D167" s="1569"/>
      <c r="E167" s="1570"/>
      <c r="F167" s="134"/>
      <c r="G167" s="134"/>
      <c r="H167" s="134"/>
      <c r="I167" s="187"/>
    </row>
    <row r="168" spans="1:9" ht="21.75" hidden="1" customHeight="1">
      <c r="A168" s="3250" t="s">
        <v>1385</v>
      </c>
      <c r="B168" s="3262"/>
      <c r="C168" s="1560" t="s">
        <v>230</v>
      </c>
      <c r="D168" s="1571">
        <f>'BS-XT'!AL6</f>
        <v>57.06376749999982</v>
      </c>
      <c r="E168" s="1571">
        <f>'BS-XT'!AM6</f>
        <v>25</v>
      </c>
      <c r="F168" s="134"/>
      <c r="G168" s="134"/>
      <c r="H168" s="134"/>
      <c r="I168" s="187"/>
    </row>
    <row r="169" spans="1:9" ht="21.75" hidden="1" customHeight="1">
      <c r="A169" s="3262"/>
      <c r="B169" s="3262"/>
      <c r="C169" s="1560" t="s">
        <v>231</v>
      </c>
      <c r="D169" s="1571">
        <f>'BS-XT'!AL7</f>
        <v>19.401680949999939</v>
      </c>
      <c r="E169" s="1571">
        <f>'BS-XT'!AM7</f>
        <v>0</v>
      </c>
      <c r="F169" s="134"/>
      <c r="G169" s="134"/>
      <c r="H169" s="134"/>
      <c r="I169" s="187"/>
    </row>
    <row r="170" spans="1:9" ht="21.75" hidden="1" customHeight="1">
      <c r="A170" s="3250" t="s">
        <v>1384</v>
      </c>
      <c r="B170" s="3262"/>
      <c r="C170" s="1560" t="s">
        <v>230</v>
      </c>
      <c r="D170" s="1571">
        <f>'BS-XT'!AL8</f>
        <v>90.916424999999947</v>
      </c>
      <c r="E170" s="1571">
        <f>'BS-XT'!AM8</f>
        <v>40</v>
      </c>
      <c r="F170" s="134"/>
      <c r="G170" s="134"/>
      <c r="H170" s="134"/>
      <c r="I170" s="187"/>
    </row>
    <row r="171" spans="1:9" ht="21.75" hidden="1" customHeight="1">
      <c r="A171" s="3262"/>
      <c r="B171" s="3262"/>
      <c r="C171" s="1560" t="s">
        <v>231</v>
      </c>
      <c r="D171" s="1571">
        <f>'BS-XT'!AL9</f>
        <v>30.911584499999975</v>
      </c>
      <c r="E171" s="1571">
        <f>'BS-XT'!AM9</f>
        <v>5</v>
      </c>
      <c r="F171" s="134"/>
      <c r="G171" s="134"/>
      <c r="H171" s="134"/>
      <c r="I171" s="187"/>
    </row>
    <row r="172" spans="1:9" ht="21.75" hidden="1" customHeight="1">
      <c r="A172" s="3250" t="s">
        <v>1383</v>
      </c>
      <c r="B172" s="3262"/>
      <c r="C172" s="1561" t="s">
        <v>232</v>
      </c>
      <c r="D172" s="1571">
        <f>'BS-XT'!AL10</f>
        <v>27.428999999999991</v>
      </c>
      <c r="E172" s="1571">
        <f>'BS-XT'!AM10</f>
        <v>15</v>
      </c>
      <c r="F172" s="134"/>
      <c r="G172" s="134"/>
      <c r="H172" s="134"/>
      <c r="I172" s="187"/>
    </row>
    <row r="173" spans="1:9" ht="21.75" hidden="1" customHeight="1">
      <c r="A173" s="3262"/>
      <c r="B173" s="3262"/>
      <c r="C173" s="1561" t="s">
        <v>233</v>
      </c>
      <c r="D173" s="1571">
        <f>'BS-XT'!AL11</f>
        <v>8.7772799999999975</v>
      </c>
      <c r="E173" s="1571">
        <f>'BS-XT'!AM11</f>
        <v>0</v>
      </c>
      <c r="F173" s="134"/>
      <c r="G173" s="134"/>
      <c r="H173" s="134"/>
      <c r="I173" s="187"/>
    </row>
    <row r="174" spans="1:9" ht="21.75" hidden="1" customHeight="1">
      <c r="A174" s="3250" t="s">
        <v>141</v>
      </c>
      <c r="B174" s="3262"/>
      <c r="C174" s="1561" t="s">
        <v>232</v>
      </c>
      <c r="D174" s="1571">
        <f>'BS-XT'!AL12</f>
        <v>3.4845359999999475</v>
      </c>
      <c r="E174" s="1571">
        <f>'BS-XT'!AM12</f>
        <v>10</v>
      </c>
      <c r="F174" s="134"/>
      <c r="G174" s="134"/>
      <c r="H174" s="134"/>
      <c r="I174" s="187"/>
    </row>
    <row r="175" spans="1:9" ht="21.75" hidden="1" customHeight="1">
      <c r="A175" s="3262"/>
      <c r="B175" s="3262"/>
      <c r="C175" s="1561" t="s">
        <v>233</v>
      </c>
      <c r="D175" s="1571">
        <f>'BS-XT'!AL13</f>
        <v>1.1150515199999831</v>
      </c>
      <c r="E175" s="1571">
        <f>'BS-XT'!AM13</f>
        <v>0</v>
      </c>
      <c r="F175" s="134"/>
      <c r="G175" s="134"/>
      <c r="H175" s="134"/>
      <c r="I175" s="187"/>
    </row>
    <row r="176" spans="1:9" ht="21.75" hidden="1" customHeight="1">
      <c r="A176" s="3148" t="s">
        <v>1382</v>
      </c>
      <c r="B176" s="3326" t="s">
        <v>1381</v>
      </c>
      <c r="C176" s="3327"/>
      <c r="D176" s="1571">
        <f>'BS-XT'!AL14</f>
        <v>275.9432000000009</v>
      </c>
      <c r="E176" s="1571">
        <f>'BS-XT'!AM14</f>
        <v>125</v>
      </c>
      <c r="F176" s="134"/>
      <c r="G176" s="134"/>
      <c r="H176" s="134"/>
      <c r="I176" s="187"/>
    </row>
    <row r="177" spans="1:9" ht="21.75" hidden="1" customHeight="1">
      <c r="A177" s="3404"/>
      <c r="B177" s="3326" t="s">
        <v>1380</v>
      </c>
      <c r="C177" s="3327"/>
      <c r="D177" s="1571">
        <f>'BS-XT'!AL15</f>
        <v>23.614369999999823</v>
      </c>
      <c r="E177" s="1571">
        <f>'BS-XT'!AM15</f>
        <v>0</v>
      </c>
      <c r="F177" s="134"/>
      <c r="G177" s="134"/>
      <c r="H177" s="134"/>
      <c r="I177" s="187"/>
    </row>
    <row r="178" spans="1:9" ht="21.75" hidden="1" customHeight="1">
      <c r="A178" s="3333" t="s">
        <v>1379</v>
      </c>
      <c r="B178" s="3403"/>
      <c r="C178" s="3403"/>
      <c r="D178" s="1571">
        <f>'BS-XT'!AL16</f>
        <v>0</v>
      </c>
      <c r="E178" s="1571">
        <f>'BS-XT'!AM16</f>
        <v>0</v>
      </c>
      <c r="F178" s="134"/>
      <c r="G178" s="134"/>
      <c r="H178" s="134"/>
      <c r="I178" s="187"/>
    </row>
    <row r="179" spans="1:9" ht="21.75" hidden="1" customHeight="1">
      <c r="A179" s="3319" t="s">
        <v>1378</v>
      </c>
      <c r="B179" s="3320"/>
      <c r="C179" s="3320"/>
      <c r="D179" s="1571">
        <f>'BS-XT'!AL17</f>
        <v>0</v>
      </c>
      <c r="E179" s="1571">
        <f>'BS-XT'!AM17</f>
        <v>0</v>
      </c>
      <c r="F179" s="134"/>
      <c r="G179" s="134"/>
      <c r="H179" s="134"/>
      <c r="I179" s="187"/>
    </row>
    <row r="180" spans="1:9" ht="21.75" hidden="1" customHeight="1">
      <c r="A180" s="3319" t="s">
        <v>1377</v>
      </c>
      <c r="B180" s="3320"/>
      <c r="C180" s="3320"/>
      <c r="D180" s="1571">
        <f>'BS-XT'!AL18</f>
        <v>278.73037500000027</v>
      </c>
      <c r="E180" s="1571">
        <f>'BS-XT'!AM18</f>
        <v>100</v>
      </c>
      <c r="F180" s="134"/>
      <c r="G180" s="134"/>
      <c r="H180" s="134"/>
      <c r="I180" s="187"/>
    </row>
    <row r="181" spans="1:9" ht="21.75" hidden="1" customHeight="1">
      <c r="A181" s="3319" t="s">
        <v>1376</v>
      </c>
      <c r="B181" s="3320"/>
      <c r="C181" s="3320"/>
      <c r="D181" s="1571">
        <f>'BS-XT'!AL19</f>
        <v>0</v>
      </c>
      <c r="E181" s="1571">
        <f>'BS-XT'!AM19</f>
        <v>0</v>
      </c>
      <c r="F181" s="134"/>
      <c r="G181" s="134"/>
      <c r="H181" s="134"/>
      <c r="I181" s="187"/>
    </row>
    <row r="182" spans="1:9" ht="21.75" hidden="1" customHeight="1">
      <c r="A182" s="3319" t="s">
        <v>1375</v>
      </c>
      <c r="B182" s="3320" t="s">
        <v>980</v>
      </c>
      <c r="C182" s="3320" t="s">
        <v>980</v>
      </c>
      <c r="D182" s="1571" t="e">
        <f>'BS-XT'!AL20</f>
        <v>#REF!</v>
      </c>
      <c r="E182" s="1571" t="e">
        <f>'BS-XT'!AM20</f>
        <v>#REF!</v>
      </c>
      <c r="F182" s="134"/>
      <c r="G182" s="134"/>
      <c r="H182" s="134"/>
      <c r="I182" s="187"/>
    </row>
    <row r="183" spans="1:9" ht="21.75" hidden="1" customHeight="1">
      <c r="A183" s="3083" t="s">
        <v>1374</v>
      </c>
      <c r="B183" s="3084"/>
      <c r="C183" s="3084"/>
      <c r="D183" s="1571">
        <f>'BS-XT'!AL21</f>
        <v>43.325880794701987</v>
      </c>
      <c r="E183" s="1571">
        <f>'BS-XT'!AM21</f>
        <v>0</v>
      </c>
      <c r="F183" s="134"/>
      <c r="G183" s="134"/>
      <c r="H183" s="134"/>
      <c r="I183" s="187"/>
    </row>
    <row r="184" spans="1:9" ht="21.75" hidden="1" customHeight="1">
      <c r="A184" s="3401" t="s">
        <v>1373</v>
      </c>
      <c r="B184" s="3402"/>
      <c r="C184" s="3402"/>
      <c r="D184" s="1571">
        <f>'BS-XT'!AL22</f>
        <v>0</v>
      </c>
      <c r="E184" s="1571">
        <f>'BS-XT'!AM22</f>
        <v>0</v>
      </c>
      <c r="F184" s="134"/>
      <c r="G184" s="134"/>
      <c r="H184" s="134"/>
      <c r="I184" s="187"/>
    </row>
    <row r="185" spans="1:9" ht="21.75" hidden="1" customHeight="1">
      <c r="A185" s="3348" t="s">
        <v>1372</v>
      </c>
      <c r="B185" s="3349"/>
      <c r="C185" s="1562" t="s">
        <v>116</v>
      </c>
      <c r="D185" s="1571">
        <f>'BS-XT'!AL23</f>
        <v>0</v>
      </c>
      <c r="E185" s="1571">
        <f>'BS-XT'!AM23</f>
        <v>0</v>
      </c>
      <c r="F185" s="134"/>
      <c r="G185" s="134"/>
      <c r="H185" s="134"/>
      <c r="I185" s="187"/>
    </row>
    <row r="186" spans="1:9" ht="21.75" hidden="1" customHeight="1">
      <c r="A186" s="3350"/>
      <c r="B186" s="3351"/>
      <c r="C186" s="1562" t="s">
        <v>100</v>
      </c>
      <c r="D186" s="1571">
        <f>'BS-XT'!AL24</f>
        <v>17.599999999999909</v>
      </c>
      <c r="E186" s="1571">
        <f>'BS-XT'!AM24</f>
        <v>50</v>
      </c>
      <c r="F186" s="134"/>
      <c r="G186" s="134"/>
      <c r="H186" s="134"/>
      <c r="I186" s="187"/>
    </row>
    <row r="187" spans="1:9" ht="21.75" hidden="1" customHeight="1">
      <c r="A187" s="3251" t="s">
        <v>1371</v>
      </c>
      <c r="B187" s="3252"/>
      <c r="C187" s="3252"/>
      <c r="D187" s="1571">
        <f>'BS-XT'!AL25</f>
        <v>0</v>
      </c>
      <c r="E187" s="1571">
        <f>'BS-XT'!AM25</f>
        <v>0</v>
      </c>
      <c r="F187" s="134"/>
      <c r="G187" s="134"/>
      <c r="H187" s="134"/>
      <c r="I187" s="187"/>
    </row>
    <row r="188" spans="1:9" ht="21.75" customHeight="1" thickBot="1">
      <c r="D188" s="201"/>
      <c r="E188" s="202"/>
      <c r="F188" s="202"/>
      <c r="G188" s="202"/>
      <c r="H188" s="202"/>
      <c r="I188" s="203"/>
    </row>
  </sheetData>
  <mergeCells count="105">
    <mergeCell ref="A5:A7"/>
    <mergeCell ref="B5:B7"/>
    <mergeCell ref="A8:A10"/>
    <mergeCell ref="B8:B10"/>
    <mergeCell ref="A11:A12"/>
    <mergeCell ref="B11:B12"/>
    <mergeCell ref="B22:C22"/>
    <mergeCell ref="A23:C23"/>
    <mergeCell ref="B24:C24"/>
    <mergeCell ref="A13:A14"/>
    <mergeCell ref="B13:B14"/>
    <mergeCell ref="A15:A16"/>
    <mergeCell ref="B15:B16"/>
    <mergeCell ref="A17:A18"/>
    <mergeCell ref="B17:C18"/>
    <mergeCell ref="B19:C19"/>
    <mergeCell ref="B20:C20"/>
    <mergeCell ref="B21:C21"/>
    <mergeCell ref="A39:A41"/>
    <mergeCell ref="B39:B41"/>
    <mergeCell ref="A42:A44"/>
    <mergeCell ref="B42:B44"/>
    <mergeCell ref="A45:A46"/>
    <mergeCell ref="B45:B46"/>
    <mergeCell ref="B36:C36"/>
    <mergeCell ref="B25:C25"/>
    <mergeCell ref="B26:C26"/>
    <mergeCell ref="B27:C27"/>
    <mergeCell ref="B28:C28"/>
    <mergeCell ref="B29:C29"/>
    <mergeCell ref="B30:C30"/>
    <mergeCell ref="B31:C31"/>
    <mergeCell ref="B32:C32"/>
    <mergeCell ref="A33:C33"/>
    <mergeCell ref="B34:C34"/>
    <mergeCell ref="B35:C35"/>
    <mergeCell ref="B53:C53"/>
    <mergeCell ref="B54:C54"/>
    <mergeCell ref="B55:C55"/>
    <mergeCell ref="B56:C56"/>
    <mergeCell ref="A47:A48"/>
    <mergeCell ref="B47:B48"/>
    <mergeCell ref="A49:A50"/>
    <mergeCell ref="B49:B50"/>
    <mergeCell ref="A51:A52"/>
    <mergeCell ref="B51:C52"/>
    <mergeCell ref="A120:A121"/>
    <mergeCell ref="B120:B121"/>
    <mergeCell ref="A122:A123"/>
    <mergeCell ref="B122:B123"/>
    <mergeCell ref="A124:A125"/>
    <mergeCell ref="B124:C125"/>
    <mergeCell ref="A114:A115"/>
    <mergeCell ref="B114:B115"/>
    <mergeCell ref="A116:A117"/>
    <mergeCell ref="B116:B117"/>
    <mergeCell ref="A118:A119"/>
    <mergeCell ref="B118:B119"/>
    <mergeCell ref="B140:C140"/>
    <mergeCell ref="B127:C127"/>
    <mergeCell ref="B129:C129"/>
    <mergeCell ref="B130:C130"/>
    <mergeCell ref="B133:C133"/>
    <mergeCell ref="B134:C134"/>
    <mergeCell ref="B135:C135"/>
    <mergeCell ref="B136:C136"/>
    <mergeCell ref="B137:C137"/>
    <mergeCell ref="B138:C138"/>
    <mergeCell ref="B139:C139"/>
    <mergeCell ref="B128:C128"/>
    <mergeCell ref="A157:A158"/>
    <mergeCell ref="B157:C158"/>
    <mergeCell ref="B160:C160"/>
    <mergeCell ref="B162:C162"/>
    <mergeCell ref="B161:C161"/>
    <mergeCell ref="B143:C143"/>
    <mergeCell ref="B144:C144"/>
    <mergeCell ref="A147:A148"/>
    <mergeCell ref="B147:B148"/>
    <mergeCell ref="A149:A150"/>
    <mergeCell ref="B149:B150"/>
    <mergeCell ref="C1:F1"/>
    <mergeCell ref="A183:C183"/>
    <mergeCell ref="A184:C184"/>
    <mergeCell ref="A185:B186"/>
    <mergeCell ref="A187:C187"/>
    <mergeCell ref="A178:C178"/>
    <mergeCell ref="A179:C179"/>
    <mergeCell ref="A180:C180"/>
    <mergeCell ref="A181:C181"/>
    <mergeCell ref="A182:C182"/>
    <mergeCell ref="A168:B169"/>
    <mergeCell ref="A170:B171"/>
    <mergeCell ref="A172:B173"/>
    <mergeCell ref="A174:B175"/>
    <mergeCell ref="A176:A177"/>
    <mergeCell ref="B176:C176"/>
    <mergeCell ref="B177:C177"/>
    <mergeCell ref="B163:C163"/>
    <mergeCell ref="A151:A152"/>
    <mergeCell ref="B151:B152"/>
    <mergeCell ref="A153:A154"/>
    <mergeCell ref="B153:B154"/>
    <mergeCell ref="A155:A156"/>
    <mergeCell ref="B155:B156"/>
  </mergeCells>
  <phoneticPr fontId="7" type="noConversion"/>
  <pageMargins left="0.7" right="0.7" top="0.75" bottom="0.75" header="0.3" footer="0.3"/>
  <pageSetup paperSize="9" orientation="portrait" verticalDpi="0" r:id="rId1"/>
  <drawing r:id="rId2"/>
</worksheet>
</file>

<file path=xl/worksheets/sheet27.xml><?xml version="1.0" encoding="utf-8"?>
<worksheet xmlns="http://schemas.openxmlformats.org/spreadsheetml/2006/main" xmlns:r="http://schemas.openxmlformats.org/officeDocument/2006/relationships">
  <sheetPr>
    <tabColor rgb="FFFF0000"/>
  </sheetPr>
  <dimension ref="A1:AN25"/>
  <sheetViews>
    <sheetView showGridLines="0" zoomScale="70" zoomScaleNormal="70" workbookViewId="0"/>
  </sheetViews>
  <sheetFormatPr defaultRowHeight="16.5"/>
  <cols>
    <col min="1" max="1" width="5" style="8" customWidth="1"/>
    <col min="2" max="2" width="11.25" style="31" customWidth="1"/>
    <col min="3" max="3" width="3.375" style="31" customWidth="1"/>
    <col min="4" max="4" width="11" style="31" customWidth="1"/>
    <col min="5" max="5" width="5.5" style="31" customWidth="1"/>
    <col min="6" max="6" width="6.375" style="31" customWidth="1"/>
    <col min="7" max="7" width="9.25" style="7" customWidth="1"/>
    <col min="8" max="8" width="9.25" style="1660" customWidth="1"/>
    <col min="9" max="9" width="9.25" style="1653" customWidth="1"/>
    <col min="10" max="12" width="9.25" style="7" customWidth="1"/>
    <col min="13" max="13" width="9.25" style="1660" customWidth="1"/>
    <col min="14" max="14" width="9.25" style="1653" customWidth="1"/>
    <col min="15" max="17" width="9.25" style="7" customWidth="1"/>
    <col min="18" max="18" width="9.25" style="1660" customWidth="1"/>
    <col min="19" max="19" width="9.25" style="1653" customWidth="1"/>
    <col min="20" max="21" width="9.25" style="8" customWidth="1"/>
    <col min="22" max="22" width="9.25" style="7" customWidth="1"/>
    <col min="23" max="23" width="9.25" style="1660" customWidth="1"/>
    <col min="24" max="24" width="9.25" style="1653" customWidth="1"/>
    <col min="25" max="27" width="9.25" style="7" customWidth="1"/>
    <col min="28" max="28" width="9.25" style="1660" customWidth="1"/>
    <col min="29" max="29" width="9.25" style="1653" customWidth="1"/>
    <col min="30" max="32" width="9.25" style="7" customWidth="1"/>
    <col min="33" max="33" width="9.25" style="1660" customWidth="1"/>
    <col min="34" max="34" width="9.25" style="1653" customWidth="1"/>
    <col min="35" max="36" width="9.25" style="8" customWidth="1"/>
    <col min="37" max="37" width="5.375" style="62" customWidth="1"/>
    <col min="38" max="38" width="12.625" style="1540" customWidth="1"/>
    <col min="39" max="39" width="8.125" style="1540" customWidth="1"/>
    <col min="40" max="16384" width="9" style="8"/>
  </cols>
  <sheetData>
    <row r="1" spans="1:39" ht="28.5" customHeight="1">
      <c r="A1" s="1546" t="s">
        <v>135</v>
      </c>
      <c r="B1" s="1546"/>
      <c r="C1" s="1546"/>
      <c r="D1" s="1546"/>
      <c r="E1" s="1546"/>
      <c r="F1" s="1546"/>
      <c r="G1" s="1546"/>
      <c r="H1" s="1654"/>
      <c r="I1" s="1647"/>
      <c r="J1" s="1645"/>
      <c r="K1" s="1546"/>
      <c r="L1" s="1546"/>
      <c r="M1" s="1654"/>
      <c r="N1" s="1647"/>
      <c r="O1" s="1546"/>
      <c r="P1" s="1546"/>
      <c r="Q1" s="1546"/>
      <c r="R1" s="1654"/>
      <c r="S1" s="1647"/>
      <c r="T1" s="1546"/>
      <c r="U1" s="1546"/>
      <c r="V1" s="1546"/>
      <c r="W1" s="1654"/>
      <c r="X1" s="1647"/>
      <c r="Y1" s="1546"/>
      <c r="Z1" s="1546"/>
      <c r="AA1" s="1546"/>
      <c r="AB1" s="1654"/>
      <c r="AC1" s="1647"/>
      <c r="AD1" s="1546"/>
      <c r="AE1" s="1546"/>
      <c r="AF1" s="1546"/>
      <c r="AG1" s="1654"/>
      <c r="AH1" s="1647"/>
      <c r="AI1" s="1546"/>
      <c r="AJ1" s="1546"/>
      <c r="AK1" s="1536"/>
    </row>
    <row r="2" spans="1:39" ht="21" customHeight="1">
      <c r="A2" s="1547" t="s">
        <v>1392</v>
      </c>
      <c r="B2" s="1547"/>
      <c r="C2" s="1547"/>
      <c r="D2" s="1547"/>
      <c r="E2" s="1547"/>
      <c r="F2" s="1547"/>
      <c r="G2" s="1547"/>
      <c r="H2" s="1655"/>
      <c r="I2" s="1648"/>
      <c r="J2" s="1646"/>
      <c r="K2" s="1547"/>
      <c r="L2" s="1547"/>
      <c r="M2" s="1655"/>
      <c r="N2" s="1648"/>
      <c r="O2" s="1547"/>
      <c r="P2" s="1547"/>
      <c r="Q2" s="1547"/>
      <c r="R2" s="1655"/>
      <c r="S2" s="1648"/>
      <c r="T2" s="1547"/>
      <c r="U2" s="1547"/>
      <c r="V2" s="1547"/>
      <c r="W2" s="1655"/>
      <c r="X2" s="1648"/>
      <c r="Y2" s="1547"/>
      <c r="Z2" s="1547"/>
      <c r="AA2" s="1547"/>
      <c r="AB2" s="1655"/>
      <c r="AC2" s="1648"/>
      <c r="AD2" s="1547"/>
      <c r="AE2" s="1547"/>
      <c r="AF2" s="1547"/>
      <c r="AG2" s="1655"/>
      <c r="AH2" s="1648"/>
      <c r="AI2" s="1547"/>
      <c r="AJ2" s="1547"/>
      <c r="AK2" s="1534"/>
    </row>
    <row r="3" spans="1:39" ht="24.75" customHeight="1">
      <c r="A3" s="1532"/>
      <c r="B3" s="3406" t="str">
        <f>MENU!AD9</f>
        <v>2024/05/22</v>
      </c>
      <c r="C3" s="3406"/>
      <c r="D3" s="3406"/>
      <c r="E3" s="3406"/>
      <c r="F3" s="1533"/>
      <c r="H3" s="1662"/>
      <c r="I3" s="1531"/>
      <c r="J3" s="29"/>
      <c r="K3" s="29"/>
      <c r="L3" s="29"/>
      <c r="M3" s="1661"/>
      <c r="N3" s="1650"/>
      <c r="O3" s="29"/>
      <c r="P3" s="29"/>
      <c r="Q3" s="1530"/>
      <c r="R3" s="1656"/>
      <c r="W3" s="1662"/>
      <c r="X3" s="1649"/>
      <c r="Y3" s="29"/>
      <c r="Z3" s="29"/>
      <c r="AA3" s="29"/>
      <c r="AB3" s="1661"/>
      <c r="AC3" s="1650"/>
      <c r="AD3" s="29"/>
      <c r="AE3" s="29"/>
      <c r="AF3" s="1530"/>
      <c r="AG3" s="1656"/>
    </row>
    <row r="4" spans="1:39" s="62" customFormat="1" ht="24.75" customHeight="1">
      <c r="A4" s="3407" t="s">
        <v>7</v>
      </c>
      <c r="B4" s="1544"/>
      <c r="C4" s="1545"/>
      <c r="D4" s="3410" t="s">
        <v>1391</v>
      </c>
      <c r="E4" s="3250" t="s">
        <v>1394</v>
      </c>
      <c r="F4" s="3250" t="s">
        <v>1395</v>
      </c>
      <c r="G4" s="3117">
        <v>0.26041666666666669</v>
      </c>
      <c r="H4" s="3061"/>
      <c r="I4" s="3061"/>
      <c r="J4" s="3061"/>
      <c r="K4" s="3284"/>
      <c r="L4" s="3117">
        <v>0.42708333333333331</v>
      </c>
      <c r="M4" s="3061"/>
      <c r="N4" s="3061"/>
      <c r="O4" s="3061"/>
      <c r="P4" s="3061"/>
      <c r="Q4" s="3405">
        <v>0.59375</v>
      </c>
      <c r="R4" s="3405"/>
      <c r="S4" s="3405"/>
      <c r="T4" s="3405"/>
      <c r="U4" s="3405"/>
      <c r="V4" s="3117">
        <v>0.76041666666666663</v>
      </c>
      <c r="W4" s="3061"/>
      <c r="X4" s="3061"/>
      <c r="Y4" s="3061"/>
      <c r="Z4" s="3284"/>
      <c r="AA4" s="3117">
        <v>0.92708333333333337</v>
      </c>
      <c r="AB4" s="3061"/>
      <c r="AC4" s="3061"/>
      <c r="AD4" s="3061"/>
      <c r="AE4" s="3061"/>
      <c r="AF4" s="3405">
        <v>9.375E-2</v>
      </c>
      <c r="AG4" s="3405"/>
      <c r="AH4" s="3405"/>
      <c r="AI4" s="3405"/>
      <c r="AJ4" s="3405"/>
      <c r="AK4" s="1535"/>
      <c r="AL4" s="1541"/>
      <c r="AM4" s="1541"/>
    </row>
    <row r="5" spans="1:39" s="62" customFormat="1" ht="87" customHeight="1">
      <c r="A5" s="3407"/>
      <c r="B5" s="3408" t="s">
        <v>1390</v>
      </c>
      <c r="C5" s="3409"/>
      <c r="D5" s="3411"/>
      <c r="E5" s="3250"/>
      <c r="F5" s="3250"/>
      <c r="G5" s="1527" t="s">
        <v>1389</v>
      </c>
      <c r="H5" s="1657" t="s">
        <v>1397</v>
      </c>
      <c r="I5" s="1651" t="s">
        <v>1388</v>
      </c>
      <c r="J5" s="1529" t="s">
        <v>1387</v>
      </c>
      <c r="K5" s="1528" t="s">
        <v>1386</v>
      </c>
      <c r="L5" s="1527" t="s">
        <v>1389</v>
      </c>
      <c r="M5" s="1657" t="s">
        <v>1397</v>
      </c>
      <c r="N5" s="1651" t="s">
        <v>1388</v>
      </c>
      <c r="O5" s="1529" t="s">
        <v>1387</v>
      </c>
      <c r="P5" s="1528" t="s">
        <v>1386</v>
      </c>
      <c r="Q5" s="1527" t="s">
        <v>1389</v>
      </c>
      <c r="R5" s="1657" t="s">
        <v>1397</v>
      </c>
      <c r="S5" s="1651" t="s">
        <v>1388</v>
      </c>
      <c r="T5" s="1529" t="s">
        <v>1387</v>
      </c>
      <c r="U5" s="1528" t="s">
        <v>1386</v>
      </c>
      <c r="V5" s="1527" t="s">
        <v>1389</v>
      </c>
      <c r="W5" s="1657" t="s">
        <v>1397</v>
      </c>
      <c r="X5" s="1651" t="s">
        <v>1388</v>
      </c>
      <c r="Y5" s="1529" t="s">
        <v>1387</v>
      </c>
      <c r="Z5" s="1528" t="s">
        <v>1386</v>
      </c>
      <c r="AA5" s="1527" t="s">
        <v>1389</v>
      </c>
      <c r="AB5" s="1657" t="s">
        <v>1397</v>
      </c>
      <c r="AC5" s="1651" t="s">
        <v>1388</v>
      </c>
      <c r="AD5" s="1529" t="s">
        <v>1387</v>
      </c>
      <c r="AE5" s="1528" t="s">
        <v>1386</v>
      </c>
      <c r="AF5" s="1527" t="s">
        <v>1389</v>
      </c>
      <c r="AG5" s="1657" t="s">
        <v>1397</v>
      </c>
      <c r="AH5" s="1651" t="s">
        <v>1388</v>
      </c>
      <c r="AI5" s="1529" t="s">
        <v>1387</v>
      </c>
      <c r="AJ5" s="1528" t="s">
        <v>1386</v>
      </c>
      <c r="AK5" s="1537"/>
      <c r="AL5" s="1543" t="s">
        <v>1398</v>
      </c>
      <c r="AM5" s="1543" t="s">
        <v>1399</v>
      </c>
    </row>
    <row r="6" spans="1:39" ht="23.25" customHeight="1">
      <c r="A6" s="1461">
        <v>1</v>
      </c>
      <c r="B6" s="3250" t="s">
        <v>1385</v>
      </c>
      <c r="C6" s="3262"/>
      <c r="D6" s="1522" t="s">
        <v>230</v>
      </c>
      <c r="E6" s="1521" t="s">
        <v>4</v>
      </c>
      <c r="F6" s="1522" t="s">
        <v>1294</v>
      </c>
      <c r="G6" s="1635">
        <f>'3.XT-C TT'!I6</f>
        <v>47.701499999999996</v>
      </c>
      <c r="H6" s="1658">
        <f>'3.XT-C TT'!K6</f>
        <v>35.66582450000007</v>
      </c>
      <c r="I6" s="1652">
        <f>'3.XT-C TT'!AB6</f>
        <v>0</v>
      </c>
      <c r="J6" s="1635">
        <f>'3.XT-C TT'!AD6</f>
        <v>0</v>
      </c>
      <c r="K6" s="1525"/>
      <c r="L6" s="1635">
        <f>'3.XT-C TT'!M6</f>
        <v>48.675000000000004</v>
      </c>
      <c r="M6" s="1658">
        <f>'3.XT-C TT'!O6</f>
        <v>20.560024999999932</v>
      </c>
      <c r="N6" s="1652">
        <f>'3.XT-C TT'!AF6</f>
        <v>25</v>
      </c>
      <c r="O6" s="1635">
        <f>'3.XT-C TT'!AH6</f>
        <v>52.244500000000009</v>
      </c>
      <c r="P6" s="1525"/>
      <c r="Q6" s="1635">
        <f>'3.XT-C TT'!Q6</f>
        <v>52.244500000000009</v>
      </c>
      <c r="R6" s="1658">
        <f>'3.XT-C TT'!S6</f>
        <v>0</v>
      </c>
      <c r="S6" s="1652">
        <f>'3.XT-C TT'!AJ6</f>
        <v>0</v>
      </c>
      <c r="T6" s="1635">
        <f>'3.XT-C TT'!AL6</f>
        <v>0</v>
      </c>
      <c r="U6" s="1525"/>
      <c r="V6" s="1635">
        <f>'3.XT-C TT(CA2)'!I6</f>
        <v>49.973000000000006</v>
      </c>
      <c r="W6" s="1658">
        <f>'3.XT-C TT(CA2)'!K6</f>
        <v>0.41895899999990566</v>
      </c>
      <c r="X6" s="1652">
        <f>'3.XT-C TT(CA2)'!AB6</f>
        <v>0</v>
      </c>
      <c r="Y6" s="1635">
        <f>'3.XT-C TT(CA2)'!AD6</f>
        <v>0</v>
      </c>
      <c r="Z6" s="1635"/>
      <c r="AA6" s="1635">
        <f>'3.XT-C TT(CA2)'!M6</f>
        <v>49.973000000000006</v>
      </c>
      <c r="AB6" s="1658">
        <f>'3.XT-C TT(CA2)'!O6</f>
        <v>0.41895899999990566</v>
      </c>
      <c r="AC6" s="1652">
        <f>'3.XT-C TT(CA2)'!AF6</f>
        <v>0</v>
      </c>
      <c r="AD6" s="1635">
        <f>'3.XT-C TT(CA2)'!AH6</f>
        <v>0</v>
      </c>
      <c r="AE6" s="1635"/>
      <c r="AF6" s="1635">
        <f>'3.XT-C TT(CA2)'!Q6</f>
        <v>50.622</v>
      </c>
      <c r="AG6" s="1658">
        <f>'3.XT-C TT(CA2)'!S6</f>
        <v>0</v>
      </c>
      <c r="AH6" s="1652">
        <f>'3.XT-C TT(CA2)'!AJ6</f>
        <v>0</v>
      </c>
      <c r="AI6" s="1635">
        <f>'3.XT-C TT(CA2)'!AL6</f>
        <v>0</v>
      </c>
      <c r="AJ6" s="1525"/>
      <c r="AK6" s="1538"/>
      <c r="AL6" s="1542">
        <f>H6+M6+R6+W6+AB6+AG6</f>
        <v>57.06376749999982</v>
      </c>
      <c r="AM6" s="1542">
        <f>I6+N6+S6+X6+AC6+AH6</f>
        <v>25</v>
      </c>
    </row>
    <row r="7" spans="1:39" ht="23.25" customHeight="1">
      <c r="A7" s="1461">
        <v>2</v>
      </c>
      <c r="B7" s="3262"/>
      <c r="C7" s="3262"/>
      <c r="D7" s="1522" t="s">
        <v>231</v>
      </c>
      <c r="E7" s="1008"/>
      <c r="F7" s="1522" t="s">
        <v>10</v>
      </c>
      <c r="G7" s="1635">
        <f>'3.XT-C TT'!I7</f>
        <v>0</v>
      </c>
      <c r="H7" s="1658">
        <f>'3.XT-C TT'!K7</f>
        <v>12.126380330000025</v>
      </c>
      <c r="I7" s="1652">
        <f>'3.XT-C TT'!AB7</f>
        <v>0</v>
      </c>
      <c r="J7" s="1635">
        <f>'3.XT-C TT'!AD7</f>
        <v>0</v>
      </c>
      <c r="K7" s="1525"/>
      <c r="L7" s="1635">
        <f>'3.XT-C TT'!M7</f>
        <v>0</v>
      </c>
      <c r="M7" s="1658">
        <f>'3.XT-C TT'!O7</f>
        <v>6.9904084999999769</v>
      </c>
      <c r="N7" s="1652">
        <f>'3.XT-C TT'!AF7</f>
        <v>0</v>
      </c>
      <c r="O7" s="1635">
        <f>'3.XT-C TT'!AH7</f>
        <v>0</v>
      </c>
      <c r="P7" s="1525"/>
      <c r="Q7" s="1635">
        <f>'3.XT-C TT'!Q7</f>
        <v>0</v>
      </c>
      <c r="R7" s="1658">
        <f>'3.XT-C TT'!S7</f>
        <v>0</v>
      </c>
      <c r="S7" s="1652">
        <f>'3.XT-C TT'!AJ7</f>
        <v>0</v>
      </c>
      <c r="T7" s="1635">
        <f>'3.XT-C TT'!AL7</f>
        <v>0</v>
      </c>
      <c r="U7" s="1525"/>
      <c r="V7" s="1635">
        <f>'3.XT-C TT(CA2)'!I7</f>
        <v>0</v>
      </c>
      <c r="W7" s="1658">
        <f>'3.XT-C TT(CA2)'!K7</f>
        <v>0.1424460599999679</v>
      </c>
      <c r="X7" s="1652">
        <f>'3.XT-C TT(CA2)'!AB7</f>
        <v>0</v>
      </c>
      <c r="Y7" s="1635">
        <f>'3.XT-C TT(CA2)'!AD7</f>
        <v>0</v>
      </c>
      <c r="Z7" s="1635"/>
      <c r="AA7" s="1635">
        <f>'3.XT-C TT(CA2)'!M7</f>
        <v>0</v>
      </c>
      <c r="AB7" s="1658">
        <f>'3.XT-C TT(CA2)'!O7</f>
        <v>0.1424460599999679</v>
      </c>
      <c r="AC7" s="1652">
        <f>'3.XT-C TT(CA2)'!AF7</f>
        <v>0</v>
      </c>
      <c r="AD7" s="1635">
        <f>'3.XT-C TT(CA2)'!AH7</f>
        <v>0</v>
      </c>
      <c r="AE7" s="1635"/>
      <c r="AF7" s="1635">
        <f>'3.XT-C TT(CA2)'!Q7</f>
        <v>0</v>
      </c>
      <c r="AG7" s="1658">
        <f>'3.XT-C TT(CA2)'!S7</f>
        <v>0</v>
      </c>
      <c r="AH7" s="1652">
        <f>'3.XT-C TT(CA2)'!AJ7</f>
        <v>0</v>
      </c>
      <c r="AI7" s="1635">
        <f>'3.XT-C TT(CA2)'!AL7</f>
        <v>0</v>
      </c>
      <c r="AJ7" s="1525"/>
      <c r="AK7" s="1538"/>
      <c r="AL7" s="1542">
        <f t="shared" ref="AL7:AL22" si="0">H7+M7+R7+W7+AB7+AG7</f>
        <v>19.401680949999939</v>
      </c>
      <c r="AM7" s="1542">
        <f t="shared" ref="AM7:AM22" si="1">I7+N7+S7+X7+AC7+AH7</f>
        <v>0</v>
      </c>
    </row>
    <row r="8" spans="1:39" ht="23.25" customHeight="1">
      <c r="A8" s="1461">
        <v>3</v>
      </c>
      <c r="B8" s="3250" t="s">
        <v>1384</v>
      </c>
      <c r="C8" s="3262"/>
      <c r="D8" s="1522" t="s">
        <v>230</v>
      </c>
      <c r="E8" s="1521" t="s">
        <v>4</v>
      </c>
      <c r="F8" s="1522" t="s">
        <v>1294</v>
      </c>
      <c r="G8" s="1635">
        <f>'3.XT-C TT'!I8</f>
        <v>46.403500000000001</v>
      </c>
      <c r="H8" s="1658">
        <f>'3.XT-C TT'!K8</f>
        <v>41.269837499999987</v>
      </c>
      <c r="I8" s="1652">
        <f>'3.XT-C TT'!AB8</f>
        <v>0</v>
      </c>
      <c r="J8" s="1635">
        <f>'3.XT-C TT'!AD8</f>
        <v>0</v>
      </c>
      <c r="K8" s="1525"/>
      <c r="L8" s="1635">
        <f>'3.XT-C TT'!M8</f>
        <v>47.701499999999996</v>
      </c>
      <c r="M8" s="1658">
        <f>'3.XT-C TT'!O8</f>
        <v>26.375287500000049</v>
      </c>
      <c r="N8" s="1652">
        <f>'3.XT-C TT'!AF8</f>
        <v>25</v>
      </c>
      <c r="O8" s="1635">
        <f>'3.XT-C TT'!AH8</f>
        <v>49.973000000000006</v>
      </c>
      <c r="P8" s="1525"/>
      <c r="Q8" s="1635">
        <f>'3.XT-C TT'!Q8</f>
        <v>49.973000000000006</v>
      </c>
      <c r="R8" s="1658">
        <f>'3.XT-C TT'!S8</f>
        <v>0.30982499999993018</v>
      </c>
      <c r="S8" s="1652">
        <f>'3.XT-C TT'!AJ8</f>
        <v>0</v>
      </c>
      <c r="T8" s="1635">
        <f>'3.XT-C TT'!AL8</f>
        <v>0</v>
      </c>
      <c r="U8" s="1525"/>
      <c r="V8" s="1635">
        <f>'3.XT-C TT(CA2)'!I8</f>
        <v>48.675000000000004</v>
      </c>
      <c r="W8" s="1658">
        <f>'3.XT-C TT(CA2)'!K8</f>
        <v>15.204374999999951</v>
      </c>
      <c r="X8" s="1652">
        <f>'3.XT-C TT(CA2)'!AB8</f>
        <v>15</v>
      </c>
      <c r="Y8" s="1635">
        <f>'3.XT-C TT(CA2)'!AD8</f>
        <v>49</v>
      </c>
      <c r="Z8" s="1635"/>
      <c r="AA8" s="1635">
        <f>'3.XT-C TT(CA2)'!M8</f>
        <v>49.323999999999998</v>
      </c>
      <c r="AB8" s="1658">
        <f>'3.XT-C TT(CA2)'!O8</f>
        <v>7.7571000000000225</v>
      </c>
      <c r="AC8" s="1652">
        <f>'3.XT-C TT(CA2)'!AF8</f>
        <v>0</v>
      </c>
      <c r="AD8" s="1635">
        <f>'3.XT-C TT(CA2)'!AH8</f>
        <v>0</v>
      </c>
      <c r="AE8" s="1635"/>
      <c r="AF8" s="1635">
        <f>'3.XT-C TT(CA2)'!Q8</f>
        <v>51.271000000000001</v>
      </c>
      <c r="AG8" s="1658">
        <f>'3.XT-C TT(CA2)'!S8</f>
        <v>0</v>
      </c>
      <c r="AH8" s="1652">
        <f>'3.XT-C TT(CA2)'!AJ8</f>
        <v>0</v>
      </c>
      <c r="AI8" s="1635">
        <f>'3.XT-C TT(CA2)'!AL8</f>
        <v>0</v>
      </c>
      <c r="AJ8" s="1525"/>
      <c r="AK8" s="1538"/>
      <c r="AL8" s="1542">
        <f t="shared" si="0"/>
        <v>90.916424999999947</v>
      </c>
      <c r="AM8" s="1542">
        <f t="shared" si="1"/>
        <v>40</v>
      </c>
    </row>
    <row r="9" spans="1:39" ht="23.25" customHeight="1">
      <c r="A9" s="1461">
        <v>4</v>
      </c>
      <c r="B9" s="3262"/>
      <c r="C9" s="3262"/>
      <c r="D9" s="1522" t="s">
        <v>231</v>
      </c>
      <c r="E9" s="1008"/>
      <c r="F9" s="1522" t="s">
        <v>10</v>
      </c>
      <c r="G9" s="1635">
        <f>'3.XT-C TT'!I9</f>
        <v>0</v>
      </c>
      <c r="H9" s="1658">
        <f>'3.XT-C TT'!K9</f>
        <v>14.031744749999996</v>
      </c>
      <c r="I9" s="1652">
        <f>'3.XT-C TT'!AB9</f>
        <v>0</v>
      </c>
      <c r="J9" s="1635">
        <f>'3.XT-C TT'!AD9</f>
        <v>0</v>
      </c>
      <c r="K9" s="1525"/>
      <c r="L9" s="1635">
        <f>'3.XT-C TT'!M9</f>
        <v>0</v>
      </c>
      <c r="M9" s="1658">
        <f>'3.XT-C TT'!O9</f>
        <v>8.9675977500000172</v>
      </c>
      <c r="N9" s="1652">
        <f>'3.XT-C TT'!AF9</f>
        <v>0</v>
      </c>
      <c r="O9" s="1635">
        <f>'3.XT-C TT'!AH9</f>
        <v>0</v>
      </c>
      <c r="P9" s="1525"/>
      <c r="Q9" s="1635">
        <f>'3.XT-C TT'!Q9</f>
        <v>0</v>
      </c>
      <c r="R9" s="1658">
        <f>'3.XT-C TT'!S9</f>
        <v>0.10534049999997626</v>
      </c>
      <c r="S9" s="1652">
        <f>'3.XT-C TT'!AJ9</f>
        <v>0</v>
      </c>
      <c r="T9" s="1635">
        <f>'3.XT-C TT'!AL9</f>
        <v>0</v>
      </c>
      <c r="U9" s="1525"/>
      <c r="V9" s="1635">
        <f>'3.XT-C TT(CA2)'!I9</f>
        <v>0</v>
      </c>
      <c r="W9" s="1658">
        <f>'3.XT-C TT(CA2)'!K9</f>
        <v>5.1694874999999829</v>
      </c>
      <c r="X9" s="1652">
        <f>'3.XT-C TT(CA2)'!AB9</f>
        <v>5</v>
      </c>
      <c r="Y9" s="1635">
        <f>'3.XT-C TT(CA2)'!AD9</f>
        <v>0</v>
      </c>
      <c r="Z9" s="1635"/>
      <c r="AA9" s="1635">
        <f>'3.XT-C TT(CA2)'!M9</f>
        <v>0</v>
      </c>
      <c r="AB9" s="1658">
        <f>'3.XT-C TT(CA2)'!O9</f>
        <v>2.6374140000000077</v>
      </c>
      <c r="AC9" s="1652">
        <f>'3.XT-C TT(CA2)'!AF9</f>
        <v>0</v>
      </c>
      <c r="AD9" s="1635">
        <f>'3.XT-C TT(CA2)'!AH9</f>
        <v>0</v>
      </c>
      <c r="AE9" s="1635"/>
      <c r="AF9" s="1635">
        <f>'3.XT-C TT(CA2)'!Q9</f>
        <v>0</v>
      </c>
      <c r="AG9" s="1658">
        <f>'3.XT-C TT(CA2)'!S9</f>
        <v>0</v>
      </c>
      <c r="AH9" s="1652">
        <f>'3.XT-C TT(CA2)'!AJ9</f>
        <v>0</v>
      </c>
      <c r="AI9" s="1635">
        <f>'3.XT-C TT(CA2)'!AL9</f>
        <v>0</v>
      </c>
      <c r="AJ9" s="1525"/>
      <c r="AK9" s="1538"/>
      <c r="AL9" s="1542">
        <f t="shared" si="0"/>
        <v>30.911584499999975</v>
      </c>
      <c r="AM9" s="1542">
        <f t="shared" si="1"/>
        <v>5</v>
      </c>
    </row>
    <row r="10" spans="1:39" ht="23.25" customHeight="1">
      <c r="A10" s="1461">
        <v>5</v>
      </c>
      <c r="B10" s="3250" t="s">
        <v>1383</v>
      </c>
      <c r="C10" s="3262"/>
      <c r="D10" s="1523" t="s">
        <v>232</v>
      </c>
      <c r="E10" s="1521" t="s">
        <v>4</v>
      </c>
      <c r="F10" s="1522" t="s">
        <v>1294</v>
      </c>
      <c r="G10" s="1635">
        <f>'3.XT-C TT'!I10</f>
        <v>58.443000000000005</v>
      </c>
      <c r="H10" s="1658">
        <f>'3.XT-C TT'!K10</f>
        <v>12.767399999999959</v>
      </c>
      <c r="I10" s="1652">
        <f>'3.XT-C TT'!AB10</f>
        <v>0</v>
      </c>
      <c r="J10" s="1635">
        <f>'3.XT-C TT'!AD10</f>
        <v>0</v>
      </c>
      <c r="K10" s="1525"/>
      <c r="L10" s="1635">
        <f>'3.XT-C TT'!M10</f>
        <v>58.211999999999996</v>
      </c>
      <c r="M10" s="1658">
        <f>'3.XT-C TT'!O10</f>
        <v>14.661600000000032</v>
      </c>
      <c r="N10" s="1652">
        <f>'3.XT-C TT'!AF10</f>
        <v>15</v>
      </c>
      <c r="O10" s="1635">
        <f>'3.XT-C TT'!AH10</f>
        <v>64.680000000000007</v>
      </c>
      <c r="P10" s="1525"/>
      <c r="Q10" s="1635">
        <f>'3.XT-C TT'!Q10</f>
        <v>64.680000000000007</v>
      </c>
      <c r="R10" s="1658">
        <f>'3.XT-C TT'!S10</f>
        <v>0</v>
      </c>
      <c r="S10" s="1652">
        <f>'3.XT-C TT'!AJ10</f>
        <v>0</v>
      </c>
      <c r="T10" s="1635">
        <f>'3.XT-C TT'!AL10</f>
        <v>0</v>
      </c>
      <c r="U10" s="1525"/>
      <c r="V10" s="1635">
        <f>'3.XT-C TT(CA2)'!I10</f>
        <v>61.908000000000001</v>
      </c>
      <c r="W10" s="1658">
        <f>'3.XT-C TT(CA2)'!K10</f>
        <v>0</v>
      </c>
      <c r="X10" s="1652">
        <f>'3.XT-C TT(CA2)'!AB10</f>
        <v>0</v>
      </c>
      <c r="Y10" s="1635">
        <f>'3.XT-C TT(CA2)'!AD10</f>
        <v>0</v>
      </c>
      <c r="Z10" s="1635"/>
      <c r="AA10" s="1635">
        <f>'3.XT-C TT(CA2)'!M10</f>
        <v>61.446000000000005</v>
      </c>
      <c r="AB10" s="1658">
        <f>'3.XT-C TT(CA2)'!O10</f>
        <v>0</v>
      </c>
      <c r="AC10" s="1652">
        <f>'3.XT-C TT(CA2)'!AF10</f>
        <v>0</v>
      </c>
      <c r="AD10" s="1635">
        <f>'3.XT-C TT(CA2)'!AH10</f>
        <v>0</v>
      </c>
      <c r="AE10" s="1635"/>
      <c r="AF10" s="1635">
        <f>'3.XT-C TT(CA2)'!Q10</f>
        <v>61.908000000000001</v>
      </c>
      <c r="AG10" s="1658">
        <f>'3.XT-C TT(CA2)'!S10</f>
        <v>0</v>
      </c>
      <c r="AH10" s="1652">
        <f>'3.XT-C TT(CA2)'!AJ10</f>
        <v>0</v>
      </c>
      <c r="AI10" s="1635">
        <f>'3.XT-C TT(CA2)'!AL10</f>
        <v>0</v>
      </c>
      <c r="AJ10" s="1525"/>
      <c r="AK10" s="1538"/>
      <c r="AL10" s="1542">
        <f t="shared" si="0"/>
        <v>27.428999999999991</v>
      </c>
      <c r="AM10" s="1542">
        <f t="shared" si="1"/>
        <v>15</v>
      </c>
    </row>
    <row r="11" spans="1:39" ht="23.25" customHeight="1">
      <c r="A11" s="1461">
        <v>6</v>
      </c>
      <c r="B11" s="3262"/>
      <c r="C11" s="3262"/>
      <c r="D11" s="1523" t="s">
        <v>233</v>
      </c>
      <c r="E11" s="1008"/>
      <c r="F11" s="1522" t="s">
        <v>10</v>
      </c>
      <c r="G11" s="1635">
        <f>'3.XT-C TT'!I11</f>
        <v>0</v>
      </c>
      <c r="H11" s="1658">
        <f>'3.XT-C TT'!K11</f>
        <v>4.085567999999987</v>
      </c>
      <c r="I11" s="1652">
        <f>'3.XT-C TT'!AB11</f>
        <v>0</v>
      </c>
      <c r="J11" s="1635">
        <f>'3.XT-C TT'!AD11</f>
        <v>0</v>
      </c>
      <c r="K11" s="1525"/>
      <c r="L11" s="1635">
        <f>'3.XT-C TT'!M11</f>
        <v>0</v>
      </c>
      <c r="M11" s="1658">
        <f>'3.XT-C TT'!O11</f>
        <v>4.6917120000000105</v>
      </c>
      <c r="N11" s="1652">
        <f>'3.XT-C TT'!AF11</f>
        <v>0</v>
      </c>
      <c r="O11" s="1635">
        <f>'3.XT-C TT'!AH11</f>
        <v>0</v>
      </c>
      <c r="P11" s="1525"/>
      <c r="Q11" s="1635">
        <f>'3.XT-C TT'!Q11</f>
        <v>0</v>
      </c>
      <c r="R11" s="1658">
        <f>'3.XT-C TT'!S11</f>
        <v>0</v>
      </c>
      <c r="S11" s="1652">
        <f>'3.XT-C TT'!AJ11</f>
        <v>0</v>
      </c>
      <c r="T11" s="1635">
        <f>'3.XT-C TT'!AL11</f>
        <v>0</v>
      </c>
      <c r="U11" s="1525"/>
      <c r="V11" s="1635">
        <f>'3.XT-C TT(CA2)'!I11</f>
        <v>0</v>
      </c>
      <c r="W11" s="1658">
        <f>'3.XT-C TT(CA2)'!K11</f>
        <v>0</v>
      </c>
      <c r="X11" s="1652">
        <f>'3.XT-C TT(CA2)'!AB11</f>
        <v>0</v>
      </c>
      <c r="Y11" s="1635">
        <f>'3.XT-C TT(CA2)'!AD11</f>
        <v>0</v>
      </c>
      <c r="Z11" s="1635"/>
      <c r="AA11" s="1635">
        <f>'3.XT-C TT(CA2)'!M11</f>
        <v>0</v>
      </c>
      <c r="AB11" s="1658">
        <f>'3.XT-C TT(CA2)'!O11</f>
        <v>0</v>
      </c>
      <c r="AC11" s="1652">
        <f>'3.XT-C TT(CA2)'!AF11</f>
        <v>0</v>
      </c>
      <c r="AD11" s="1635">
        <f>'3.XT-C TT(CA2)'!AH11</f>
        <v>0</v>
      </c>
      <c r="AE11" s="1635"/>
      <c r="AF11" s="1635">
        <f>'3.XT-C TT(CA2)'!Q11</f>
        <v>0</v>
      </c>
      <c r="AG11" s="1658">
        <f>'3.XT-C TT(CA2)'!S11</f>
        <v>0</v>
      </c>
      <c r="AH11" s="1652">
        <f>'3.XT-C TT(CA2)'!AJ11</f>
        <v>0</v>
      </c>
      <c r="AI11" s="1635">
        <f>'3.XT-C TT(CA2)'!AL11</f>
        <v>0</v>
      </c>
      <c r="AJ11" s="1525"/>
      <c r="AK11" s="1538"/>
      <c r="AL11" s="1542">
        <f t="shared" si="0"/>
        <v>8.7772799999999975</v>
      </c>
      <c r="AM11" s="1542">
        <f t="shared" si="1"/>
        <v>0</v>
      </c>
    </row>
    <row r="12" spans="1:39" ht="23.25" customHeight="1">
      <c r="A12" s="1461">
        <v>7</v>
      </c>
      <c r="B12" s="3250" t="s">
        <v>141</v>
      </c>
      <c r="C12" s="3262"/>
      <c r="D12" s="1523" t="s">
        <v>232</v>
      </c>
      <c r="E12" s="1521" t="s">
        <v>4</v>
      </c>
      <c r="F12" s="1522" t="s">
        <v>1294</v>
      </c>
      <c r="G12" s="1635">
        <f>'3.XT-C TT'!I12</f>
        <v>60.06</v>
      </c>
      <c r="H12" s="1658">
        <f>'3.XT-C TT'!K12</f>
        <v>0</v>
      </c>
      <c r="I12" s="1652">
        <f>'3.XT-C TT'!AB12</f>
        <v>0</v>
      </c>
      <c r="J12" s="1635">
        <f>'3.XT-C TT'!AD12</f>
        <v>0</v>
      </c>
      <c r="K12" s="1525"/>
      <c r="L12" s="1635">
        <f>'3.XT-C TT'!M12</f>
        <v>59.598000000000006</v>
      </c>
      <c r="M12" s="1658">
        <f>'3.XT-C TT'!O12</f>
        <v>3.4845359999999475</v>
      </c>
      <c r="N12" s="1652">
        <f>'3.XT-C TT'!AF12</f>
        <v>10</v>
      </c>
      <c r="O12" s="1635">
        <f>'3.XT-C TT'!AH12</f>
        <v>60.983999999999995</v>
      </c>
      <c r="P12" s="1525"/>
      <c r="Q12" s="1635">
        <f>'3.XT-C TT'!Q12</f>
        <v>60.983999999999995</v>
      </c>
      <c r="R12" s="1658">
        <f>'3.XT-C TT'!S12</f>
        <v>0</v>
      </c>
      <c r="S12" s="1652">
        <f>'3.XT-C TT'!AJ12</f>
        <v>0</v>
      </c>
      <c r="T12" s="1635">
        <f>'3.XT-C TT'!AL12</f>
        <v>0</v>
      </c>
      <c r="U12" s="1525"/>
      <c r="V12" s="1635">
        <f>'3.XT-C TT(CA2)'!I12</f>
        <v>60.06</v>
      </c>
      <c r="W12" s="1658">
        <f>'3.XT-C TT(CA2)'!K12</f>
        <v>0</v>
      </c>
      <c r="X12" s="1652">
        <f>'3.XT-C TT(CA2)'!AB12</f>
        <v>0</v>
      </c>
      <c r="Y12" s="1635">
        <f>'3.XT-C TT(CA2)'!AD12</f>
        <v>0</v>
      </c>
      <c r="Z12" s="1635"/>
      <c r="AA12" s="1635">
        <f>'3.XT-C TT(CA2)'!M12</f>
        <v>60.06</v>
      </c>
      <c r="AB12" s="1658">
        <f>'3.XT-C TT(CA2)'!O12</f>
        <v>0</v>
      </c>
      <c r="AC12" s="1652">
        <f>'3.XT-C TT(CA2)'!AF12</f>
        <v>0</v>
      </c>
      <c r="AD12" s="1635">
        <f>'3.XT-C TT(CA2)'!AH12</f>
        <v>0</v>
      </c>
      <c r="AE12" s="1635"/>
      <c r="AF12" s="1635">
        <f>'3.XT-C TT(CA2)'!Q12</f>
        <v>60.06</v>
      </c>
      <c r="AG12" s="1658">
        <f>'3.XT-C TT(CA2)'!S12</f>
        <v>0</v>
      </c>
      <c r="AH12" s="1652">
        <f>'3.XT-C TT(CA2)'!AJ12</f>
        <v>0</v>
      </c>
      <c r="AI12" s="1635">
        <f>'3.XT-C TT(CA2)'!AL12</f>
        <v>0</v>
      </c>
      <c r="AJ12" s="1525"/>
      <c r="AK12" s="1538"/>
      <c r="AL12" s="1542">
        <f t="shared" si="0"/>
        <v>3.4845359999999475</v>
      </c>
      <c r="AM12" s="1542">
        <f t="shared" si="1"/>
        <v>10</v>
      </c>
    </row>
    <row r="13" spans="1:39" ht="23.25" customHeight="1">
      <c r="A13" s="1461">
        <v>8</v>
      </c>
      <c r="B13" s="3262"/>
      <c r="C13" s="3262"/>
      <c r="D13" s="1523" t="s">
        <v>233</v>
      </c>
      <c r="E13" s="1008"/>
      <c r="F13" s="1522" t="s">
        <v>10</v>
      </c>
      <c r="G13" s="1635">
        <f>'3.XT-C TT'!I13</f>
        <v>0</v>
      </c>
      <c r="H13" s="1658">
        <f>'3.XT-C TT'!K13</f>
        <v>0</v>
      </c>
      <c r="I13" s="1652">
        <f>'3.XT-C TT'!AB13</f>
        <v>0</v>
      </c>
      <c r="J13" s="1635">
        <f>'3.XT-C TT'!AD13</f>
        <v>0</v>
      </c>
      <c r="K13" s="1525"/>
      <c r="L13" s="1635">
        <f>'3.XT-C TT'!M13</f>
        <v>0</v>
      </c>
      <c r="M13" s="1658">
        <f>'3.XT-C TT'!O13</f>
        <v>1.1150515199999831</v>
      </c>
      <c r="N13" s="1652">
        <f>'3.XT-C TT'!AF13</f>
        <v>0</v>
      </c>
      <c r="O13" s="1635">
        <f>'3.XT-C TT'!AH13</f>
        <v>0</v>
      </c>
      <c r="P13" s="1525"/>
      <c r="Q13" s="1635">
        <f>'3.XT-C TT'!Q13</f>
        <v>0</v>
      </c>
      <c r="R13" s="1658">
        <f>'3.XT-C TT'!S13</f>
        <v>0</v>
      </c>
      <c r="S13" s="1652">
        <f>'3.XT-C TT'!AJ13</f>
        <v>0</v>
      </c>
      <c r="T13" s="1635">
        <f>'3.XT-C TT'!AL13</f>
        <v>0</v>
      </c>
      <c r="U13" s="1525"/>
      <c r="V13" s="1635">
        <f>'3.XT-C TT(CA2)'!I13</f>
        <v>0</v>
      </c>
      <c r="W13" s="1658">
        <f>'3.XT-C TT(CA2)'!K13</f>
        <v>0</v>
      </c>
      <c r="X13" s="1652">
        <f>'3.XT-C TT(CA2)'!AB13</f>
        <v>0</v>
      </c>
      <c r="Y13" s="1635">
        <f>'3.XT-C TT(CA2)'!AD13</f>
        <v>0</v>
      </c>
      <c r="Z13" s="1635"/>
      <c r="AA13" s="1635">
        <f>'3.XT-C TT(CA2)'!M13</f>
        <v>0</v>
      </c>
      <c r="AB13" s="1658">
        <f>'3.XT-C TT(CA2)'!O13</f>
        <v>0</v>
      </c>
      <c r="AC13" s="1652">
        <f>'3.XT-C TT(CA2)'!AF13</f>
        <v>0</v>
      </c>
      <c r="AD13" s="1635">
        <f>'3.XT-C TT(CA2)'!AH13</f>
        <v>0</v>
      </c>
      <c r="AE13" s="1635"/>
      <c r="AF13" s="1635">
        <f>'3.XT-C TT(CA2)'!Q13</f>
        <v>0</v>
      </c>
      <c r="AG13" s="1658">
        <f>'3.XT-C TT(CA2)'!S13</f>
        <v>0</v>
      </c>
      <c r="AH13" s="1652">
        <f>'3.XT-C TT(CA2)'!AJ13</f>
        <v>0</v>
      </c>
      <c r="AI13" s="1635">
        <f>'3.XT-C TT(CA2)'!AL13</f>
        <v>0</v>
      </c>
      <c r="AJ13" s="1525"/>
      <c r="AK13" s="1538"/>
      <c r="AL13" s="1542">
        <f t="shared" si="0"/>
        <v>1.1150515199999831</v>
      </c>
      <c r="AM13" s="1542">
        <f t="shared" si="1"/>
        <v>0</v>
      </c>
    </row>
    <row r="14" spans="1:39" ht="23.25" customHeight="1">
      <c r="A14" s="1461">
        <v>9</v>
      </c>
      <c r="B14" s="3148" t="s">
        <v>1382</v>
      </c>
      <c r="C14" s="3326" t="s">
        <v>1381</v>
      </c>
      <c r="D14" s="3327"/>
      <c r="E14" s="1521" t="s">
        <v>4</v>
      </c>
      <c r="F14" s="1522" t="s">
        <v>1294</v>
      </c>
      <c r="G14" s="1635">
        <f>'3.XT-C TT'!I14</f>
        <v>138</v>
      </c>
      <c r="H14" s="1658">
        <f>'3.XT-C TT'!K14</f>
        <v>106.13200000000001</v>
      </c>
      <c r="I14" s="1652">
        <f>'3.XT-C TT'!AB14</f>
        <v>0</v>
      </c>
      <c r="J14" s="1635">
        <f>'3.XT-C TT'!AD14</f>
        <v>0</v>
      </c>
      <c r="K14" s="1525"/>
      <c r="L14" s="1635">
        <f>'3.XT-C TT'!M14</f>
        <v>140</v>
      </c>
      <c r="M14" s="1658">
        <f>'3.XT-C TT'!O14</f>
        <v>0</v>
      </c>
      <c r="N14" s="1652">
        <f>'3.XT-C TT'!AF14</f>
        <v>0</v>
      </c>
      <c r="O14" s="1635">
        <f>'3.XT-C TT'!AH14</f>
        <v>0</v>
      </c>
      <c r="P14" s="1525"/>
      <c r="Q14" s="1635">
        <f>'3.XT-C TT'!Q14</f>
        <v>137.6</v>
      </c>
      <c r="R14" s="1658">
        <f>'3.XT-C TT'!S14</f>
        <v>127.3584000000003</v>
      </c>
      <c r="S14" s="1652">
        <f>'3.XT-C TT'!AJ14</f>
        <v>75</v>
      </c>
      <c r="T14" s="1635">
        <f>'3.XT-C TT'!AL14</f>
        <v>138.19999999999999</v>
      </c>
      <c r="U14" s="1525"/>
      <c r="V14" s="1635">
        <f>'3.XT-C TT(CA2)'!I14</f>
        <v>140</v>
      </c>
      <c r="W14" s="1658">
        <f>'3.XT-C TT(CA2)'!K14</f>
        <v>0</v>
      </c>
      <c r="X14" s="1652">
        <f>'3.XT-C TT(CA2)'!AB14</f>
        <v>0</v>
      </c>
      <c r="Y14" s="1635">
        <f>'3.XT-C TT(CA2)'!AD14</f>
        <v>0</v>
      </c>
      <c r="Z14" s="1635"/>
      <c r="AA14" s="1635">
        <f>'3.XT-C TT(CA2)'!M14</f>
        <v>140</v>
      </c>
      <c r="AB14" s="1658">
        <f>'3.XT-C TT(CA2)'!O14</f>
        <v>0</v>
      </c>
      <c r="AC14" s="1652">
        <f>'3.XT-C TT(CA2)'!AF14</f>
        <v>0</v>
      </c>
      <c r="AD14" s="1635">
        <f>'3.XT-C TT(CA2)'!AH14</f>
        <v>0</v>
      </c>
      <c r="AE14" s="1635"/>
      <c r="AF14" s="1635">
        <f>'3.XT-C TT(CA2)'!Q14</f>
        <v>139.19999999999999</v>
      </c>
      <c r="AG14" s="1658">
        <f>'3.XT-C TT(CA2)'!S14</f>
        <v>42.452800000000607</v>
      </c>
      <c r="AH14" s="1652">
        <f>'3.XT-C TT(CA2)'!AJ14</f>
        <v>50</v>
      </c>
      <c r="AI14" s="1635">
        <f>'3.XT-C TT(CA2)'!AL14</f>
        <v>140</v>
      </c>
      <c r="AJ14" s="1525"/>
      <c r="AK14" s="1538"/>
      <c r="AL14" s="1542">
        <f t="shared" si="0"/>
        <v>275.9432000000009</v>
      </c>
      <c r="AM14" s="1542">
        <f t="shared" si="1"/>
        <v>125</v>
      </c>
    </row>
    <row r="15" spans="1:39" ht="23.25" customHeight="1">
      <c r="A15" s="1461">
        <v>10</v>
      </c>
      <c r="B15" s="3404"/>
      <c r="C15" s="3326" t="s">
        <v>1380</v>
      </c>
      <c r="D15" s="3327"/>
      <c r="E15" s="1521" t="s">
        <v>4</v>
      </c>
      <c r="F15" s="1522" t="s">
        <v>1294</v>
      </c>
      <c r="G15" s="1635">
        <f>'3.XT-C TT'!I15</f>
        <v>8.4500000000000011</v>
      </c>
      <c r="H15" s="1658">
        <f>'3.XT-C TT'!K15</f>
        <v>2.6532999999999434</v>
      </c>
      <c r="I15" s="1652">
        <f>'3.XT-C TT'!AB15</f>
        <v>0</v>
      </c>
      <c r="J15" s="1635">
        <f>'3.XT-C TT'!AD15</f>
        <v>0</v>
      </c>
      <c r="K15" s="1525"/>
      <c r="L15" s="1635">
        <f>'3.XT-C TT'!M15</f>
        <v>8.4500000000000011</v>
      </c>
      <c r="M15" s="1658">
        <f>'3.XT-C TT'!O15</f>
        <v>2.6532999999999434</v>
      </c>
      <c r="N15" s="1652">
        <f>'3.XT-C TT'!AF15</f>
        <v>0</v>
      </c>
      <c r="O15" s="1635">
        <f>'3.XT-C TT'!AH15</f>
        <v>0</v>
      </c>
      <c r="P15" s="1525"/>
      <c r="Q15" s="1635">
        <f>'3.XT-C TT'!Q15</f>
        <v>8.3849999999999998</v>
      </c>
      <c r="R15" s="1658">
        <f>'3.XT-C TT'!S15</f>
        <v>6.1025900000000108</v>
      </c>
      <c r="S15" s="1652">
        <f>'3.XT-C TT'!AJ15</f>
        <v>0</v>
      </c>
      <c r="T15" s="1635">
        <f>'3.XT-C TT'!AL15</f>
        <v>0</v>
      </c>
      <c r="U15" s="1525"/>
      <c r="V15" s="1635">
        <f>'3.XT-C TT(CA2)'!I15</f>
        <v>8.5150000000000006</v>
      </c>
      <c r="W15" s="1658">
        <f>'3.XT-C TT(CA2)'!K15</f>
        <v>0</v>
      </c>
      <c r="X15" s="1652">
        <f>'3.XT-C TT(CA2)'!AB15</f>
        <v>0</v>
      </c>
      <c r="Y15" s="1635">
        <f>'3.XT-C TT(CA2)'!AD15</f>
        <v>0</v>
      </c>
      <c r="Z15" s="1635"/>
      <c r="AA15" s="1635">
        <f>'3.XT-C TT(CA2)'!M15</f>
        <v>8.4500000000000011</v>
      </c>
      <c r="AB15" s="1658">
        <f>'3.XT-C TT(CA2)'!O15</f>
        <v>2.6532999999999434</v>
      </c>
      <c r="AC15" s="1652">
        <f>'3.XT-C TT(CA2)'!AF15</f>
        <v>0</v>
      </c>
      <c r="AD15" s="1635">
        <f>'3.XT-C TT(CA2)'!AH15</f>
        <v>0</v>
      </c>
      <c r="AE15" s="1635"/>
      <c r="AF15" s="1635">
        <f>'3.XT-C TT(CA2)'!Q15</f>
        <v>8.32</v>
      </c>
      <c r="AG15" s="1658">
        <f>'3.XT-C TT(CA2)'!S15</f>
        <v>9.5518799999999846</v>
      </c>
      <c r="AH15" s="1652">
        <f>'3.XT-C TT(CA2)'!AJ15</f>
        <v>0</v>
      </c>
      <c r="AI15" s="1635">
        <f>'3.XT-C TT(CA2)'!AL15</f>
        <v>0</v>
      </c>
      <c r="AJ15" s="1525"/>
      <c r="AK15" s="1538"/>
      <c r="AL15" s="1542">
        <f t="shared" si="0"/>
        <v>23.614369999999823</v>
      </c>
      <c r="AM15" s="1542">
        <f t="shared" si="1"/>
        <v>0</v>
      </c>
    </row>
    <row r="16" spans="1:39" s="7" customFormat="1" ht="23.25" customHeight="1">
      <c r="A16" s="1461">
        <v>11</v>
      </c>
      <c r="B16" s="3333" t="s">
        <v>1379</v>
      </c>
      <c r="C16" s="3403"/>
      <c r="D16" s="3403"/>
      <c r="E16" s="1522" t="s">
        <v>3</v>
      </c>
      <c r="F16" s="1522" t="s">
        <v>10</v>
      </c>
      <c r="G16" s="1635">
        <f>'3.XT-C TT'!I16</f>
        <v>6.4957600000000006</v>
      </c>
      <c r="H16" s="1658">
        <f>'3.XT-C TT'!K16</f>
        <v>0</v>
      </c>
      <c r="I16" s="1652">
        <f>'3.XT-C TT'!AB16</f>
        <v>0</v>
      </c>
      <c r="J16" s="1635">
        <f>'3.XT-C TT'!AD16</f>
        <v>0</v>
      </c>
      <c r="K16" s="1525"/>
      <c r="L16" s="1635">
        <f>'3.XT-C TT'!M16</f>
        <v>6.4745750000000006</v>
      </c>
      <c r="M16" s="1658">
        <f>'3.XT-C TT'!O16</f>
        <v>0</v>
      </c>
      <c r="N16" s="1652">
        <f>'3.XT-C TT'!AF16</f>
        <v>0</v>
      </c>
      <c r="O16" s="1635">
        <f>'3.XT-C TT'!AH16</f>
        <v>0</v>
      </c>
      <c r="P16" s="1525"/>
      <c r="Q16" s="1635">
        <f>'3.XT-C TT'!Q16</f>
        <v>6.1568000000000005</v>
      </c>
      <c r="R16" s="1658">
        <f>'3.XT-C TT'!S16</f>
        <v>0</v>
      </c>
      <c r="S16" s="1652">
        <f>'3.XT-C TT'!AJ16</f>
        <v>0</v>
      </c>
      <c r="T16" s="1635">
        <f>'3.XT-C TT'!AL16</f>
        <v>0</v>
      </c>
      <c r="U16" s="1525"/>
      <c r="V16" s="1635">
        <f>'3.XT-C TT(CA2)'!I16</f>
        <v>6.2839100000000006</v>
      </c>
      <c r="W16" s="1658">
        <f>'3.XT-C TT(CA2)'!K16</f>
        <v>0</v>
      </c>
      <c r="X16" s="1652">
        <f>'3.XT-C TT(CA2)'!AB16</f>
        <v>0</v>
      </c>
      <c r="Y16" s="1635">
        <f>'3.XT-C TT(CA2)'!AD16</f>
        <v>0</v>
      </c>
      <c r="Z16" s="1635"/>
      <c r="AA16" s="1635">
        <f>'3.XT-C TT(CA2)'!M16</f>
        <v>6.2415399999999996</v>
      </c>
      <c r="AB16" s="1658">
        <f>'3.XT-C TT(CA2)'!O16</f>
        <v>0</v>
      </c>
      <c r="AC16" s="1652">
        <f>'3.XT-C TT(CA2)'!AF16</f>
        <v>0</v>
      </c>
      <c r="AD16" s="1635">
        <f>'3.XT-C TT(CA2)'!AH16</f>
        <v>0</v>
      </c>
      <c r="AE16" s="1635"/>
      <c r="AF16" s="1635">
        <f>'3.XT-C TT(CA2)'!Q16</f>
        <v>6.3262799999999997</v>
      </c>
      <c r="AG16" s="1658">
        <f>'3.XT-C TT(CA2)'!S16</f>
        <v>0</v>
      </c>
      <c r="AH16" s="1652">
        <f>'3.XT-C TT(CA2)'!AJ16</f>
        <v>0</v>
      </c>
      <c r="AI16" s="1635">
        <f>'3.XT-C TT(CA2)'!AL16</f>
        <v>0</v>
      </c>
      <c r="AJ16" s="1525"/>
      <c r="AK16" s="1538"/>
      <c r="AL16" s="1542">
        <f t="shared" si="0"/>
        <v>0</v>
      </c>
      <c r="AM16" s="1542">
        <f t="shared" si="1"/>
        <v>0</v>
      </c>
    </row>
    <row r="17" spans="1:40" ht="23.25" customHeight="1">
      <c r="A17" s="1461">
        <v>13</v>
      </c>
      <c r="B17" s="3319" t="s">
        <v>1378</v>
      </c>
      <c r="C17" s="3320"/>
      <c r="D17" s="3320"/>
      <c r="E17" s="1522" t="s">
        <v>1396</v>
      </c>
      <c r="F17" s="1522" t="s">
        <v>10</v>
      </c>
      <c r="G17" s="1635">
        <f>'3.XT-C TT'!I17</f>
        <v>2.2000000000000002</v>
      </c>
      <c r="H17" s="1658">
        <f>'3.XT-C TT'!K17</f>
        <v>0</v>
      </c>
      <c r="I17" s="1652">
        <f>'3.XT-C TT'!AB17</f>
        <v>0</v>
      </c>
      <c r="J17" s="1635">
        <f>'3.XT-C TT'!AD17</f>
        <v>0</v>
      </c>
      <c r="K17" s="1525"/>
      <c r="L17" s="1635">
        <f>'3.XT-C TT'!M17</f>
        <v>2.1800000000000002</v>
      </c>
      <c r="M17" s="1658">
        <f>'3.XT-C TT'!O17</f>
        <v>0</v>
      </c>
      <c r="N17" s="1652">
        <f>'3.XT-C TT'!AF17</f>
        <v>0</v>
      </c>
      <c r="O17" s="1635">
        <f>'3.XT-C TT'!AH17</f>
        <v>0</v>
      </c>
      <c r="P17" s="1525"/>
      <c r="Q17" s="1635">
        <f>'3.XT-C TT'!Q17</f>
        <v>2.2000000000000002</v>
      </c>
      <c r="R17" s="1658">
        <f>'3.XT-C TT'!S17</f>
        <v>0</v>
      </c>
      <c r="S17" s="1652">
        <f>'3.XT-C TT'!AJ17</f>
        <v>0</v>
      </c>
      <c r="T17" s="1635">
        <f>'3.XT-C TT'!AL17</f>
        <v>0</v>
      </c>
      <c r="U17" s="1525"/>
      <c r="V17" s="1635">
        <f>'3.XT-C TT(CA2)'!I17</f>
        <v>2.1800000000000002</v>
      </c>
      <c r="W17" s="1658">
        <f>'3.XT-C TT(CA2)'!K17</f>
        <v>0</v>
      </c>
      <c r="X17" s="1652">
        <f>'3.XT-C TT(CA2)'!AB17</f>
        <v>0</v>
      </c>
      <c r="Y17" s="1635">
        <f>'3.XT-C TT(CA2)'!AD17</f>
        <v>0</v>
      </c>
      <c r="Z17" s="1635"/>
      <c r="AA17" s="1635">
        <f>'3.XT-C TT(CA2)'!M17</f>
        <v>2.15</v>
      </c>
      <c r="AB17" s="1658">
        <f>'3.XT-C TT(CA2)'!O17</f>
        <v>0</v>
      </c>
      <c r="AC17" s="1652">
        <f>'3.XT-C TT(CA2)'!AF17</f>
        <v>0</v>
      </c>
      <c r="AD17" s="1635">
        <f>'3.XT-C TT(CA2)'!AH17</f>
        <v>0</v>
      </c>
      <c r="AE17" s="1635"/>
      <c r="AF17" s="1635">
        <f>'3.XT-C TT(CA2)'!Q17</f>
        <v>2.1800000000000002</v>
      </c>
      <c r="AG17" s="1658">
        <f>'3.XT-C TT(CA2)'!S17</f>
        <v>0</v>
      </c>
      <c r="AH17" s="1652">
        <f>'3.XT-C TT(CA2)'!AJ17</f>
        <v>0</v>
      </c>
      <c r="AI17" s="1635">
        <f>'3.XT-C TT(CA2)'!AL17</f>
        <v>0</v>
      </c>
      <c r="AJ17" s="1525"/>
      <c r="AK17" s="1538"/>
      <c r="AL17" s="1542">
        <f t="shared" si="0"/>
        <v>0</v>
      </c>
      <c r="AM17" s="1542">
        <f t="shared" si="1"/>
        <v>0</v>
      </c>
    </row>
    <row r="18" spans="1:40" ht="23.25" customHeight="1">
      <c r="A18" s="1461">
        <v>14</v>
      </c>
      <c r="B18" s="3319" t="s">
        <v>1377</v>
      </c>
      <c r="C18" s="3320"/>
      <c r="D18" s="3320"/>
      <c r="E18" s="1522" t="s">
        <v>1396</v>
      </c>
      <c r="F18" s="1522" t="s">
        <v>10</v>
      </c>
      <c r="G18" s="1635">
        <f>'3.XT-C TT'!I19</f>
        <v>0</v>
      </c>
      <c r="H18" s="1658">
        <f>'3.XT-C TT'!K19</f>
        <v>0</v>
      </c>
      <c r="I18" s="1652">
        <f>'3.XT-C TT'!AB19</f>
        <v>0</v>
      </c>
      <c r="J18" s="1635">
        <f>'3.XT-C TT'!AD19</f>
        <v>0</v>
      </c>
      <c r="K18" s="1525"/>
      <c r="L18" s="1635">
        <f>'3.XT-C TT'!M19</f>
        <v>0</v>
      </c>
      <c r="M18" s="1658">
        <f>'3.XT-C TT'!O19</f>
        <v>0</v>
      </c>
      <c r="N18" s="1652">
        <f>'3.XT-C TT'!AF19</f>
        <v>0</v>
      </c>
      <c r="O18" s="1635">
        <f>'3.XT-C TT'!AH19</f>
        <v>0</v>
      </c>
      <c r="P18" s="1525"/>
      <c r="Q18" s="1635">
        <f>'3.XT-C TT'!Q19</f>
        <v>0</v>
      </c>
      <c r="R18" s="1658">
        <f>'3.XT-C TT'!S19</f>
        <v>0</v>
      </c>
      <c r="S18" s="1652">
        <f>'3.XT-C TT'!AJ19</f>
        <v>0</v>
      </c>
      <c r="T18" s="1635">
        <f>'3.XT-C TT'!AL19</f>
        <v>0</v>
      </c>
      <c r="U18" s="1525"/>
      <c r="V18" s="1635">
        <f>'3.XT-C TT(CA2)'!I18</f>
        <v>0.41062500000000002</v>
      </c>
      <c r="W18" s="1658">
        <f>'3.XT-C TT(CA2)'!K18</f>
        <v>127.33874999999998</v>
      </c>
      <c r="X18" s="1652">
        <f>'3.XT-C TT(CA2)'!AB18</f>
        <v>100</v>
      </c>
      <c r="Y18" s="1635">
        <f>'3.XT-C TT(CA2)'!AD18</f>
        <v>42.7</v>
      </c>
      <c r="Z18" s="1635"/>
      <c r="AA18" s="1635">
        <f>'3.XT-C TT(CA2)'!M18</f>
        <v>0.42887499999999995</v>
      </c>
      <c r="AB18" s="1658">
        <f>'3.XT-C TT(CA2)'!O18</f>
        <v>68.318250000000191</v>
      </c>
      <c r="AC18" s="1652">
        <f>'3.XT-C TT(CA2)'!AF18</f>
        <v>0</v>
      </c>
      <c r="AD18" s="1635">
        <f>'3.XT-C TT(CA2)'!AH18</f>
        <v>0</v>
      </c>
      <c r="AE18" s="1635"/>
      <c r="AF18" s="1635">
        <f>'3.XT-C TT(CA2)'!Q18</f>
        <v>0.42431249999999998</v>
      </c>
      <c r="AG18" s="1658">
        <f>'3.XT-C TT(CA2)'!S18</f>
        <v>83.073375000000098</v>
      </c>
      <c r="AH18" s="1652">
        <f>'3.XT-C TT(CA2)'!AJ18</f>
        <v>0</v>
      </c>
      <c r="AI18" s="1635">
        <f>'3.XT-C TT(CA2)'!AL18</f>
        <v>0</v>
      </c>
      <c r="AJ18" s="1525"/>
      <c r="AK18" s="1538"/>
      <c r="AL18" s="1542">
        <f t="shared" si="0"/>
        <v>278.73037500000027</v>
      </c>
      <c r="AM18" s="1542">
        <f t="shared" si="1"/>
        <v>100</v>
      </c>
    </row>
    <row r="19" spans="1:40" ht="23.25" customHeight="1">
      <c r="A19" s="1461">
        <v>15</v>
      </c>
      <c r="B19" s="3319" t="s">
        <v>1376</v>
      </c>
      <c r="C19" s="3320"/>
      <c r="D19" s="3320"/>
      <c r="E19" s="1522" t="s">
        <v>1396</v>
      </c>
      <c r="F19" s="1522" t="s">
        <v>10</v>
      </c>
      <c r="G19" s="1635">
        <f>'3.XT-C TT'!I21</f>
        <v>0.46993750000000001</v>
      </c>
      <c r="H19" s="1658">
        <f>'3.XT-C TT'!K21</f>
        <v>0</v>
      </c>
      <c r="I19" s="1652">
        <f>'3.XT-C TT'!AB21</f>
        <v>0</v>
      </c>
      <c r="J19" s="1635">
        <f>'3.XT-C TT'!AD21</f>
        <v>0</v>
      </c>
      <c r="K19" s="1525"/>
      <c r="L19" s="1635">
        <f>'3.XT-C TT'!M21</f>
        <v>0.46993750000000001</v>
      </c>
      <c r="M19" s="1658">
        <f>'3.XT-C TT'!O21</f>
        <v>0</v>
      </c>
      <c r="N19" s="1652">
        <f>'3.XT-C TT'!AF21</f>
        <v>0</v>
      </c>
      <c r="O19" s="1635">
        <f>'3.XT-C TT'!AH21</f>
        <v>0</v>
      </c>
      <c r="P19" s="1525"/>
      <c r="Q19" s="1635">
        <f>'3.XT-C TT'!Q21</f>
        <v>0.47906250000000006</v>
      </c>
      <c r="R19" s="1658">
        <f>'3.XT-C TT'!S21</f>
        <v>0</v>
      </c>
      <c r="S19" s="1652">
        <f>'3.XT-C TT'!AJ21</f>
        <v>0</v>
      </c>
      <c r="T19" s="1635">
        <f>'3.XT-C TT'!AL21</f>
        <v>0</v>
      </c>
      <c r="U19" s="1525"/>
      <c r="V19" s="1635">
        <f>'3.XT-C TT(CA2)'!I20</f>
        <v>0.46993750000000001</v>
      </c>
      <c r="W19" s="1658">
        <f>'3.XT-C TT(CA2)'!K20</f>
        <v>0</v>
      </c>
      <c r="X19" s="1652">
        <f>'3.XT-C TT(CA2)'!AB20</f>
        <v>0</v>
      </c>
      <c r="Y19" s="1635">
        <f>'3.XT-C TT(CA2)'!AD20</f>
        <v>0</v>
      </c>
      <c r="Z19" s="1635"/>
      <c r="AA19" s="1635">
        <f>'3.XT-C TT(CA2)'!M20</f>
        <v>0.46537500000000004</v>
      </c>
      <c r="AB19" s="1658">
        <f>'3.XT-C TT(CA2)'!O20</f>
        <v>0</v>
      </c>
      <c r="AC19" s="1652">
        <f>'3.XT-C TT(CA2)'!AF20</f>
        <v>0</v>
      </c>
      <c r="AD19" s="1635">
        <f>'3.XT-C TT(CA2)'!AH20</f>
        <v>0</v>
      </c>
      <c r="AE19" s="1635"/>
      <c r="AF19" s="1635">
        <f>'3.XT-C TT(CA2)'!Q20</f>
        <v>0.46081249999999996</v>
      </c>
      <c r="AG19" s="1658">
        <f>'3.XT-C TT(CA2)'!S20</f>
        <v>0</v>
      </c>
      <c r="AH19" s="1652">
        <f>'3.XT-C TT(CA2)'!AJ20</f>
        <v>0</v>
      </c>
      <c r="AI19" s="1635">
        <f>'3.XT-C TT(CA2)'!AL20</f>
        <v>0</v>
      </c>
      <c r="AJ19" s="1525"/>
      <c r="AK19" s="1538"/>
      <c r="AL19" s="1542">
        <f t="shared" si="0"/>
        <v>0</v>
      </c>
      <c r="AM19" s="1542">
        <f t="shared" si="1"/>
        <v>0</v>
      </c>
    </row>
    <row r="20" spans="1:40" ht="23.25" customHeight="1">
      <c r="A20" s="1461">
        <v>16</v>
      </c>
      <c r="B20" s="3319" t="s">
        <v>1375</v>
      </c>
      <c r="C20" s="3320" t="s">
        <v>980</v>
      </c>
      <c r="D20" s="3320" t="s">
        <v>980</v>
      </c>
      <c r="E20" s="1522" t="s">
        <v>1396</v>
      </c>
      <c r="F20" s="1522" t="s">
        <v>10</v>
      </c>
      <c r="G20" s="1635" t="e">
        <f>'3.XT-C TT'!#REF!</f>
        <v>#REF!</v>
      </c>
      <c r="H20" s="1658" t="e">
        <f>'3.XT-C TT'!#REF!</f>
        <v>#REF!</v>
      </c>
      <c r="I20" s="1652" t="e">
        <f>'3.XT-C TT'!#REF!</f>
        <v>#REF!</v>
      </c>
      <c r="J20" s="1635" t="e">
        <f>'3.XT-C TT'!#REF!</f>
        <v>#REF!</v>
      </c>
      <c r="K20" s="1525"/>
      <c r="L20" s="1635" t="e">
        <f>'3.XT-C TT'!#REF!</f>
        <v>#REF!</v>
      </c>
      <c r="M20" s="1658" t="e">
        <f>'3.XT-C TT'!#REF!</f>
        <v>#REF!</v>
      </c>
      <c r="N20" s="1652" t="e">
        <f>'3.XT-C TT'!#REF!</f>
        <v>#REF!</v>
      </c>
      <c r="O20" s="1635" t="e">
        <f>'3.XT-C TT'!#REF!</f>
        <v>#REF!</v>
      </c>
      <c r="P20" s="1525"/>
      <c r="Q20" s="1635" t="e">
        <f>'3.XT-C TT'!#REF!</f>
        <v>#REF!</v>
      </c>
      <c r="R20" s="1658" t="e">
        <f>'3.XT-C TT'!#REF!</f>
        <v>#REF!</v>
      </c>
      <c r="S20" s="1652" t="e">
        <f>'3.XT-C TT'!#REF!</f>
        <v>#REF!</v>
      </c>
      <c r="T20" s="1635" t="e">
        <f>'3.XT-C TT'!#REF!</f>
        <v>#REF!</v>
      </c>
      <c r="U20" s="1525"/>
      <c r="V20" s="1635">
        <f>'3.XT-C TT(CA2)'!I21</f>
        <v>0.47906250000000006</v>
      </c>
      <c r="W20" s="1658">
        <f>'3.XT-C TT(CA2)'!K21</f>
        <v>0</v>
      </c>
      <c r="X20" s="1652">
        <f>'3.XT-C TT(CA2)'!AB21</f>
        <v>0</v>
      </c>
      <c r="Y20" s="1635">
        <f>'3.XT-C TT(CA2)'!AD21</f>
        <v>0</v>
      </c>
      <c r="Z20" s="1635"/>
      <c r="AA20" s="1635">
        <f>'3.XT-C TT(CA2)'!M21</f>
        <v>0.47906250000000006</v>
      </c>
      <c r="AB20" s="1658">
        <f>'3.XT-C TT(CA2)'!O21</f>
        <v>0</v>
      </c>
      <c r="AC20" s="1652">
        <f>'3.XT-C TT(CA2)'!AF21</f>
        <v>0</v>
      </c>
      <c r="AD20" s="1635">
        <f>'3.XT-C TT(CA2)'!AH21</f>
        <v>0</v>
      </c>
      <c r="AE20" s="1635"/>
      <c r="AF20" s="1635">
        <f>'3.XT-C TT(CA2)'!Q21</f>
        <v>0.46993750000000001</v>
      </c>
      <c r="AG20" s="1658">
        <f>'3.XT-C TT(CA2)'!S21</f>
        <v>0</v>
      </c>
      <c r="AH20" s="1652">
        <f>'3.XT-C TT(CA2)'!AJ21</f>
        <v>0</v>
      </c>
      <c r="AI20" s="1635">
        <f>'3.XT-C TT(CA2)'!AL21</f>
        <v>0</v>
      </c>
      <c r="AJ20" s="1525"/>
      <c r="AK20" s="1538"/>
      <c r="AL20" s="1542" t="e">
        <f t="shared" si="0"/>
        <v>#REF!</v>
      </c>
      <c r="AM20" s="1542" t="e">
        <f t="shared" si="1"/>
        <v>#REF!</v>
      </c>
    </row>
    <row r="21" spans="1:40" s="19" customFormat="1" ht="23.25" customHeight="1">
      <c r="A21" s="1602">
        <v>17</v>
      </c>
      <c r="B21" s="3083" t="s">
        <v>1374</v>
      </c>
      <c r="C21" s="3084"/>
      <c r="D21" s="3084"/>
      <c r="E21" s="1664" t="s">
        <v>3</v>
      </c>
      <c r="F21" s="1664" t="s">
        <v>10</v>
      </c>
      <c r="G21" s="1665">
        <f>'3.XT-C TT'!I22</f>
        <v>6.6779999999999999E-3</v>
      </c>
      <c r="H21" s="1666">
        <f>'3.XT-C TT'!K22</f>
        <v>9.5040000000000013</v>
      </c>
      <c r="I21" s="1667">
        <f>'3.XT-C TT'!AB22</f>
        <v>0</v>
      </c>
      <c r="J21" s="1635">
        <f>'3.XT-C TT'!AD22</f>
        <v>0</v>
      </c>
      <c r="K21" s="1668"/>
      <c r="L21" s="1665">
        <f>'3.XT-C TT'!M22</f>
        <v>6.5519999999999997E-3</v>
      </c>
      <c r="M21" s="1666">
        <f>'3.XT-C TT'!O22</f>
        <v>9.8644768211920546</v>
      </c>
      <c r="N21" s="1667">
        <f>'3.XT-C TT'!AF22</f>
        <v>0</v>
      </c>
      <c r="O21" s="1635">
        <f>'3.XT-C TT'!AH22</f>
        <v>0</v>
      </c>
      <c r="P21" s="1668"/>
      <c r="Q21" s="1665">
        <f>'3.XT-C TT'!Q22</f>
        <v>7.6859999999999993E-3</v>
      </c>
      <c r="R21" s="1666">
        <f>'3.XT-C TT'!S22</f>
        <v>6.6201854304635788</v>
      </c>
      <c r="S21" s="1667">
        <f>'3.XT-C TT'!AJ22</f>
        <v>0</v>
      </c>
      <c r="T21" s="1635">
        <f>'3.XT-C TT'!AL22</f>
        <v>0</v>
      </c>
      <c r="U21" s="1668"/>
      <c r="V21" s="1665">
        <f>'3.XT-C TT(CA2)'!I22</f>
        <v>7.8120000000000004E-3</v>
      </c>
      <c r="W21" s="1666">
        <f>'3.XT-C TT(CA2)'!K22</f>
        <v>6.2597086092715228</v>
      </c>
      <c r="X21" s="1667">
        <f>'3.XT-C TT(CA2)'!AB22</f>
        <v>0</v>
      </c>
      <c r="Y21" s="1635">
        <f>'3.XT-C TT(CA2)'!AD22</f>
        <v>0</v>
      </c>
      <c r="Z21" s="1665"/>
      <c r="AA21" s="1665">
        <f>'3.XT-C TT(CA2)'!M22</f>
        <v>8.064E-3</v>
      </c>
      <c r="AB21" s="1666">
        <f>'3.XT-C TT(CA2)'!O22</f>
        <v>5.5387549668874172</v>
      </c>
      <c r="AC21" s="1667">
        <f>'3.XT-C TT(CA2)'!AF22</f>
        <v>0</v>
      </c>
      <c r="AD21" s="1635">
        <f>'3.XT-C TT(CA2)'!AH22</f>
        <v>0</v>
      </c>
      <c r="AE21" s="1665"/>
      <c r="AF21" s="1665">
        <f>'3.XT-C TT(CA2)'!Q22</f>
        <v>8.064E-3</v>
      </c>
      <c r="AG21" s="1666">
        <f>'3.XT-C TT(CA2)'!S22</f>
        <v>5.5387549668874172</v>
      </c>
      <c r="AH21" s="1667">
        <f>'3.XT-C TT(CA2)'!AJ22</f>
        <v>0</v>
      </c>
      <c r="AI21" s="1635">
        <f>'3.XT-C TT(CA2)'!AL22</f>
        <v>0</v>
      </c>
      <c r="AJ21" s="1668"/>
      <c r="AK21" s="1538"/>
      <c r="AL21" s="1669">
        <f t="shared" si="0"/>
        <v>43.325880794701987</v>
      </c>
      <c r="AM21" s="1669">
        <f t="shared" si="1"/>
        <v>0</v>
      </c>
    </row>
    <row r="22" spans="1:40" s="396" customFormat="1" ht="33.75" customHeight="1">
      <c r="A22" s="1461">
        <v>19</v>
      </c>
      <c r="B22" s="3278" t="s">
        <v>1373</v>
      </c>
      <c r="C22" s="3278"/>
      <c r="D22" s="3278"/>
      <c r="E22" s="1603" t="s">
        <v>3</v>
      </c>
      <c r="F22" s="1603" t="s">
        <v>10</v>
      </c>
      <c r="G22" s="1680"/>
      <c r="H22" s="1681"/>
      <c r="I22" s="1682"/>
      <c r="J22" s="1682"/>
      <c r="K22" s="1682"/>
      <c r="L22" s="53"/>
      <c r="M22" s="1689"/>
      <c r="N22" s="716"/>
      <c r="O22" s="716"/>
      <c r="P22" s="716"/>
      <c r="Q22" s="1683"/>
      <c r="R22" s="1681"/>
      <c r="S22" s="1682"/>
      <c r="T22" s="1682"/>
      <c r="U22" s="1682"/>
      <c r="V22" s="1683"/>
      <c r="W22" s="1681"/>
      <c r="X22" s="1682"/>
      <c r="Y22" s="1682"/>
      <c r="Z22" s="1682"/>
      <c r="AA22" s="53"/>
      <c r="AB22" s="1689"/>
      <c r="AC22" s="716"/>
      <c r="AD22" s="716"/>
      <c r="AE22" s="716"/>
      <c r="AF22" s="1683"/>
      <c r="AG22" s="1681">
        <f>'4.ZN-NI tt(CA2)'!S5</f>
        <v>0</v>
      </c>
      <c r="AH22" s="1682"/>
      <c r="AI22" s="1682"/>
      <c r="AJ22" s="1682"/>
      <c r="AK22" s="1682"/>
      <c r="AL22" s="1193">
        <f t="shared" si="0"/>
        <v>0</v>
      </c>
      <c r="AM22" s="1193">
        <f t="shared" si="1"/>
        <v>0</v>
      </c>
    </row>
    <row r="23" spans="1:40" s="1641" customFormat="1" ht="23.25" customHeight="1">
      <c r="A23" s="1670">
        <v>21</v>
      </c>
      <c r="B23" s="3412" t="s">
        <v>1372</v>
      </c>
      <c r="C23" s="3413"/>
      <c r="D23" s="1671" t="s">
        <v>116</v>
      </c>
      <c r="E23" s="1672" t="s">
        <v>4</v>
      </c>
      <c r="F23" s="1673" t="s">
        <v>1294</v>
      </c>
      <c r="G23" s="1684">
        <f>'4.ZN-NI tt(CA1)'!I6</f>
        <v>5.915</v>
      </c>
      <c r="H23" s="1675">
        <f>'4.ZN-NI tt(CA1)'!K6</f>
        <v>0</v>
      </c>
      <c r="I23" s="1675">
        <f>'4.ZN-NI tt(CA1)'!I19</f>
        <v>0</v>
      </c>
      <c r="J23" s="1675">
        <f>'4.ZN-NI tt(CA1)'!K19</f>
        <v>0</v>
      </c>
      <c r="K23" s="1685"/>
      <c r="L23" s="1694"/>
      <c r="M23" s="1695"/>
      <c r="N23" s="1696"/>
      <c r="O23" s="1697"/>
      <c r="P23" s="1698"/>
      <c r="Q23" s="1687">
        <f>'4.ZN-NI tt(CA1)'!Q6</f>
        <v>5.9799999999999995</v>
      </c>
      <c r="R23" s="1676">
        <f>'4.ZN-NI tt(CA1)'!K6</f>
        <v>0</v>
      </c>
      <c r="S23" s="1675">
        <f>'4.ZN-NI tt(CA1)'!Q19</f>
        <v>0</v>
      </c>
      <c r="T23" s="1675">
        <f>'4.ZN-NI tt(CA1)'!S20</f>
        <v>133.4</v>
      </c>
      <c r="U23" s="1682"/>
      <c r="V23" s="1674">
        <f>'4.ZN-NI tt(CA2)'!I6</f>
        <v>5.7200000000000006</v>
      </c>
      <c r="W23" s="1677">
        <f>'4.ZN-NI tt(CA2)'!K6</f>
        <v>0</v>
      </c>
      <c r="X23" s="1675">
        <f>'4.ZN-NI tt(CA2)'!I19</f>
        <v>0</v>
      </c>
      <c r="Y23" s="1675">
        <f>'4.ZN-NI tt(CA2)'!K19</f>
        <v>0</v>
      </c>
      <c r="Z23" s="1692"/>
      <c r="AA23" s="1706"/>
      <c r="AB23" s="1697"/>
      <c r="AC23" s="1697"/>
      <c r="AD23" s="1707"/>
      <c r="AE23" s="1708"/>
      <c r="AF23" s="1687">
        <f>'4.ZN-NI tt(CA2)'!Q6</f>
        <v>5.59</v>
      </c>
      <c r="AG23" s="1676">
        <f>'4.ZN-NI tt(CA2)'!S6</f>
        <v>0</v>
      </c>
      <c r="AH23" s="1675">
        <f>'4.ZN-NI tt(CA2)'!Q19</f>
        <v>0</v>
      </c>
      <c r="AI23" s="1675">
        <f>'4.ZN-NI tt(CA2)'!S19</f>
        <v>0</v>
      </c>
      <c r="AJ23" s="1587"/>
      <c r="AK23" s="1640"/>
      <c r="AL23" s="1678">
        <f>AG23+AB23+W23+R23+M23+H23</f>
        <v>0</v>
      </c>
      <c r="AM23" s="1679">
        <f>AH23+AC23+X23+S23+N23+I23</f>
        <v>0</v>
      </c>
      <c r="AN23" s="1644"/>
    </row>
    <row r="24" spans="1:40" s="1641" customFormat="1" ht="23.25" customHeight="1">
      <c r="A24" s="1636">
        <v>22</v>
      </c>
      <c r="B24" s="3414"/>
      <c r="C24" s="3415"/>
      <c r="D24" s="1637" t="s">
        <v>100</v>
      </c>
      <c r="E24" s="1638" t="s">
        <v>4</v>
      </c>
      <c r="F24" s="1639" t="s">
        <v>1294</v>
      </c>
      <c r="G24" s="1635">
        <f>'4.ZN-NI tt(CA1)'!I7</f>
        <v>136</v>
      </c>
      <c r="H24" s="1526">
        <f>'4.ZN-NI tt(CA1)'!K7</f>
        <v>0</v>
      </c>
      <c r="I24" s="1675">
        <f>'4.ZN-NI tt(CA1)'!I20</f>
        <v>0</v>
      </c>
      <c r="J24" s="1526">
        <f>'4.ZN-NI tt(CA1)'!K20</f>
        <v>0</v>
      </c>
      <c r="K24" s="1643"/>
      <c r="L24" s="1699"/>
      <c r="M24" s="1690"/>
      <c r="N24" s="1691"/>
      <c r="O24" s="1538"/>
      <c r="P24" s="1700"/>
      <c r="Q24" s="1688">
        <f>'4.ZN-NI tt(CA1)'!Q7</f>
        <v>132.80000000000001</v>
      </c>
      <c r="R24" s="1659">
        <f>'4.ZN-NI tt(CA1)'!K7</f>
        <v>0</v>
      </c>
      <c r="S24" s="1526">
        <f>'4.ZN-NI tt(CA1)'!Q20</f>
        <v>25</v>
      </c>
      <c r="T24" s="1526">
        <f>'4.ZN-NI tt(CA1)'!S21</f>
        <v>0</v>
      </c>
      <c r="U24" s="1682"/>
      <c r="V24" s="1527">
        <f>'4.ZN-NI tt(CA2)'!I7</f>
        <v>135.19999999999999</v>
      </c>
      <c r="W24" s="1658">
        <f>'4.ZN-NI tt(CA2)'!K7</f>
        <v>0</v>
      </c>
      <c r="X24" s="1526">
        <f>'4.ZN-NI tt(CA2)'!I20</f>
        <v>0</v>
      </c>
      <c r="Y24" s="1526">
        <f>'4.ZN-NI tt(CA2)'!K20</f>
        <v>0</v>
      </c>
      <c r="Z24" s="1607"/>
      <c r="AA24" s="1709"/>
      <c r="AB24" s="1538"/>
      <c r="AC24" s="1538"/>
      <c r="AD24" s="1539"/>
      <c r="AE24" s="1710"/>
      <c r="AF24" s="1688">
        <f>'4.ZN-NI tt(CA2)'!Q7</f>
        <v>132.80000000000001</v>
      </c>
      <c r="AG24" s="1659">
        <f>'4.ZN-NI tt(CA2)'!S7</f>
        <v>17.599999999999909</v>
      </c>
      <c r="AH24" s="1526">
        <f>'4.ZN-NI tt(CA2)'!Q20</f>
        <v>25</v>
      </c>
      <c r="AI24" s="1526">
        <f>'4.ZN-NI tt(CA2)'!S20</f>
        <v>133.19999999999999</v>
      </c>
      <c r="AJ24" s="1601"/>
      <c r="AK24" s="1640"/>
      <c r="AL24" s="1193">
        <f t="shared" ref="AL24:AM25" si="2">AG24+AB24+W24+R24+M24+H24</f>
        <v>17.599999999999909</v>
      </c>
      <c r="AM24" s="1663">
        <f t="shared" si="2"/>
        <v>50</v>
      </c>
    </row>
    <row r="25" spans="1:40" s="1641" customFormat="1" ht="23.25" customHeight="1">
      <c r="A25" s="1636">
        <v>23</v>
      </c>
      <c r="B25" s="3416" t="s">
        <v>1371</v>
      </c>
      <c r="C25" s="3417"/>
      <c r="D25" s="3418"/>
      <c r="E25" s="1639" t="s">
        <v>3</v>
      </c>
      <c r="F25" s="1639" t="s">
        <v>10</v>
      </c>
      <c r="G25" s="1635">
        <f>'4.ZN-NI tt(CA1)'!I8</f>
        <v>3.64</v>
      </c>
      <c r="H25" s="1526">
        <f>'4.ZN-NI tt(CA1)'!K8</f>
        <v>0</v>
      </c>
      <c r="I25" s="1675">
        <f>'4.ZN-NI tt(CA1)'!I21</f>
        <v>0</v>
      </c>
      <c r="J25" s="1526">
        <f>'4.ZN-NI tt(CA1)'!K21</f>
        <v>0</v>
      </c>
      <c r="K25" s="1686"/>
      <c r="L25" s="1701"/>
      <c r="M25" s="1702"/>
      <c r="N25" s="1703"/>
      <c r="O25" s="1704"/>
      <c r="P25" s="1705"/>
      <c r="Q25" s="1688">
        <f>'4.ZN-NI tt(CA1)'!Q8</f>
        <v>3.65</v>
      </c>
      <c r="R25" s="1659">
        <f>'4.ZN-NI tt(CA1)'!K8</f>
        <v>0</v>
      </c>
      <c r="S25" s="1526">
        <f>'4.ZN-NI tt(CA1)'!Q21</f>
        <v>0</v>
      </c>
      <c r="T25" s="1526">
        <f>'4.ZN-NI tt(CA1)'!S22</f>
        <v>0</v>
      </c>
      <c r="U25" s="1682"/>
      <c r="V25" s="1527">
        <f>'4.ZN-NI tt(CA2)'!I8</f>
        <v>3.61</v>
      </c>
      <c r="W25" s="1658">
        <f>'4.ZN-NI tt(CA2)'!K8</f>
        <v>0</v>
      </c>
      <c r="X25" s="1526">
        <f>'4.ZN-NI tt(CA2)'!I21</f>
        <v>0</v>
      </c>
      <c r="Y25" s="1526">
        <f>'4.ZN-NI tt(CA2)'!K21</f>
        <v>0</v>
      </c>
      <c r="Z25" s="1693"/>
      <c r="AA25" s="1711"/>
      <c r="AB25" s="1704"/>
      <c r="AC25" s="1704"/>
      <c r="AD25" s="1712"/>
      <c r="AE25" s="1713"/>
      <c r="AF25" s="1688">
        <f>'4.ZN-NI tt(CA2)'!Q8</f>
        <v>3.66</v>
      </c>
      <c r="AG25" s="1659">
        <f>'4.ZN-NI tt(CA2)'!S8</f>
        <v>0</v>
      </c>
      <c r="AH25" s="1526">
        <f>'4.ZN-NI tt(CA2)'!Q21</f>
        <v>0</v>
      </c>
      <c r="AI25" s="1526">
        <f>'4.ZN-NI tt(CA2)'!S21</f>
        <v>0</v>
      </c>
      <c r="AJ25" s="1525"/>
      <c r="AK25" s="1640"/>
      <c r="AL25" s="1663">
        <f t="shared" si="2"/>
        <v>0</v>
      </c>
      <c r="AM25" s="1663">
        <f t="shared" si="2"/>
        <v>0</v>
      </c>
    </row>
  </sheetData>
  <sheetProtection selectLockedCells="1"/>
  <mergeCells count="28">
    <mergeCell ref="B22:D22"/>
    <mergeCell ref="B23:C24"/>
    <mergeCell ref="B25:D25"/>
    <mergeCell ref="B21:D21"/>
    <mergeCell ref="B6:C7"/>
    <mergeCell ref="B8:C9"/>
    <mergeCell ref="B10:C11"/>
    <mergeCell ref="B12:C13"/>
    <mergeCell ref="B14:B15"/>
    <mergeCell ref="C14:D14"/>
    <mergeCell ref="C15:D15"/>
    <mergeCell ref="B16:D16"/>
    <mergeCell ref="B17:D17"/>
    <mergeCell ref="B18:D18"/>
    <mergeCell ref="B19:D19"/>
    <mergeCell ref="B20:D20"/>
    <mergeCell ref="A4:A5"/>
    <mergeCell ref="E4:E5"/>
    <mergeCell ref="G4:K4"/>
    <mergeCell ref="L4:P4"/>
    <mergeCell ref="B5:C5"/>
    <mergeCell ref="D4:D5"/>
    <mergeCell ref="F4:F5"/>
    <mergeCell ref="V4:Z4"/>
    <mergeCell ref="AA4:AE4"/>
    <mergeCell ref="AF4:AJ4"/>
    <mergeCell ref="Q4:U4"/>
    <mergeCell ref="B3:E3"/>
  </mergeCells>
  <pageMargins left="0.3" right="0" top="0" bottom="0" header="0" footer="0"/>
  <pageSetup paperSize="9" scale="55" orientation="landscape" verticalDpi="300" r:id="rId1"/>
  <headerFooter scaleWithDoc="0" alignWithMargins="0"/>
  <drawing r:id="rId2"/>
</worksheet>
</file>

<file path=xl/worksheets/sheet28.xml><?xml version="1.0" encoding="utf-8"?>
<worksheet xmlns="http://schemas.openxmlformats.org/spreadsheetml/2006/main" xmlns:r="http://schemas.openxmlformats.org/officeDocument/2006/relationships">
  <sheetPr codeName="Sheet18">
    <tabColor rgb="FF7030A0"/>
  </sheetPr>
  <dimension ref="A1:O35"/>
  <sheetViews>
    <sheetView zoomScale="70" zoomScaleNormal="70" workbookViewId="0">
      <selection activeCell="I14" sqref="I14:N20"/>
    </sheetView>
  </sheetViews>
  <sheetFormatPr defaultRowHeight="28.5" customHeight="1"/>
  <cols>
    <col min="1" max="1" width="6.375" style="331" customWidth="1"/>
    <col min="2" max="2" width="15.375" style="331" customWidth="1"/>
    <col min="3" max="3" width="16.5" style="331" customWidth="1"/>
    <col min="4" max="4" width="15.375" style="331" customWidth="1"/>
    <col min="5" max="5" width="12.125" style="331" customWidth="1"/>
    <col min="6" max="6" width="15.375" style="331" customWidth="1"/>
    <col min="7" max="7" width="4.875" style="331" customWidth="1"/>
    <col min="8" max="8" width="6.75" style="375" customWidth="1"/>
    <col min="9" max="9" width="14.625" style="375" customWidth="1"/>
    <col min="10" max="10" width="14.125" style="375" customWidth="1"/>
    <col min="11" max="11" width="16.5" style="375" customWidth="1"/>
    <col min="12" max="12" width="11.875" style="375" customWidth="1"/>
    <col min="13" max="13" width="9.875" style="375" customWidth="1"/>
    <col min="14" max="14" width="7" style="331" customWidth="1"/>
    <col min="15" max="16384" width="9" style="331"/>
  </cols>
  <sheetData>
    <row r="1" spans="1:14" ht="28.5" customHeight="1">
      <c r="A1" s="330" t="s">
        <v>360</v>
      </c>
      <c r="H1" s="332" t="s">
        <v>361</v>
      </c>
      <c r="I1" s="333"/>
      <c r="J1" s="333"/>
      <c r="K1" s="333"/>
      <c r="L1" s="333"/>
      <c r="M1" s="333"/>
      <c r="N1" s="333"/>
    </row>
    <row r="2" spans="1:14" ht="28.5" customHeight="1">
      <c r="A2" s="334"/>
      <c r="B2" s="335" t="s">
        <v>362</v>
      </c>
      <c r="C2" s="336"/>
      <c r="D2" s="336"/>
      <c r="E2" s="336"/>
      <c r="F2" s="336"/>
      <c r="H2" s="333"/>
      <c r="I2" s="337"/>
      <c r="J2" s="333"/>
      <c r="K2" s="333"/>
      <c r="L2" s="333"/>
      <c r="M2" s="333"/>
      <c r="N2" s="333"/>
    </row>
    <row r="3" spans="1:14" s="341" customFormat="1" ht="33" customHeight="1">
      <c r="A3" s="338" t="s">
        <v>363</v>
      </c>
      <c r="B3" s="339" t="s">
        <v>364</v>
      </c>
      <c r="C3" s="339" t="s">
        <v>365</v>
      </c>
      <c r="D3" s="339" t="s">
        <v>366</v>
      </c>
      <c r="E3" s="339" t="s">
        <v>367</v>
      </c>
      <c r="F3" s="340" t="s">
        <v>3</v>
      </c>
      <c r="H3" s="342" t="s">
        <v>363</v>
      </c>
      <c r="I3" s="343" t="s">
        <v>364</v>
      </c>
      <c r="J3" s="343" t="s">
        <v>365</v>
      </c>
      <c r="K3" s="343" t="s">
        <v>366</v>
      </c>
      <c r="L3" s="343" t="s">
        <v>367</v>
      </c>
      <c r="M3" s="43" t="s">
        <v>3</v>
      </c>
      <c r="N3" s="344"/>
    </row>
    <row r="4" spans="1:14" ht="25.5" customHeight="1">
      <c r="A4" s="345">
        <v>1</v>
      </c>
      <c r="B4" s="346">
        <v>0.10489999999999999</v>
      </c>
      <c r="C4" s="346">
        <v>1.2161999999999999</v>
      </c>
      <c r="D4" s="346">
        <v>0.29289999999999999</v>
      </c>
      <c r="E4" s="345">
        <f>D4-B4</f>
        <v>0.188</v>
      </c>
      <c r="F4" s="347">
        <f>E4/C4</f>
        <v>0.15457983884229567</v>
      </c>
      <c r="H4" s="348">
        <v>1</v>
      </c>
      <c r="I4" s="349">
        <v>0.13639999999999999</v>
      </c>
      <c r="J4" s="349">
        <v>1.2362</v>
      </c>
      <c r="K4" s="349">
        <v>0.1469</v>
      </c>
      <c r="L4" s="348">
        <f>K4-I4</f>
        <v>1.0500000000000009E-2</v>
      </c>
      <c r="M4" s="350">
        <f>L4/J4</f>
        <v>8.4937712344280939E-3</v>
      </c>
      <c r="N4" s="333"/>
    </row>
    <row r="5" spans="1:14" ht="25.5" customHeight="1">
      <c r="A5" s="345">
        <v>2</v>
      </c>
      <c r="B5" s="346"/>
      <c r="C5" s="346"/>
      <c r="D5" s="346"/>
      <c r="E5" s="345">
        <f>D5-B5</f>
        <v>0</v>
      </c>
      <c r="F5" s="347"/>
      <c r="H5" s="348">
        <v>2</v>
      </c>
      <c r="I5" s="349"/>
      <c r="J5" s="349"/>
      <c r="K5" s="349"/>
      <c r="L5" s="348">
        <f>K5-I5</f>
        <v>0</v>
      </c>
      <c r="M5" s="350"/>
      <c r="N5" s="333"/>
    </row>
    <row r="6" spans="1:14" ht="28.5" customHeight="1">
      <c r="A6" s="351"/>
      <c r="B6" s="351"/>
      <c r="C6" s="351"/>
      <c r="D6" s="351"/>
      <c r="E6" s="351"/>
      <c r="F6" s="352">
        <f>AVERAGE(F4:F5)</f>
        <v>0.15457983884229567</v>
      </c>
      <c r="H6" s="353"/>
      <c r="I6" s="353"/>
      <c r="J6" s="353"/>
      <c r="K6" s="353"/>
      <c r="L6" s="353"/>
      <c r="M6" s="354">
        <f>AVERAGE(M4:M5)</f>
        <v>8.4937712344280939E-3</v>
      </c>
      <c r="N6" s="333"/>
    </row>
    <row r="7" spans="1:14" s="358" customFormat="1" ht="28.5" customHeight="1">
      <c r="A7" s="355"/>
      <c r="B7" s="356" t="s">
        <v>368</v>
      </c>
      <c r="C7" s="355"/>
      <c r="D7" s="355"/>
      <c r="E7" s="355"/>
      <c r="F7" s="357"/>
      <c r="H7" s="332" t="s">
        <v>369</v>
      </c>
      <c r="I7" s="337"/>
      <c r="J7" s="359"/>
      <c r="K7" s="359"/>
      <c r="L7" s="359"/>
      <c r="M7" s="360"/>
      <c r="N7" s="361"/>
    </row>
    <row r="8" spans="1:14" ht="36" customHeight="1">
      <c r="A8" s="362" t="s">
        <v>363</v>
      </c>
      <c r="B8" s="363" t="s">
        <v>364</v>
      </c>
      <c r="C8" s="363" t="s">
        <v>365</v>
      </c>
      <c r="D8" s="363" t="s">
        <v>366</v>
      </c>
      <c r="E8" s="363" t="s">
        <v>367</v>
      </c>
      <c r="F8" s="273" t="s">
        <v>3</v>
      </c>
      <c r="H8" s="342" t="s">
        <v>363</v>
      </c>
      <c r="I8" s="343" t="s">
        <v>364</v>
      </c>
      <c r="J8" s="343" t="s">
        <v>365</v>
      </c>
      <c r="K8" s="343" t="s">
        <v>366</v>
      </c>
      <c r="L8" s="343" t="s">
        <v>367</v>
      </c>
      <c r="M8" s="43" t="s">
        <v>3</v>
      </c>
      <c r="N8" s="333"/>
    </row>
    <row r="9" spans="1:14" ht="25.5" customHeight="1">
      <c r="A9" s="364">
        <v>1</v>
      </c>
      <c r="B9" s="365"/>
      <c r="C9" s="365"/>
      <c r="D9" s="365"/>
      <c r="E9" s="364">
        <f>D9-B9</f>
        <v>0</v>
      </c>
      <c r="F9" s="366" t="e">
        <f>E9/C9</f>
        <v>#DIV/0!</v>
      </c>
      <c r="H9" s="348">
        <v>1</v>
      </c>
      <c r="I9" s="349">
        <v>0.1232</v>
      </c>
      <c r="J9" s="349">
        <v>1.2501</v>
      </c>
      <c r="K9" s="349">
        <v>0.1295</v>
      </c>
      <c r="L9" s="348">
        <f>K9-I9</f>
        <v>6.3E-3</v>
      </c>
      <c r="M9" s="350">
        <f>L9/J9</f>
        <v>5.0395968322534202E-3</v>
      </c>
      <c r="N9" s="333"/>
    </row>
    <row r="10" spans="1:14" ht="25.5" customHeight="1">
      <c r="A10" s="364">
        <v>2</v>
      </c>
      <c r="B10" s="365"/>
      <c r="C10" s="365"/>
      <c r="D10" s="365"/>
      <c r="E10" s="364">
        <f>D10-B10</f>
        <v>0</v>
      </c>
      <c r="F10" s="366"/>
      <c r="H10" s="348">
        <v>2</v>
      </c>
      <c r="I10" s="349"/>
      <c r="J10" s="349"/>
      <c r="K10" s="349"/>
      <c r="L10" s="348">
        <f>K10-I10</f>
        <v>0</v>
      </c>
      <c r="M10" s="350"/>
      <c r="N10" s="333"/>
    </row>
    <row r="11" spans="1:14" ht="28.5" customHeight="1">
      <c r="A11" s="367"/>
      <c r="B11" s="367"/>
      <c r="C11" s="367"/>
      <c r="D11" s="367"/>
      <c r="E11" s="367"/>
      <c r="F11" s="368" t="e">
        <f>AVERAGE(F9:F10)</f>
        <v>#DIV/0!</v>
      </c>
      <c r="H11" s="353"/>
      <c r="I11" s="353"/>
      <c r="J11" s="353"/>
      <c r="K11" s="353"/>
      <c r="L11" s="353"/>
      <c r="M11" s="360">
        <f>AVERAGE(M9:M10)</f>
        <v>5.0395968322534202E-3</v>
      </c>
      <c r="N11" s="2748">
        <f>IF(M11&lt;0,0,M11)</f>
        <v>5.0395968322534202E-3</v>
      </c>
    </row>
    <row r="12" spans="1:14" ht="28.5" customHeight="1">
      <c r="A12" s="330" t="s">
        <v>370</v>
      </c>
      <c r="H12" s="333"/>
      <c r="I12" s="333"/>
      <c r="J12" s="333"/>
      <c r="K12" s="333"/>
      <c r="L12" s="333"/>
      <c r="M12" s="333"/>
      <c r="N12" s="333"/>
    </row>
    <row r="13" spans="1:14" ht="28.5" customHeight="1">
      <c r="A13" s="336"/>
      <c r="B13" s="335" t="s">
        <v>371</v>
      </c>
      <c r="C13" s="336"/>
      <c r="D13" s="336"/>
      <c r="E13" s="336"/>
      <c r="F13" s="336"/>
      <c r="H13" s="331"/>
      <c r="I13" s="331"/>
      <c r="J13" s="331"/>
      <c r="K13" s="331"/>
      <c r="L13" s="331"/>
      <c r="M13" s="331"/>
    </row>
    <row r="14" spans="1:14" ht="33.75" customHeight="1">
      <c r="A14" s="338" t="s">
        <v>363</v>
      </c>
      <c r="B14" s="339" t="s">
        <v>364</v>
      </c>
      <c r="C14" s="339" t="s">
        <v>372</v>
      </c>
      <c r="D14" s="339" t="s">
        <v>366</v>
      </c>
      <c r="E14" s="339" t="s">
        <v>367</v>
      </c>
      <c r="F14" s="340" t="s">
        <v>3</v>
      </c>
      <c r="H14" s="331"/>
      <c r="I14" s="2752" t="str">
        <f>MENU!$AC$9</f>
        <v>Thứ 4,</v>
      </c>
      <c r="J14" s="2753" t="str">
        <f>MENU!$AD$9</f>
        <v>2024/05/22</v>
      </c>
      <c r="K14" s="2755" t="s">
        <v>1632</v>
      </c>
      <c r="L14" s="2750" t="s">
        <v>1633</v>
      </c>
      <c r="M14" s="3419" t="s">
        <v>1631</v>
      </c>
      <c r="N14" s="3419"/>
    </row>
    <row r="15" spans="1:14" ht="28.5" customHeight="1">
      <c r="A15" s="345">
        <v>1</v>
      </c>
      <c r="B15" s="346">
        <v>20.7895</v>
      </c>
      <c r="C15" s="346">
        <v>2.2776999999999998</v>
      </c>
      <c r="D15" s="346">
        <v>20.812100000000001</v>
      </c>
      <c r="E15" s="345">
        <f>D15-B15</f>
        <v>2.260000000000062E-2</v>
      </c>
      <c r="F15" s="347">
        <f>E15/C15</f>
        <v>9.922290029415911E-3</v>
      </c>
      <c r="H15" s="331"/>
      <c r="I15" s="3422" t="s">
        <v>373</v>
      </c>
      <c r="J15" s="3423"/>
      <c r="K15" s="2756" t="s">
        <v>374</v>
      </c>
      <c r="L15" s="369">
        <f>IFERROR(IF(F6&lt;0,"",F6),"")</f>
        <v>0.15457983884229567</v>
      </c>
      <c r="M15" s="2754">
        <f>'R.GUI MAIL'!K67</f>
        <v>0</v>
      </c>
      <c r="N15" s="2749" t="s">
        <v>10</v>
      </c>
    </row>
    <row r="16" spans="1:14" ht="28.5" customHeight="1">
      <c r="A16" s="345">
        <v>2</v>
      </c>
      <c r="B16" s="346">
        <v>23.432200000000002</v>
      </c>
      <c r="C16" s="346">
        <v>2.5169000000000001</v>
      </c>
      <c r="D16" s="346">
        <v>23.456499999999998</v>
      </c>
      <c r="E16" s="345">
        <f>D16-B16</f>
        <v>2.4299999999996658E-2</v>
      </c>
      <c r="F16" s="347">
        <f>E16/C16</f>
        <v>9.6547339981710271E-3</v>
      </c>
      <c r="H16" s="331"/>
      <c r="I16" s="3422" t="s">
        <v>375</v>
      </c>
      <c r="J16" s="3423"/>
      <c r="K16" s="2756" t="s">
        <v>376</v>
      </c>
      <c r="L16" s="369">
        <f>IFERROR(IF(F19&lt;0,"",F19),"")</f>
        <v>8.4863740253278849E-2</v>
      </c>
      <c r="M16" s="2754">
        <f>'R.GUI MAIL'!K68</f>
        <v>80.637716118725038</v>
      </c>
      <c r="N16" s="2749" t="s">
        <v>10</v>
      </c>
    </row>
    <row r="17" spans="1:15" ht="28.5" hidden="1" customHeight="1">
      <c r="A17" s="345">
        <v>3</v>
      </c>
      <c r="B17" s="346"/>
      <c r="C17" s="346"/>
      <c r="D17" s="346"/>
      <c r="E17" s="345">
        <f>D17-B17</f>
        <v>0</v>
      </c>
      <c r="F17" s="347"/>
      <c r="H17" s="331"/>
      <c r="I17" s="3424" t="s">
        <v>377</v>
      </c>
      <c r="J17" s="3425"/>
      <c r="K17" s="2757" t="s">
        <v>374</v>
      </c>
      <c r="L17" s="370" t="str">
        <f>IFERROR(IF(F11&lt;0,"",F11),"")</f>
        <v/>
      </c>
      <c r="M17" s="2751"/>
      <c r="N17" s="2750"/>
    </row>
    <row r="18" spans="1:15" ht="28.5" hidden="1" customHeight="1">
      <c r="A18" s="371"/>
      <c r="B18" s="371"/>
      <c r="C18" s="371"/>
      <c r="D18" s="371"/>
      <c r="E18" s="371"/>
      <c r="F18" s="372">
        <f>AVERAGE(F15:F17)/0.8095</f>
        <v>1.2092046959596627E-2</v>
      </c>
      <c r="H18" s="331"/>
      <c r="I18" s="3424" t="s">
        <v>378</v>
      </c>
      <c r="J18" s="3425"/>
      <c r="K18" s="2757" t="s">
        <v>376</v>
      </c>
      <c r="L18" s="370" t="str">
        <f>IFERROR(IF(F26&lt;0,"",F26),"")</f>
        <v/>
      </c>
      <c r="M18" s="2751"/>
      <c r="N18" s="2750"/>
    </row>
    <row r="19" spans="1:15" ht="28.5" customHeight="1">
      <c r="A19" s="351"/>
      <c r="B19" s="373"/>
      <c r="C19" s="373"/>
      <c r="D19" s="373"/>
      <c r="E19" s="351"/>
      <c r="F19" s="352">
        <f>F18/(F6-F18)</f>
        <v>8.4863740253278849E-2</v>
      </c>
      <c r="H19" s="331"/>
      <c r="I19" s="3420" t="s">
        <v>379</v>
      </c>
      <c r="J19" s="3421"/>
      <c r="K19" s="2758" t="s">
        <v>380</v>
      </c>
      <c r="L19" s="374">
        <f>IFERROR(M6,"")</f>
        <v>8.4937712344280939E-3</v>
      </c>
      <c r="M19" s="2751"/>
      <c r="N19" s="2750"/>
    </row>
    <row r="20" spans="1:15" ht="28.5" customHeight="1">
      <c r="A20" s="375"/>
      <c r="B20" s="376" t="s">
        <v>381</v>
      </c>
      <c r="C20" s="377"/>
      <c r="D20" s="377"/>
      <c r="E20" s="375"/>
      <c r="F20" s="375"/>
      <c r="I20" s="3420" t="s">
        <v>382</v>
      </c>
      <c r="J20" s="3421"/>
      <c r="K20" s="2758" t="s">
        <v>383</v>
      </c>
      <c r="L20" s="374">
        <f>IFERROR(N11,"")</f>
        <v>5.0395968322534202E-3</v>
      </c>
      <c r="M20" s="2751"/>
      <c r="N20" s="2750"/>
    </row>
    <row r="21" spans="1:15" ht="36.75" customHeight="1">
      <c r="A21" s="362" t="s">
        <v>363</v>
      </c>
      <c r="B21" s="363" t="s">
        <v>364</v>
      </c>
      <c r="C21" s="363" t="s">
        <v>372</v>
      </c>
      <c r="D21" s="378" t="s">
        <v>366</v>
      </c>
      <c r="E21" s="363" t="s">
        <v>367</v>
      </c>
      <c r="F21" s="273" t="s">
        <v>3</v>
      </c>
    </row>
    <row r="22" spans="1:15" ht="24" customHeight="1">
      <c r="A22" s="364">
        <v>1</v>
      </c>
      <c r="B22" s="365"/>
      <c r="C22" s="365"/>
      <c r="D22" s="365"/>
      <c r="E22" s="364">
        <f>D22-B22</f>
        <v>0</v>
      </c>
      <c r="F22" s="366" t="e">
        <f>E22/C22</f>
        <v>#DIV/0!</v>
      </c>
    </row>
    <row r="23" spans="1:15" ht="24" customHeight="1">
      <c r="A23" s="364">
        <v>2</v>
      </c>
      <c r="B23" s="365"/>
      <c r="C23" s="365"/>
      <c r="D23" s="365"/>
      <c r="E23" s="364">
        <f>D23-B23</f>
        <v>0</v>
      </c>
      <c r="F23" s="366" t="e">
        <f>E23/C23</f>
        <v>#DIV/0!</v>
      </c>
    </row>
    <row r="24" spans="1:15" ht="24" customHeight="1">
      <c r="A24" s="364">
        <v>3</v>
      </c>
      <c r="B24" s="365"/>
      <c r="C24" s="365"/>
      <c r="D24" s="365"/>
      <c r="E24" s="364">
        <f>D24-B24</f>
        <v>0</v>
      </c>
      <c r="F24" s="366"/>
    </row>
    <row r="25" spans="1:15" ht="26.25" customHeight="1">
      <c r="A25" s="379"/>
      <c r="B25" s="379"/>
      <c r="C25" s="379"/>
      <c r="D25" s="379"/>
      <c r="E25" s="379"/>
      <c r="F25" s="380" t="e">
        <f>AVERAGE(F22:F24)/0.8095</f>
        <v>#DIV/0!</v>
      </c>
    </row>
    <row r="26" spans="1:15" ht="28.5" customHeight="1">
      <c r="A26" s="367"/>
      <c r="B26" s="367"/>
      <c r="C26" s="367"/>
      <c r="D26" s="367"/>
      <c r="E26" s="367"/>
      <c r="F26" s="368" t="e">
        <f>F25/(F11-F25)</f>
        <v>#DIV/0!</v>
      </c>
      <c r="O26" s="367"/>
    </row>
    <row r="27" spans="1:15" ht="28.5" customHeight="1">
      <c r="A27" s="381"/>
    </row>
    <row r="29" spans="1:15" ht="36" customHeight="1">
      <c r="B29" s="2785" t="s">
        <v>1641</v>
      </c>
      <c r="C29" s="2785" t="s">
        <v>1642</v>
      </c>
      <c r="D29" s="2785" t="s">
        <v>1643</v>
      </c>
      <c r="E29" s="2785" t="s">
        <v>1644</v>
      </c>
      <c r="F29" s="2785" t="s">
        <v>1645</v>
      </c>
    </row>
    <row r="30" spans="1:15" ht="28.5" customHeight="1">
      <c r="B30" s="2785" t="s">
        <v>1654</v>
      </c>
      <c r="C30" s="2784">
        <v>0.40625</v>
      </c>
      <c r="D30" s="2785" t="s">
        <v>1646</v>
      </c>
      <c r="E30" s="2786" t="s">
        <v>1647</v>
      </c>
      <c r="F30" s="2787">
        <f>C30+ TIME(0,45,0)</f>
        <v>0.4375</v>
      </c>
    </row>
    <row r="31" spans="1:15" ht="28.5" customHeight="1">
      <c r="B31" s="2785" t="s">
        <v>1655</v>
      </c>
      <c r="C31" s="2787">
        <f>F30</f>
        <v>0.4375</v>
      </c>
      <c r="D31" s="2785" t="s">
        <v>1648</v>
      </c>
      <c r="E31" s="2786" t="s">
        <v>1646</v>
      </c>
      <c r="F31" s="2787">
        <f>C31+ TIME(0,20,0)</f>
        <v>0.4513888888888889</v>
      </c>
      <c r="G31" s="375"/>
    </row>
    <row r="32" spans="1:15" ht="28.5" customHeight="1">
      <c r="B32" s="2785" t="s">
        <v>1656</v>
      </c>
      <c r="C32" s="2787">
        <f>F31</f>
        <v>0.4513888888888889</v>
      </c>
      <c r="D32" s="2785" t="s">
        <v>1649</v>
      </c>
      <c r="E32" s="2786" t="s">
        <v>1646</v>
      </c>
      <c r="F32" s="2787">
        <f>C32+ TIME(0,25,0)</f>
        <v>0.46875</v>
      </c>
      <c r="G32" s="375"/>
    </row>
    <row r="33" spans="2:7" ht="28.5" customHeight="1">
      <c r="B33" s="2785" t="s">
        <v>1657</v>
      </c>
      <c r="C33" s="2787">
        <f>F32</f>
        <v>0.46875</v>
      </c>
      <c r="D33" s="2785" t="s">
        <v>1653</v>
      </c>
      <c r="E33" s="2786" t="s">
        <v>1650</v>
      </c>
      <c r="F33" s="2787">
        <f>C33+ TIME(5,0,0)</f>
        <v>0.67708333333333337</v>
      </c>
      <c r="G33" s="375"/>
    </row>
    <row r="34" spans="2:7" ht="28.5" customHeight="1">
      <c r="B34" s="2788"/>
      <c r="C34" s="2789">
        <f>F33</f>
        <v>0.67708333333333337</v>
      </c>
      <c r="D34" s="2790" t="s">
        <v>1651</v>
      </c>
      <c r="E34" s="2791"/>
      <c r="F34" s="2792"/>
    </row>
    <row r="35" spans="2:7" ht="28.5" customHeight="1">
      <c r="B35" s="2793"/>
      <c r="C35" s="2794">
        <f>C34+ TIME(1,0,0)</f>
        <v>0.71875</v>
      </c>
      <c r="D35" s="2795" t="s">
        <v>1652</v>
      </c>
      <c r="E35" s="2796"/>
      <c r="F35" s="2797"/>
    </row>
  </sheetData>
  <sheetProtection sheet="1" objects="1" scenarios="1" formatCells="0" formatColumns="0" formatRows="0" insertColumns="0" insertRows="0" insertHyperlinks="0" deleteColumns="0" deleteRows="0" selectLockedCells="1" sort="0" autoFilter="0" pivotTables="0"/>
  <mergeCells count="7">
    <mergeCell ref="M14:N14"/>
    <mergeCell ref="I20:J20"/>
    <mergeCell ref="I15:J15"/>
    <mergeCell ref="I16:J16"/>
    <mergeCell ref="I17:J17"/>
    <mergeCell ref="I18:J18"/>
    <mergeCell ref="I19:J19"/>
  </mergeCells>
  <phoneticPr fontId="7" type="noConversion"/>
  <pageMargins left="0.7" right="0.7" top="0.75" bottom="0.75" header="0.3" footer="0.3"/>
  <pageSetup paperSize="9" scale="85" orientation="landscape" verticalDpi="0" r:id="rId1"/>
  <drawing r:id="rId2"/>
</worksheet>
</file>

<file path=xl/worksheets/sheet29.xml><?xml version="1.0" encoding="utf-8"?>
<worksheet xmlns="http://schemas.openxmlformats.org/spreadsheetml/2006/main" xmlns:r="http://schemas.openxmlformats.org/officeDocument/2006/relationships">
  <sheetPr codeName="Sheet19">
    <tabColor rgb="FF7030A0"/>
  </sheetPr>
  <dimension ref="A1:H62"/>
  <sheetViews>
    <sheetView topLeftCell="A22" workbookViewId="0">
      <selection activeCell="H38" sqref="H38"/>
    </sheetView>
  </sheetViews>
  <sheetFormatPr defaultRowHeight="15" customHeight="1"/>
  <cols>
    <col min="1" max="1" width="31.875" style="1" customWidth="1"/>
    <col min="2" max="2" width="3.625" style="1" customWidth="1"/>
    <col min="3" max="3" width="6.25" style="1080" customWidth="1"/>
    <col min="4" max="8" width="6.25" style="1" customWidth="1"/>
    <col min="9" max="16384" width="9" style="1077"/>
  </cols>
  <sheetData>
    <row r="1" spans="1:8" ht="18" customHeight="1">
      <c r="A1" s="1070" t="s">
        <v>384</v>
      </c>
      <c r="B1" s="1070"/>
      <c r="C1" s="1075" t="s">
        <v>403</v>
      </c>
      <c r="D1" s="1076" t="s">
        <v>1464</v>
      </c>
      <c r="E1" s="1076" t="s">
        <v>1465</v>
      </c>
      <c r="F1" s="1076" t="s">
        <v>1466</v>
      </c>
      <c r="G1" s="1076" t="s">
        <v>1467</v>
      </c>
      <c r="H1" s="1076" t="s">
        <v>1471</v>
      </c>
    </row>
    <row r="2" spans="1:8" ht="15" customHeight="1">
      <c r="A2" s="3426" t="s">
        <v>1025</v>
      </c>
      <c r="B2" s="3427"/>
      <c r="C2" s="382"/>
      <c r="D2" s="382"/>
      <c r="E2" s="382"/>
      <c r="F2" s="382"/>
      <c r="G2" s="382"/>
      <c r="H2" s="382"/>
    </row>
    <row r="3" spans="1:8" ht="15" hidden="1" customHeight="1">
      <c r="A3" s="3426" t="s">
        <v>391</v>
      </c>
      <c r="B3" s="3427"/>
      <c r="C3" s="383"/>
      <c r="D3" s="383"/>
      <c r="E3" s="383"/>
      <c r="F3" s="383"/>
      <c r="G3" s="383"/>
      <c r="H3" s="383"/>
    </row>
    <row r="4" spans="1:8" ht="15" customHeight="1">
      <c r="A4" s="384" t="s">
        <v>392</v>
      </c>
      <c r="B4" s="3432">
        <v>3</v>
      </c>
      <c r="C4" s="383"/>
      <c r="D4" s="383"/>
      <c r="E4" s="383"/>
      <c r="F4" s="383"/>
      <c r="G4" s="383"/>
      <c r="H4" s="383"/>
    </row>
    <row r="5" spans="1:8" ht="15" customHeight="1">
      <c r="A5" s="385" t="s">
        <v>393</v>
      </c>
      <c r="B5" s="3433"/>
      <c r="C5" s="383"/>
      <c r="D5" s="383"/>
      <c r="E5" s="383"/>
      <c r="F5" s="383"/>
      <c r="G5" s="383"/>
      <c r="H5" s="383"/>
    </row>
    <row r="6" spans="1:8" ht="15" customHeight="1">
      <c r="A6" s="386" t="s">
        <v>394</v>
      </c>
      <c r="B6" s="3434"/>
      <c r="C6" s="383"/>
      <c r="D6" s="383"/>
      <c r="E6" s="383"/>
      <c r="F6" s="383"/>
      <c r="G6" s="383"/>
      <c r="H6" s="383"/>
    </row>
    <row r="7" spans="1:8" ht="15" customHeight="1">
      <c r="A7" s="387" t="s">
        <v>392</v>
      </c>
      <c r="B7" s="3432">
        <v>4</v>
      </c>
      <c r="C7" s="383"/>
      <c r="D7" s="383"/>
      <c r="E7" s="383"/>
      <c r="F7" s="383"/>
      <c r="G7" s="383"/>
      <c r="H7" s="383"/>
    </row>
    <row r="8" spans="1:8" ht="15" customHeight="1">
      <c r="A8" s="388" t="s">
        <v>393</v>
      </c>
      <c r="B8" s="3433"/>
      <c r="C8" s="383"/>
      <c r="D8" s="383"/>
      <c r="E8" s="383"/>
      <c r="F8" s="383"/>
      <c r="G8" s="383"/>
      <c r="H8" s="383"/>
    </row>
    <row r="9" spans="1:8" ht="15" customHeight="1">
      <c r="A9" s="389" t="s">
        <v>394</v>
      </c>
      <c r="B9" s="3434"/>
      <c r="C9" s="383"/>
      <c r="D9" s="383"/>
      <c r="E9" s="383"/>
      <c r="F9" s="383"/>
      <c r="G9" s="383"/>
      <c r="H9" s="383"/>
    </row>
    <row r="10" spans="1:8" ht="15" customHeight="1">
      <c r="A10" s="3430" t="s">
        <v>395</v>
      </c>
      <c r="B10" s="3431"/>
      <c r="C10" s="383"/>
      <c r="D10" s="383"/>
      <c r="E10" s="383"/>
      <c r="F10" s="383"/>
      <c r="G10" s="383"/>
      <c r="H10" s="383"/>
    </row>
    <row r="11" spans="1:8" ht="15" customHeight="1">
      <c r="A11" s="3428" t="s">
        <v>1026</v>
      </c>
      <c r="B11" s="3429"/>
      <c r="C11" s="383"/>
      <c r="D11" s="383"/>
      <c r="E11" s="383"/>
      <c r="F11" s="383"/>
      <c r="G11" s="383"/>
      <c r="H11" s="383"/>
    </row>
    <row r="12" spans="1:8" ht="15" customHeight="1">
      <c r="A12" s="3435" t="s">
        <v>396</v>
      </c>
      <c r="B12" s="3435"/>
      <c r="C12" s="390">
        <f>B4</f>
        <v>3</v>
      </c>
      <c r="D12" s="390">
        <f>B4</f>
        <v>3</v>
      </c>
      <c r="E12" s="390">
        <f>B4</f>
        <v>3</v>
      </c>
      <c r="F12" s="391">
        <f>B4</f>
        <v>3</v>
      </c>
      <c r="G12" s="391">
        <f>B4</f>
        <v>3</v>
      </c>
      <c r="H12" s="391">
        <f>B4</f>
        <v>3</v>
      </c>
    </row>
    <row r="13" spans="1:8" ht="15" customHeight="1">
      <c r="A13" s="3435" t="s">
        <v>396</v>
      </c>
      <c r="B13" s="3435"/>
      <c r="C13" s="390">
        <f>B7</f>
        <v>4</v>
      </c>
      <c r="D13" s="390">
        <f>B7</f>
        <v>4</v>
      </c>
      <c r="E13" s="390">
        <f>B7</f>
        <v>4</v>
      </c>
      <c r="F13" s="391">
        <f>B7</f>
        <v>4</v>
      </c>
      <c r="G13" s="391">
        <f>B7</f>
        <v>4</v>
      </c>
      <c r="H13" s="391">
        <f>B7</f>
        <v>4</v>
      </c>
    </row>
    <row r="14" spans="1:8" ht="15" customHeight="1">
      <c r="A14" s="392"/>
      <c r="B14" s="392"/>
      <c r="C14" s="393"/>
      <c r="D14" s="394"/>
      <c r="E14" s="394"/>
      <c r="F14" s="394"/>
      <c r="G14" s="394"/>
      <c r="H14" s="394"/>
    </row>
    <row r="15" spans="1:8" ht="21" customHeight="1">
      <c r="A15" s="1071" t="s">
        <v>1027</v>
      </c>
      <c r="B15" s="1071"/>
      <c r="C15" s="1075" t="s">
        <v>403</v>
      </c>
      <c r="D15" s="1076" t="s">
        <v>1464</v>
      </c>
      <c r="E15" s="1076" t="s">
        <v>1465</v>
      </c>
      <c r="F15" s="1076" t="s">
        <v>1466</v>
      </c>
      <c r="G15" s="1076" t="s">
        <v>1467</v>
      </c>
      <c r="H15" s="1076" t="s">
        <v>1471</v>
      </c>
    </row>
    <row r="16" spans="1:8" ht="15" customHeight="1">
      <c r="A16" s="3426" t="s">
        <v>1028</v>
      </c>
      <c r="B16" s="3427"/>
      <c r="C16" s="3"/>
      <c r="D16" s="395"/>
      <c r="E16" s="383"/>
      <c r="F16" s="383"/>
      <c r="G16" s="383"/>
      <c r="H16" s="383"/>
    </row>
    <row r="17" spans="1:8" ht="15" customHeight="1">
      <c r="A17" s="3426" t="s">
        <v>1025</v>
      </c>
      <c r="B17" s="3427"/>
      <c r="C17" s="3"/>
      <c r="D17" s="3"/>
      <c r="E17" s="3"/>
      <c r="F17" s="3"/>
      <c r="G17" s="3"/>
      <c r="H17" s="3"/>
    </row>
    <row r="18" spans="1:8" ht="15" customHeight="1">
      <c r="A18" s="3436" t="s">
        <v>397</v>
      </c>
      <c r="B18" s="3436"/>
      <c r="C18" s="396"/>
      <c r="D18" s="1056"/>
      <c r="E18" s="383"/>
      <c r="F18" s="383"/>
      <c r="G18" s="383"/>
      <c r="H18" s="383"/>
    </row>
    <row r="19" spans="1:8" ht="15" customHeight="1">
      <c r="A19" s="3436" t="s">
        <v>398</v>
      </c>
      <c r="B19" s="3436"/>
      <c r="C19" s="396"/>
      <c r="D19" s="1056"/>
      <c r="E19" s="383"/>
      <c r="F19" s="383"/>
      <c r="G19" s="383"/>
      <c r="H19" s="383"/>
    </row>
    <row r="20" spans="1:8" ht="15" customHeight="1">
      <c r="A20" s="3428" t="s">
        <v>399</v>
      </c>
      <c r="B20" s="3429"/>
      <c r="C20" s="3"/>
      <c r="D20" s="1056"/>
      <c r="E20" s="383"/>
      <c r="F20" s="383"/>
      <c r="G20" s="383"/>
      <c r="H20" s="383"/>
    </row>
    <row r="21" spans="1:8" ht="15" customHeight="1">
      <c r="A21" s="3430" t="s">
        <v>395</v>
      </c>
      <c r="B21" s="3431"/>
      <c r="C21" s="3"/>
      <c r="D21" s="396"/>
      <c r="E21" s="396"/>
      <c r="F21" s="396"/>
      <c r="G21" s="396"/>
      <c r="H21" s="396"/>
    </row>
    <row r="22" spans="1:8" ht="15" customHeight="1">
      <c r="A22" s="3428" t="s">
        <v>1026</v>
      </c>
      <c r="B22" s="3429"/>
      <c r="C22" s="396"/>
      <c r="D22" s="1056"/>
      <c r="E22" s="383"/>
      <c r="F22" s="383"/>
      <c r="G22" s="383"/>
      <c r="H22" s="383"/>
    </row>
    <row r="24" spans="1:8" ht="15" customHeight="1">
      <c r="A24" s="1072" t="s">
        <v>1029</v>
      </c>
      <c r="B24" s="1073"/>
      <c r="C24" s="1075" t="s">
        <v>403</v>
      </c>
      <c r="D24" s="1076" t="s">
        <v>1464</v>
      </c>
      <c r="E24" s="1076" t="s">
        <v>1465</v>
      </c>
      <c r="F24" s="1076" t="s">
        <v>1466</v>
      </c>
      <c r="G24" s="1076" t="s">
        <v>1467</v>
      </c>
      <c r="H24" s="1076" t="s">
        <v>1471</v>
      </c>
    </row>
    <row r="25" spans="1:8" ht="15" customHeight="1">
      <c r="A25" s="3426" t="s">
        <v>1028</v>
      </c>
      <c r="B25" s="3427"/>
      <c r="C25" s="395">
        <v>4</v>
      </c>
      <c r="D25" s="395">
        <v>5</v>
      </c>
      <c r="E25" s="395">
        <v>4.5</v>
      </c>
      <c r="F25" s="395">
        <v>4.4000000000000004</v>
      </c>
      <c r="G25" s="395">
        <v>4.0999999999999996</v>
      </c>
      <c r="H25" s="395">
        <v>3.6</v>
      </c>
    </row>
    <row r="26" spans="1:8" ht="16.5" customHeight="1">
      <c r="A26" s="3426" t="s">
        <v>1025</v>
      </c>
      <c r="B26" s="3427"/>
      <c r="C26" s="395">
        <v>3.05</v>
      </c>
      <c r="D26" s="395">
        <v>2.9</v>
      </c>
      <c r="E26" s="395">
        <v>3</v>
      </c>
      <c r="F26" s="395">
        <v>3</v>
      </c>
      <c r="G26" s="395">
        <v>3</v>
      </c>
      <c r="H26" s="383">
        <v>2.9</v>
      </c>
    </row>
    <row r="27" spans="1:8" ht="15" customHeight="1">
      <c r="A27" s="387" t="s">
        <v>392</v>
      </c>
      <c r="B27" s="3432"/>
      <c r="C27" s="395">
        <v>4.3</v>
      </c>
      <c r="D27" s="3">
        <v>4.4000000000000004</v>
      </c>
      <c r="E27" s="3">
        <v>4.5</v>
      </c>
      <c r="F27" s="383">
        <v>5.4</v>
      </c>
      <c r="G27" s="3">
        <v>4.7</v>
      </c>
      <c r="H27" s="383">
        <v>4.9000000000000004</v>
      </c>
    </row>
    <row r="28" spans="1:8" ht="15" customHeight="1">
      <c r="A28" s="388" t="s">
        <v>393</v>
      </c>
      <c r="B28" s="3433"/>
      <c r="C28" s="395">
        <v>5</v>
      </c>
      <c r="D28" s="3">
        <v>4.4000000000000004</v>
      </c>
      <c r="E28" s="3">
        <v>4.4000000000000004</v>
      </c>
      <c r="F28" s="383">
        <v>6.2</v>
      </c>
      <c r="G28" s="3">
        <v>5.3</v>
      </c>
      <c r="H28" s="383">
        <v>4.9000000000000004</v>
      </c>
    </row>
    <row r="29" spans="1:8" ht="15" customHeight="1">
      <c r="A29" s="389" t="s">
        <v>394</v>
      </c>
      <c r="B29" s="3434"/>
      <c r="C29" s="395">
        <v>0.1</v>
      </c>
      <c r="D29" s="3">
        <v>0.08</v>
      </c>
      <c r="E29" s="3">
        <v>0.12</v>
      </c>
      <c r="F29" s="383">
        <v>0.12</v>
      </c>
      <c r="G29" s="3">
        <v>0.1</v>
      </c>
      <c r="H29" s="383">
        <v>0.12</v>
      </c>
    </row>
    <row r="30" spans="1:8" ht="15" hidden="1" customHeight="1">
      <c r="A30" s="387" t="s">
        <v>392</v>
      </c>
      <c r="B30" s="3432"/>
      <c r="C30" s="395"/>
      <c r="D30" s="1056"/>
      <c r="E30" s="383"/>
      <c r="F30" s="383"/>
      <c r="G30" s="383"/>
      <c r="H30" s="383"/>
    </row>
    <row r="31" spans="1:8" ht="15" hidden="1" customHeight="1">
      <c r="A31" s="388" t="s">
        <v>393</v>
      </c>
      <c r="B31" s="3433"/>
      <c r="C31" s="395"/>
      <c r="D31" s="1056"/>
      <c r="E31" s="383"/>
      <c r="F31" s="383"/>
      <c r="G31" s="383"/>
      <c r="H31" s="383"/>
    </row>
    <row r="32" spans="1:8" ht="15" hidden="1" customHeight="1">
      <c r="A32" s="389" t="s">
        <v>394</v>
      </c>
      <c r="B32" s="3434"/>
      <c r="C32" s="395"/>
      <c r="D32" s="1056"/>
      <c r="E32" s="383"/>
      <c r="F32" s="383"/>
      <c r="G32" s="383"/>
      <c r="H32" s="383"/>
    </row>
    <row r="33" spans="1:8" ht="15.75" customHeight="1">
      <c r="A33" s="3430" t="s">
        <v>395</v>
      </c>
      <c r="B33" s="3431"/>
      <c r="C33" s="395">
        <v>0.95</v>
      </c>
      <c r="D33" s="396">
        <v>0.9</v>
      </c>
      <c r="E33" s="396">
        <v>0.95</v>
      </c>
      <c r="F33" s="396">
        <v>0.9</v>
      </c>
      <c r="G33" s="396">
        <v>0.95</v>
      </c>
      <c r="H33" s="396">
        <v>0.95</v>
      </c>
    </row>
    <row r="34" spans="1:8" ht="15" customHeight="1">
      <c r="A34" s="3428" t="s">
        <v>1026</v>
      </c>
      <c r="B34" s="3429"/>
      <c r="C34" s="395">
        <v>10</v>
      </c>
      <c r="D34" s="1056">
        <v>10</v>
      </c>
      <c r="E34" s="383">
        <v>10</v>
      </c>
      <c r="F34" s="383">
        <v>9</v>
      </c>
      <c r="G34" s="383">
        <v>9.5</v>
      </c>
      <c r="H34" s="383">
        <v>10</v>
      </c>
    </row>
    <row r="35" spans="1:8" ht="15" customHeight="1">
      <c r="A35" s="3435" t="s">
        <v>396</v>
      </c>
      <c r="B35" s="3435"/>
      <c r="C35" s="390">
        <f>B27</f>
        <v>0</v>
      </c>
      <c r="D35" s="390">
        <f>B27</f>
        <v>0</v>
      </c>
      <c r="E35" s="1788">
        <f>B27</f>
        <v>0</v>
      </c>
      <c r="F35" s="1789">
        <f>B27</f>
        <v>0</v>
      </c>
      <c r="G35" s="1789">
        <f>B27</f>
        <v>0</v>
      </c>
      <c r="H35" s="1789">
        <f>B27</f>
        <v>0</v>
      </c>
    </row>
    <row r="36" spans="1:8" ht="15" customHeight="1">
      <c r="A36" s="3435" t="s">
        <v>396</v>
      </c>
      <c r="B36" s="3435"/>
      <c r="C36" s="390">
        <f>B30</f>
        <v>0</v>
      </c>
      <c r="D36" s="390">
        <f>B30</f>
        <v>0</v>
      </c>
      <c r="E36" s="1788">
        <f>B30</f>
        <v>0</v>
      </c>
      <c r="F36" s="1789">
        <f>B30</f>
        <v>0</v>
      </c>
      <c r="G36" s="1789">
        <f>B30</f>
        <v>0</v>
      </c>
      <c r="H36" s="1789">
        <f>B30</f>
        <v>0</v>
      </c>
    </row>
    <row r="38" spans="1:8" ht="15" customHeight="1">
      <c r="A38" s="1072" t="s">
        <v>402</v>
      </c>
      <c r="B38" s="1073"/>
      <c r="C38" s="1075" t="s">
        <v>403</v>
      </c>
      <c r="D38" s="1076" t="s">
        <v>1466</v>
      </c>
      <c r="E38" s="2760"/>
      <c r="F38" s="2760"/>
      <c r="G38" s="1787"/>
      <c r="H38" s="1787"/>
    </row>
    <row r="39" spans="1:8" ht="15" customHeight="1">
      <c r="A39" s="3426" t="s">
        <v>404</v>
      </c>
      <c r="B39" s="3427"/>
      <c r="C39" s="2425">
        <v>15.4</v>
      </c>
      <c r="D39" s="383"/>
      <c r="E39" s="393"/>
      <c r="F39" s="393"/>
      <c r="G39" s="1787"/>
      <c r="H39" s="394"/>
    </row>
    <row r="40" spans="1:8" ht="15" customHeight="1">
      <c r="A40" s="3426" t="s">
        <v>405</v>
      </c>
      <c r="B40" s="3427"/>
      <c r="C40" s="2425">
        <v>7.1</v>
      </c>
      <c r="D40" s="383"/>
      <c r="E40" s="393"/>
      <c r="F40" s="393"/>
      <c r="G40" s="1787"/>
      <c r="H40" s="394"/>
    </row>
    <row r="41" spans="1:8" ht="15" customHeight="1">
      <c r="A41" s="3426" t="s">
        <v>406</v>
      </c>
      <c r="B41" s="3427"/>
      <c r="C41" s="2425">
        <v>8.3000000000000007</v>
      </c>
      <c r="D41" s="383"/>
      <c r="E41" s="393"/>
      <c r="F41" s="393"/>
      <c r="G41" s="1787"/>
      <c r="H41" s="394"/>
    </row>
    <row r="42" spans="1:8" ht="15" hidden="1" customHeight="1">
      <c r="A42" s="3426" t="s">
        <v>407</v>
      </c>
      <c r="B42" s="3427"/>
      <c r="C42" s="2425"/>
      <c r="D42" s="383"/>
      <c r="E42" s="393"/>
      <c r="F42" s="393"/>
      <c r="G42" s="1787"/>
      <c r="H42" s="394"/>
    </row>
    <row r="43" spans="1:8" ht="15" customHeight="1">
      <c r="A43" s="3426" t="s">
        <v>408</v>
      </c>
      <c r="B43" s="3427"/>
      <c r="C43" s="2425">
        <v>1.1399999999999999</v>
      </c>
      <c r="D43" s="383"/>
      <c r="E43" s="393"/>
      <c r="F43" s="393"/>
      <c r="G43" s="1787"/>
      <c r="H43" s="394"/>
    </row>
    <row r="44" spans="1:8" ht="15" customHeight="1">
      <c r="A44" s="3426" t="s">
        <v>409</v>
      </c>
      <c r="B44" s="3427"/>
      <c r="C44" s="2425">
        <v>23.5</v>
      </c>
      <c r="D44" s="383"/>
      <c r="E44" s="393"/>
      <c r="F44" s="393"/>
      <c r="G44" s="1787"/>
      <c r="H44" s="394"/>
    </row>
    <row r="45" spans="1:8" ht="15" customHeight="1">
      <c r="A45" s="3426" t="s">
        <v>410</v>
      </c>
      <c r="B45" s="3427"/>
      <c r="C45" s="2425">
        <v>8.3000000000000007</v>
      </c>
      <c r="D45" s="383"/>
      <c r="E45" s="393"/>
      <c r="F45" s="393"/>
      <c r="G45" s="1787"/>
      <c r="H45" s="394"/>
    </row>
    <row r="46" spans="1:8" ht="15" customHeight="1">
      <c r="A46" s="3426" t="s">
        <v>411</v>
      </c>
      <c r="B46" s="3427"/>
      <c r="C46" s="2425">
        <v>7.3</v>
      </c>
      <c r="D46" s="383"/>
      <c r="E46" s="393"/>
      <c r="F46" s="393"/>
      <c r="G46" s="1787"/>
      <c r="H46" s="394"/>
    </row>
    <row r="47" spans="1:8" ht="15" customHeight="1">
      <c r="A47" s="3426" t="s">
        <v>412</v>
      </c>
      <c r="B47" s="3427"/>
      <c r="C47" s="2425">
        <v>5.4</v>
      </c>
      <c r="D47" s="383"/>
      <c r="E47" s="393"/>
      <c r="F47" s="393"/>
      <c r="G47" s="393"/>
      <c r="H47" s="393"/>
    </row>
    <row r="48" spans="1:8" ht="15" hidden="1" customHeight="1">
      <c r="A48" s="3426" t="s">
        <v>413</v>
      </c>
      <c r="B48" s="3427"/>
      <c r="C48" s="395"/>
      <c r="D48" s="395"/>
      <c r="E48" s="2425"/>
      <c r="F48" s="2425"/>
      <c r="G48" s="2759"/>
      <c r="H48" s="2759"/>
    </row>
    <row r="50" spans="1:8" ht="15" customHeight="1">
      <c r="A50" s="1072" t="s">
        <v>1030</v>
      </c>
      <c r="B50" s="1073"/>
      <c r="C50" s="1074">
        <v>0.375</v>
      </c>
      <c r="D50" s="1074">
        <v>0.875</v>
      </c>
      <c r="E50" s="1071"/>
      <c r="F50" s="1071"/>
      <c r="G50" s="1071"/>
      <c r="H50" s="1071"/>
    </row>
    <row r="51" spans="1:8" ht="15" customHeight="1">
      <c r="A51" s="3426" t="s">
        <v>1031</v>
      </c>
      <c r="B51" s="3427"/>
      <c r="C51" s="2153">
        <v>1.52</v>
      </c>
      <c r="D51" s="1332">
        <v>1.5</v>
      </c>
      <c r="E51" s="396"/>
      <c r="F51" s="396"/>
      <c r="G51" s="396"/>
      <c r="H51" s="396"/>
    </row>
    <row r="52" spans="1:8" ht="15" customHeight="1">
      <c r="A52" s="3426" t="s">
        <v>414</v>
      </c>
      <c r="B52" s="3427"/>
      <c r="C52" s="2153">
        <v>1.62</v>
      </c>
      <c r="D52" s="1332">
        <v>1.68</v>
      </c>
      <c r="E52" s="396"/>
      <c r="F52" s="396"/>
      <c r="G52" s="396"/>
      <c r="H52" s="396"/>
    </row>
    <row r="53" spans="1:8" ht="15" customHeight="1">
      <c r="A53" s="3426" t="s">
        <v>1032</v>
      </c>
      <c r="B53" s="3427"/>
      <c r="C53" s="2153">
        <v>3.6</v>
      </c>
      <c r="D53" s="1332">
        <v>3.5</v>
      </c>
      <c r="E53" s="396"/>
      <c r="F53" s="396"/>
      <c r="G53" s="396"/>
      <c r="H53" s="396"/>
    </row>
    <row r="54" spans="1:8" ht="15" customHeight="1">
      <c r="A54" s="3426" t="s">
        <v>415</v>
      </c>
      <c r="B54" s="3427"/>
      <c r="C54" s="2153">
        <v>10</v>
      </c>
      <c r="D54" s="1332">
        <v>9.9</v>
      </c>
      <c r="E54" s="396"/>
      <c r="F54" s="396"/>
      <c r="G54" s="396"/>
      <c r="H54" s="396"/>
    </row>
    <row r="55" spans="1:8" ht="15.75" customHeight="1">
      <c r="A55" s="3426" t="s">
        <v>416</v>
      </c>
      <c r="B55" s="3427"/>
      <c r="C55" s="2153">
        <v>9.1</v>
      </c>
      <c r="D55" s="1332">
        <v>8.8000000000000007</v>
      </c>
      <c r="E55" s="396"/>
      <c r="F55" s="396"/>
      <c r="G55" s="396"/>
      <c r="H55" s="396"/>
    </row>
    <row r="56" spans="1:8" ht="15.75" customHeight="1">
      <c r="A56" s="3426" t="s">
        <v>417</v>
      </c>
      <c r="B56" s="3427"/>
      <c r="C56" s="2153">
        <v>10.1</v>
      </c>
      <c r="D56" s="1332">
        <v>10</v>
      </c>
      <c r="E56" s="396"/>
      <c r="F56" s="396"/>
      <c r="G56" s="396"/>
      <c r="H56" s="396"/>
    </row>
    <row r="57" spans="1:8" ht="15.75" customHeight="1">
      <c r="A57" s="3426" t="s">
        <v>418</v>
      </c>
      <c r="B57" s="3427"/>
      <c r="C57" s="2153">
        <v>9.1</v>
      </c>
      <c r="D57" s="1332">
        <v>8.9</v>
      </c>
      <c r="E57" s="396"/>
      <c r="F57" s="396"/>
      <c r="G57" s="396"/>
      <c r="H57" s="396"/>
    </row>
    <row r="58" spans="1:8" ht="15.75" customHeight="1">
      <c r="A58" s="3426" t="s">
        <v>419</v>
      </c>
      <c r="B58" s="3427"/>
      <c r="C58" s="2153">
        <v>9.9</v>
      </c>
      <c r="D58" s="1332">
        <v>9.9</v>
      </c>
      <c r="E58" s="396"/>
      <c r="F58" s="396"/>
      <c r="G58" s="396"/>
      <c r="H58" s="396"/>
    </row>
    <row r="59" spans="1:8" ht="15.75" customHeight="1">
      <c r="A59" s="3426" t="s">
        <v>420</v>
      </c>
      <c r="B59" s="3427"/>
      <c r="C59" s="2153">
        <v>9.3000000000000007</v>
      </c>
      <c r="D59" s="1332">
        <v>8.8000000000000007</v>
      </c>
      <c r="E59" s="396"/>
      <c r="F59" s="396"/>
      <c r="G59" s="396"/>
      <c r="H59" s="396"/>
    </row>
    <row r="60" spans="1:8" ht="15" customHeight="1">
      <c r="A60" s="3426" t="s">
        <v>1033</v>
      </c>
      <c r="B60" s="3427"/>
      <c r="C60" s="2153">
        <v>5.4</v>
      </c>
      <c r="D60" s="1332">
        <v>5.3</v>
      </c>
      <c r="E60" s="396"/>
      <c r="F60" s="396"/>
      <c r="G60" s="396"/>
      <c r="H60" s="396"/>
    </row>
    <row r="61" spans="1:8" ht="15" hidden="1" customHeight="1">
      <c r="A61" s="2" t="s">
        <v>1034</v>
      </c>
      <c r="B61" s="2"/>
      <c r="C61" s="1078"/>
      <c r="D61" s="1078"/>
      <c r="E61" s="396"/>
      <c r="F61" s="396"/>
      <c r="G61" s="396"/>
      <c r="H61" s="396"/>
    </row>
    <row r="62" spans="1:8" ht="15" customHeight="1">
      <c r="A62" s="750"/>
      <c r="B62" s="750"/>
      <c r="C62" s="1079"/>
      <c r="D62" s="1079"/>
      <c r="E62" s="52"/>
      <c r="F62" s="52"/>
      <c r="G62" s="52"/>
      <c r="H62" s="52"/>
    </row>
  </sheetData>
  <sheetProtection sheet="1" objects="1" scenarios="1" formatCells="0" formatColumns="0" formatRows="0" insertColumns="0" insertRows="0" insertHyperlinks="0" deleteColumns="0" deleteRows="0" selectLockedCells="1" sort="0" autoFilter="0" pivotTables="0"/>
  <mergeCells count="43">
    <mergeCell ref="A19:B19"/>
    <mergeCell ref="A2:B2"/>
    <mergeCell ref="A3:B3"/>
    <mergeCell ref="B4:B6"/>
    <mergeCell ref="B7:B9"/>
    <mergeCell ref="A10:B10"/>
    <mergeCell ref="A11:B11"/>
    <mergeCell ref="A12:B12"/>
    <mergeCell ref="A13:B13"/>
    <mergeCell ref="A16:B16"/>
    <mergeCell ref="A17:B17"/>
    <mergeCell ref="A18:B18"/>
    <mergeCell ref="A39:B39"/>
    <mergeCell ref="A20:B20"/>
    <mergeCell ref="A21:B21"/>
    <mergeCell ref="A22:B22"/>
    <mergeCell ref="A25:B25"/>
    <mergeCell ref="A26:B26"/>
    <mergeCell ref="B27:B29"/>
    <mergeCell ref="B30:B32"/>
    <mergeCell ref="A33:B33"/>
    <mergeCell ref="A34:B34"/>
    <mergeCell ref="A35:B35"/>
    <mergeCell ref="A36:B36"/>
    <mergeCell ref="A53:B53"/>
    <mergeCell ref="A40:B40"/>
    <mergeCell ref="A41:B41"/>
    <mergeCell ref="A42:B42"/>
    <mergeCell ref="A43:B43"/>
    <mergeCell ref="A44:B44"/>
    <mergeCell ref="A45:B45"/>
    <mergeCell ref="A46:B46"/>
    <mergeCell ref="A47:B47"/>
    <mergeCell ref="A48:B48"/>
    <mergeCell ref="A51:B51"/>
    <mergeCell ref="A52:B52"/>
    <mergeCell ref="A60:B60"/>
    <mergeCell ref="A54:B54"/>
    <mergeCell ref="A55:B55"/>
    <mergeCell ref="A56:B56"/>
    <mergeCell ref="A57:B57"/>
    <mergeCell ref="A58:B58"/>
    <mergeCell ref="A59:B59"/>
  </mergeCells>
  <phoneticPr fontId="7" type="noConversion"/>
  <pageMargins left="0.46" right="0.16" top="0.98" bottom="1" header="0.41" footer="0.5"/>
  <pageSetup paperSize="9" scale="88" orientation="portrait" r:id="rId1"/>
  <headerFooter alignWithMargins="0"/>
  <drawing r:id="rId2"/>
</worksheet>
</file>

<file path=xl/worksheets/sheet30.xml><?xml version="1.0" encoding="utf-8"?>
<worksheet xmlns="http://schemas.openxmlformats.org/spreadsheetml/2006/main" xmlns:r="http://schemas.openxmlformats.org/officeDocument/2006/relationships">
  <sheetPr codeName="Sheet20">
    <tabColor rgb="FFFFFF00"/>
  </sheetPr>
  <dimension ref="A1:BC119"/>
  <sheetViews>
    <sheetView showGridLines="0" zoomScale="55" zoomScaleNormal="55" workbookViewId="0">
      <pane xSplit="7" ySplit="2" topLeftCell="H38" activePane="bottomRight" state="frozen"/>
      <selection pane="topRight" activeCell="H1" sqref="H1"/>
      <selection pane="bottomLeft" activeCell="A3" sqref="A3"/>
      <selection pane="bottomRight" activeCell="AO53" sqref="AO53"/>
    </sheetView>
  </sheetViews>
  <sheetFormatPr defaultRowHeight="15.75"/>
  <cols>
    <col min="1" max="1" width="20" style="265" customWidth="1"/>
    <col min="2" max="2" width="28.5" style="265" customWidth="1"/>
    <col min="3" max="3" width="7.625" style="265" customWidth="1"/>
    <col min="4" max="4" width="8.625" style="41" customWidth="1"/>
    <col min="5" max="5" width="20" style="265" customWidth="1"/>
    <col min="6" max="6" width="12" style="265" hidden="1" customWidth="1"/>
    <col min="7" max="7" width="8" style="265" hidden="1" customWidth="1"/>
    <col min="8" max="8" width="10" style="265" customWidth="1"/>
    <col min="9" max="9" width="6.375" style="265" hidden="1" customWidth="1"/>
    <col min="10" max="10" width="2.5" style="265" customWidth="1"/>
    <col min="11" max="11" width="7.875" style="265" customWidth="1"/>
    <col min="12" max="12" width="4.75" style="265" customWidth="1"/>
    <col min="13" max="13" width="6.25" style="265" hidden="1" customWidth="1"/>
    <col min="14" max="14" width="10.625" style="265" customWidth="1"/>
    <col min="15" max="15" width="11.25" style="265" hidden="1" customWidth="1"/>
    <col min="16" max="16" width="3" style="265" customWidth="1"/>
    <col min="17" max="17" width="8.75" style="265" customWidth="1"/>
    <col min="18" max="18" width="6.5" style="265" customWidth="1"/>
    <col min="19" max="19" width="9" style="265" hidden="1" customWidth="1"/>
    <col min="20" max="20" width="8.375" style="265" customWidth="1"/>
    <col min="21" max="21" width="9" style="265" hidden="1" customWidth="1"/>
    <col min="22" max="22" width="3.75" style="265" customWidth="1"/>
    <col min="23" max="23" width="8.125" style="265" customWidth="1"/>
    <col min="24" max="24" width="4" style="265" customWidth="1"/>
    <col min="25" max="25" width="9" style="265" hidden="1" customWidth="1"/>
    <col min="26" max="26" width="7.75" style="265" customWidth="1"/>
    <col min="27" max="27" width="9" style="265" hidden="1" customWidth="1"/>
    <col min="28" max="28" width="4" style="265" customWidth="1"/>
    <col min="29" max="29" width="7.875" style="265" customWidth="1"/>
    <col min="30" max="30" width="4.875" style="41" customWidth="1"/>
    <col min="31" max="31" width="9" style="265" hidden="1" customWidth="1"/>
    <col min="32" max="32" width="8.25" style="265" customWidth="1"/>
    <col min="33" max="33" width="9" style="265" hidden="1" customWidth="1"/>
    <col min="34" max="34" width="3.75" style="265" customWidth="1"/>
    <col min="35" max="35" width="8.125" style="265" customWidth="1"/>
    <col min="36" max="36" width="4" style="265" customWidth="1"/>
    <col min="37" max="37" width="9" style="265" hidden="1" customWidth="1"/>
    <col min="38" max="38" width="7.75" style="265" customWidth="1"/>
    <col min="39" max="39" width="9" style="265" hidden="1" customWidth="1"/>
    <col min="40" max="40" width="4" style="265" customWidth="1"/>
    <col min="41" max="41" width="7.875" style="265" customWidth="1"/>
    <col min="42" max="42" width="4.875" style="41" customWidth="1"/>
    <col min="43" max="43" width="15" style="265" hidden="1" customWidth="1"/>
    <col min="44" max="44" width="12.5" style="265" customWidth="1"/>
    <col min="45" max="45" width="17" style="265" customWidth="1"/>
    <col min="46" max="16384" width="9" style="265"/>
  </cols>
  <sheetData>
    <row r="1" spans="1:45" ht="48.75" customHeight="1">
      <c r="A1" s="397" t="s">
        <v>1518</v>
      </c>
      <c r="B1" s="1223"/>
      <c r="C1" s="1223"/>
      <c r="D1" s="1223"/>
      <c r="E1" s="1223"/>
      <c r="F1" s="1223"/>
      <c r="G1" s="1223"/>
      <c r="H1" s="1223"/>
      <c r="I1" s="1223"/>
      <c r="J1" s="1223"/>
      <c r="K1" s="1223"/>
      <c r="L1" s="1223"/>
      <c r="M1" s="1223"/>
      <c r="N1" s="1223"/>
      <c r="O1" s="1223"/>
      <c r="P1" s="1223"/>
      <c r="Q1" s="1223"/>
      <c r="R1" s="1223"/>
      <c r="S1" s="1223"/>
      <c r="T1" s="1223"/>
      <c r="U1" s="1223"/>
      <c r="V1" s="1223"/>
      <c r="W1" s="1223"/>
      <c r="X1" s="1223"/>
      <c r="Y1" s="1223"/>
      <c r="Z1" s="1223"/>
      <c r="AA1" s="1223"/>
      <c r="AB1" s="1223"/>
      <c r="AC1" s="1223"/>
      <c r="AD1" s="1223"/>
      <c r="AF1" s="204"/>
      <c r="AH1" s="205" t="s">
        <v>173</v>
      </c>
      <c r="AI1" s="1224"/>
      <c r="AJ1" s="1224"/>
      <c r="AK1" s="1224"/>
      <c r="AL1" s="1224"/>
      <c r="AM1" s="1224"/>
      <c r="AN1" s="1224"/>
      <c r="AO1" s="1224"/>
      <c r="AP1" s="1224"/>
      <c r="AQ1" s="1224"/>
      <c r="AR1" s="1224"/>
    </row>
    <row r="2" spans="1:45" ht="35.25" customHeight="1">
      <c r="A2" s="1959" t="str">
        <f>MENU!$AC$9</f>
        <v>Thứ 4,</v>
      </c>
      <c r="B2" s="1994" t="str">
        <f>MENU!$AD$9</f>
        <v>2024/05/22</v>
      </c>
      <c r="C2" s="1223"/>
      <c r="D2" s="1223"/>
      <c r="E2" s="1223"/>
      <c r="F2" s="1223"/>
      <c r="G2" s="1223"/>
      <c r="H2" s="1223"/>
      <c r="I2" s="1223"/>
      <c r="J2" s="1223"/>
      <c r="K2" s="1223"/>
      <c r="L2" s="1223"/>
      <c r="M2" s="1223"/>
      <c r="N2" s="1223"/>
      <c r="O2" s="1223"/>
      <c r="P2" s="1223"/>
      <c r="Q2" s="1223"/>
      <c r="R2" s="1223"/>
      <c r="S2" s="1223"/>
      <c r="T2" s="1223"/>
      <c r="U2" s="1223"/>
      <c r="V2" s="1223"/>
      <c r="W2" s="1223"/>
      <c r="X2" s="1223"/>
      <c r="Y2" s="1223"/>
      <c r="Z2" s="1223"/>
      <c r="AA2" s="1223"/>
      <c r="AB2" s="1223"/>
      <c r="AC2" s="1223"/>
      <c r="AD2" s="1223"/>
      <c r="AF2" s="1225"/>
      <c r="AH2" s="205" t="s">
        <v>174</v>
      </c>
      <c r="AI2" s="1224"/>
      <c r="AJ2" s="1224"/>
      <c r="AK2" s="1224"/>
      <c r="AL2" s="1224"/>
      <c r="AM2" s="1224"/>
      <c r="AN2" s="1224"/>
      <c r="AO2" s="1224"/>
      <c r="AP2" s="1224"/>
      <c r="AQ2" s="1224"/>
      <c r="AR2" s="1224"/>
    </row>
    <row r="3" spans="1:45" ht="41.25" customHeight="1">
      <c r="A3" s="1962" t="s">
        <v>421</v>
      </c>
      <c r="B3" s="1963"/>
      <c r="C3" s="1964"/>
      <c r="D3" s="1964"/>
      <c r="E3" s="1965"/>
      <c r="F3" s="1966" t="s">
        <v>72</v>
      </c>
      <c r="G3" s="1910"/>
      <c r="H3" s="1967" t="s">
        <v>72</v>
      </c>
      <c r="I3" s="1967"/>
      <c r="J3" s="1967"/>
      <c r="K3" s="1967"/>
      <c r="L3" s="1967"/>
      <c r="M3" s="1967"/>
      <c r="N3" s="1967"/>
      <c r="O3" s="1967"/>
      <c r="P3" s="1967"/>
      <c r="Q3" s="1967"/>
      <c r="R3" s="1967"/>
      <c r="S3" s="1967"/>
      <c r="T3" s="1967"/>
      <c r="U3" s="1967"/>
      <c r="V3" s="1967"/>
      <c r="W3" s="1967"/>
      <c r="X3" s="1967"/>
      <c r="Y3" s="1967"/>
      <c r="Z3" s="1967"/>
      <c r="AA3" s="1967"/>
      <c r="AB3" s="1967"/>
      <c r="AC3" s="1967"/>
      <c r="AD3" s="1967"/>
      <c r="AE3" s="1967"/>
      <c r="AF3" s="1967"/>
      <c r="AG3" s="1967"/>
      <c r="AH3" s="1967"/>
      <c r="AI3" s="1967"/>
      <c r="AJ3" s="1967"/>
      <c r="AK3" s="1967"/>
      <c r="AL3" s="1967"/>
      <c r="AM3" s="1967"/>
      <c r="AN3" s="1967"/>
      <c r="AO3" s="1967"/>
      <c r="AP3" s="1967"/>
      <c r="AS3" s="1823"/>
    </row>
    <row r="4" spans="1:45" s="41" customFormat="1" ht="33" customHeight="1">
      <c r="A4" s="418"/>
      <c r="B4" s="3448" t="s">
        <v>76</v>
      </c>
      <c r="C4" s="3449"/>
      <c r="D4" s="3452" t="s">
        <v>124</v>
      </c>
      <c r="E4" s="3454" t="s">
        <v>64</v>
      </c>
      <c r="F4" s="1226"/>
      <c r="G4" s="83"/>
      <c r="H4" s="3441" t="s">
        <v>472</v>
      </c>
      <c r="I4" s="3441"/>
      <c r="J4" s="3441"/>
      <c r="K4" s="3441"/>
      <c r="L4" s="3441"/>
      <c r="M4" s="1227"/>
      <c r="N4" s="3466" t="s">
        <v>1464</v>
      </c>
      <c r="O4" s="3466"/>
      <c r="P4" s="3466"/>
      <c r="Q4" s="3466"/>
      <c r="R4" s="3466"/>
      <c r="S4" s="1227"/>
      <c r="T4" s="3441" t="s">
        <v>1465</v>
      </c>
      <c r="U4" s="3441"/>
      <c r="V4" s="3441"/>
      <c r="W4" s="3441"/>
      <c r="X4" s="3441"/>
      <c r="Y4" s="1227"/>
      <c r="Z4" s="3441" t="s">
        <v>1466</v>
      </c>
      <c r="AA4" s="3441"/>
      <c r="AB4" s="3441"/>
      <c r="AC4" s="3441"/>
      <c r="AD4" s="3441"/>
      <c r="AE4" s="1227"/>
      <c r="AF4" s="3441" t="s">
        <v>1467</v>
      </c>
      <c r="AG4" s="3441"/>
      <c r="AH4" s="3441"/>
      <c r="AI4" s="3441"/>
      <c r="AJ4" s="3441"/>
      <c r="AK4" s="1227"/>
      <c r="AL4" s="3441" t="s">
        <v>1468</v>
      </c>
      <c r="AM4" s="3441"/>
      <c r="AN4" s="3441"/>
      <c r="AO4" s="3441"/>
      <c r="AP4" s="3441"/>
      <c r="AQ4" s="418"/>
      <c r="AR4" s="404"/>
    </row>
    <row r="5" spans="1:45" s="41" customFormat="1" ht="33" customHeight="1">
      <c r="A5" s="404" t="s">
        <v>238</v>
      </c>
      <c r="B5" s="3450"/>
      <c r="C5" s="3451"/>
      <c r="D5" s="3453"/>
      <c r="E5" s="3455"/>
      <c r="F5" s="1228" t="s">
        <v>422</v>
      </c>
      <c r="G5" s="20"/>
      <c r="H5" s="1204" t="s">
        <v>129</v>
      </c>
      <c r="I5" s="34" t="s">
        <v>1</v>
      </c>
      <c r="J5" s="283" t="s">
        <v>1</v>
      </c>
      <c r="K5" s="283"/>
      <c r="L5" s="284"/>
      <c r="M5" s="85"/>
      <c r="N5" s="1204" t="s">
        <v>129</v>
      </c>
      <c r="O5" s="34" t="s">
        <v>1</v>
      </c>
      <c r="P5" s="283" t="s">
        <v>1</v>
      </c>
      <c r="Q5" s="283"/>
      <c r="R5" s="284"/>
      <c r="S5" s="20"/>
      <c r="T5" s="1204" t="s">
        <v>129</v>
      </c>
      <c r="U5" s="34" t="s">
        <v>1</v>
      </c>
      <c r="V5" s="283" t="s">
        <v>1</v>
      </c>
      <c r="W5" s="283"/>
      <c r="X5" s="284"/>
      <c r="Y5" s="85"/>
      <c r="Z5" s="1204" t="s">
        <v>129</v>
      </c>
      <c r="AA5" s="34" t="s">
        <v>1</v>
      </c>
      <c r="AB5" s="283" t="s">
        <v>1</v>
      </c>
      <c r="AC5" s="283"/>
      <c r="AD5" s="284"/>
      <c r="AE5" s="85"/>
      <c r="AF5" s="1204" t="s">
        <v>129</v>
      </c>
      <c r="AG5" s="34" t="s">
        <v>1</v>
      </c>
      <c r="AH5" s="283" t="s">
        <v>1</v>
      </c>
      <c r="AI5" s="283"/>
      <c r="AJ5" s="284"/>
      <c r="AK5" s="85"/>
      <c r="AL5" s="1204" t="s">
        <v>129</v>
      </c>
      <c r="AM5" s="34" t="s">
        <v>1</v>
      </c>
      <c r="AN5" s="283" t="s">
        <v>1</v>
      </c>
      <c r="AO5" s="283"/>
      <c r="AP5" s="284"/>
      <c r="AQ5" s="404" t="s">
        <v>423</v>
      </c>
      <c r="AR5" s="404"/>
    </row>
    <row r="6" spans="1:45" ht="33.75" customHeight="1">
      <c r="A6" s="1206" t="s">
        <v>424</v>
      </c>
      <c r="B6" s="3288" t="s">
        <v>835</v>
      </c>
      <c r="C6" s="3290"/>
      <c r="D6" s="1040" t="s">
        <v>3</v>
      </c>
      <c r="E6" s="102" t="s">
        <v>426</v>
      </c>
      <c r="F6" s="1229">
        <v>12.5</v>
      </c>
      <c r="G6" s="1230">
        <f>R.HN!C2</f>
        <v>0</v>
      </c>
      <c r="H6" s="35">
        <f>(1*G6*36.5)/(1*10)</f>
        <v>0</v>
      </c>
      <c r="I6" s="35">
        <f>($F$6-H6)*748/32</f>
        <v>292.1875</v>
      </c>
      <c r="J6" s="37" t="s">
        <v>8</v>
      </c>
      <c r="K6" s="38">
        <f>IF(I6&lt;0,0,I6)</f>
        <v>292.1875</v>
      </c>
      <c r="L6" s="212" t="s">
        <v>10</v>
      </c>
      <c r="M6" s="244">
        <f>R.HN!D2</f>
        <v>0</v>
      </c>
      <c r="N6" s="35">
        <f>(1*M6*36.5)/(1*10)</f>
        <v>0</v>
      </c>
      <c r="O6" s="35">
        <f>($F$6-N6)*748/32</f>
        <v>292.1875</v>
      </c>
      <c r="P6" s="37" t="s">
        <v>8</v>
      </c>
      <c r="Q6" s="38">
        <f>IF(O6&lt;0,0,O6)</f>
        <v>292.1875</v>
      </c>
      <c r="R6" s="39" t="s">
        <v>10</v>
      </c>
      <c r="S6" s="88">
        <f>R.HN!E2</f>
        <v>0</v>
      </c>
      <c r="T6" s="35">
        <f>(1*S6*36.5)/(1*10)</f>
        <v>0</v>
      </c>
      <c r="U6" s="35">
        <f>($F$6-T6)*748/32</f>
        <v>292.1875</v>
      </c>
      <c r="V6" s="37" t="s">
        <v>8</v>
      </c>
      <c r="W6" s="38">
        <f>IF(U6&lt;0,0,U6)</f>
        <v>292.1875</v>
      </c>
      <c r="X6" s="39" t="s">
        <v>10</v>
      </c>
      <c r="Y6" s="88">
        <f>R.HN!F2</f>
        <v>0</v>
      </c>
      <c r="Z6" s="35">
        <f>(1*Y6*36.5)/(1*10)</f>
        <v>0</v>
      </c>
      <c r="AA6" s="35">
        <f>($F$6-Z6)*748/32</f>
        <v>292.1875</v>
      </c>
      <c r="AB6" s="37" t="s">
        <v>8</v>
      </c>
      <c r="AC6" s="38">
        <f>IF(AA6&lt;0,0,AA6)</f>
        <v>292.1875</v>
      </c>
      <c r="AD6" s="39" t="s">
        <v>10</v>
      </c>
      <c r="AE6" s="88">
        <f>R.HN!G2</f>
        <v>0</v>
      </c>
      <c r="AF6" s="35">
        <f>(1*AE6*36.5)/(1*10)</f>
        <v>0</v>
      </c>
      <c r="AG6" s="35">
        <f>($F$6-AF6)*748/32</f>
        <v>292.1875</v>
      </c>
      <c r="AH6" s="37" t="s">
        <v>8</v>
      </c>
      <c r="AI6" s="38">
        <f>IF(AG6&lt;0,0,AG6)</f>
        <v>292.1875</v>
      </c>
      <c r="AJ6" s="39" t="s">
        <v>10</v>
      </c>
      <c r="AK6" s="88">
        <f>R.HN!H2</f>
        <v>0</v>
      </c>
      <c r="AL6" s="35">
        <f>(1*AK6*36.5)/(1*10)</f>
        <v>0</v>
      </c>
      <c r="AM6" s="35">
        <f>($F$6-AL6)*748/32</f>
        <v>292.1875</v>
      </c>
      <c r="AN6" s="37" t="s">
        <v>8</v>
      </c>
      <c r="AO6" s="38">
        <f>IF(AM6&lt;0,0,AM6)</f>
        <v>292.1875</v>
      </c>
      <c r="AP6" s="39" t="s">
        <v>10</v>
      </c>
      <c r="AQ6" s="265" t="s">
        <v>427</v>
      </c>
    </row>
    <row r="7" spans="1:45" ht="33.75" customHeight="1">
      <c r="A7" s="1206" t="s">
        <v>428</v>
      </c>
      <c r="B7" s="3288" t="s">
        <v>836</v>
      </c>
      <c r="C7" s="3290"/>
      <c r="D7" s="1040" t="s">
        <v>3</v>
      </c>
      <c r="E7" s="102" t="s">
        <v>426</v>
      </c>
      <c r="F7" s="1229">
        <v>12.5</v>
      </c>
      <c r="G7" s="1230">
        <f>R.HN!C3</f>
        <v>0</v>
      </c>
      <c r="H7" s="35">
        <f>(1*G7*36.5)/(1*10)</f>
        <v>0</v>
      </c>
      <c r="I7" s="35">
        <f>($F$6-H7)*748/32</f>
        <v>292.1875</v>
      </c>
      <c r="J7" s="37" t="s">
        <v>8</v>
      </c>
      <c r="K7" s="38">
        <f>IF(I7&lt;0,0,I7)</f>
        <v>292.1875</v>
      </c>
      <c r="L7" s="212" t="s">
        <v>10</v>
      </c>
      <c r="M7" s="244">
        <f>R.HN!D3</f>
        <v>0</v>
      </c>
      <c r="N7" s="35">
        <f>(1*M7*36.5)/(1*10)</f>
        <v>0</v>
      </c>
      <c r="O7" s="35">
        <f>($F$6-N7)*748/32</f>
        <v>292.1875</v>
      </c>
      <c r="P7" s="37" t="s">
        <v>8</v>
      </c>
      <c r="Q7" s="38">
        <f>IF(O7&lt;0,0,O7)</f>
        <v>292.1875</v>
      </c>
      <c r="R7" s="39" t="s">
        <v>10</v>
      </c>
      <c r="S7" s="88">
        <f>R.HN!E3</f>
        <v>0</v>
      </c>
      <c r="T7" s="35">
        <f>(1*S7*36.5)/(1*10)</f>
        <v>0</v>
      </c>
      <c r="U7" s="35">
        <f>($F$6-T7)*748/32</f>
        <v>292.1875</v>
      </c>
      <c r="V7" s="37" t="s">
        <v>8</v>
      </c>
      <c r="W7" s="38">
        <f>IF(U7&lt;0,0,U7)</f>
        <v>292.1875</v>
      </c>
      <c r="X7" s="39" t="s">
        <v>10</v>
      </c>
      <c r="Y7" s="88">
        <f>R.HN!F3</f>
        <v>0</v>
      </c>
      <c r="Z7" s="35">
        <f>(1*Y7*36.5)/(1*10)</f>
        <v>0</v>
      </c>
      <c r="AA7" s="35">
        <f>($F$6-Z7)*748/32</f>
        <v>292.1875</v>
      </c>
      <c r="AB7" s="37" t="s">
        <v>8</v>
      </c>
      <c r="AC7" s="38">
        <f>IF(AA7&lt;0,0,AA7)</f>
        <v>292.1875</v>
      </c>
      <c r="AD7" s="39" t="s">
        <v>10</v>
      </c>
      <c r="AE7" s="88">
        <f>R.HN!G3</f>
        <v>0</v>
      </c>
      <c r="AF7" s="35">
        <f>(1*AE7*36.5)/(1*10)</f>
        <v>0</v>
      </c>
      <c r="AG7" s="35">
        <f>($F$6-AF7)*748/32</f>
        <v>292.1875</v>
      </c>
      <c r="AH7" s="37" t="s">
        <v>8</v>
      </c>
      <c r="AI7" s="38">
        <f>IF(AG7&lt;0,0,AG7)</f>
        <v>292.1875</v>
      </c>
      <c r="AJ7" s="39" t="s">
        <v>10</v>
      </c>
      <c r="AK7" s="88">
        <f>R.HN!H3</f>
        <v>0</v>
      </c>
      <c r="AL7" s="35">
        <f>(1*AK7*36.5)/(1*10)</f>
        <v>0</v>
      </c>
      <c r="AM7" s="35">
        <f>($F$6-AL7)*748/32</f>
        <v>292.1875</v>
      </c>
      <c r="AN7" s="37" t="s">
        <v>8</v>
      </c>
      <c r="AO7" s="38">
        <f>IF(AM7&lt;0,0,AM7)</f>
        <v>292.1875</v>
      </c>
      <c r="AP7" s="39" t="s">
        <v>10</v>
      </c>
      <c r="AQ7" s="265" t="s">
        <v>427</v>
      </c>
    </row>
    <row r="8" spans="1:45" ht="33.75" customHeight="1">
      <c r="A8" s="1206" t="s">
        <v>429</v>
      </c>
      <c r="B8" s="3240" t="s">
        <v>430</v>
      </c>
      <c r="C8" s="3468">
        <f>R.HN!B4</f>
        <v>3</v>
      </c>
      <c r="D8" s="3465" t="s">
        <v>431</v>
      </c>
      <c r="E8" s="102" t="s">
        <v>1061</v>
      </c>
      <c r="F8" s="1231">
        <v>50</v>
      </c>
      <c r="G8" s="1230">
        <f>R.HN!C4</f>
        <v>0</v>
      </c>
      <c r="H8" s="35">
        <f>G8*10</f>
        <v>0</v>
      </c>
      <c r="I8" s="35">
        <f>($F$8-H8)*2*694/1000</f>
        <v>69.400000000000006</v>
      </c>
      <c r="J8" s="37" t="s">
        <v>8</v>
      </c>
      <c r="K8" s="38">
        <f>IF(I8&lt;0,0,I8)</f>
        <v>69.400000000000006</v>
      </c>
      <c r="L8" s="212" t="s">
        <v>9</v>
      </c>
      <c r="M8" s="244">
        <f>R.HN!D4</f>
        <v>0</v>
      </c>
      <c r="N8" s="35">
        <f>M8*10</f>
        <v>0</v>
      </c>
      <c r="O8" s="35">
        <f>($F$8-N8)*2*694/1000</f>
        <v>69.400000000000006</v>
      </c>
      <c r="P8" s="37" t="s">
        <v>8</v>
      </c>
      <c r="Q8" s="38">
        <f>IF(O8&lt;0,0,O8)</f>
        <v>69.400000000000006</v>
      </c>
      <c r="R8" s="39" t="s">
        <v>9</v>
      </c>
      <c r="S8" s="88">
        <f>R.HN!E4</f>
        <v>0</v>
      </c>
      <c r="T8" s="35">
        <f>S8*10</f>
        <v>0</v>
      </c>
      <c r="U8" s="35">
        <f>($F$8-T8)*2*694/1000</f>
        <v>69.400000000000006</v>
      </c>
      <c r="V8" s="37" t="s">
        <v>8</v>
      </c>
      <c r="W8" s="38">
        <f>IF(U8&lt;0,0,U8)</f>
        <v>69.400000000000006</v>
      </c>
      <c r="X8" s="39" t="s">
        <v>9</v>
      </c>
      <c r="Y8" s="88">
        <f>R.HN!F4</f>
        <v>0</v>
      </c>
      <c r="Z8" s="35">
        <f>Y8*10</f>
        <v>0</v>
      </c>
      <c r="AA8" s="35">
        <f>($F$8-Z8)*2*694/1000</f>
        <v>69.400000000000006</v>
      </c>
      <c r="AB8" s="37" t="s">
        <v>8</v>
      </c>
      <c r="AC8" s="38">
        <f>IF(AA8&lt;0,0,AA8)</f>
        <v>69.400000000000006</v>
      </c>
      <c r="AD8" s="39" t="s">
        <v>9</v>
      </c>
      <c r="AE8" s="88">
        <f>R.HN!G4</f>
        <v>0</v>
      </c>
      <c r="AF8" s="35">
        <f>AE8*10</f>
        <v>0</v>
      </c>
      <c r="AG8" s="35">
        <f>($F$8-AF8)*2*694/1000</f>
        <v>69.400000000000006</v>
      </c>
      <c r="AH8" s="37" t="s">
        <v>8</v>
      </c>
      <c r="AI8" s="38">
        <f>IF(AG8&lt;0,0,AG8)</f>
        <v>69.400000000000006</v>
      </c>
      <c r="AJ8" s="39" t="s">
        <v>9</v>
      </c>
      <c r="AK8" s="88">
        <f>R.HN!H4</f>
        <v>0</v>
      </c>
      <c r="AL8" s="35">
        <f>AK8*10</f>
        <v>0</v>
      </c>
      <c r="AM8" s="35">
        <f>($F$8-AL8)*2*694/1000</f>
        <v>69.400000000000006</v>
      </c>
      <c r="AN8" s="37" t="s">
        <v>8</v>
      </c>
      <c r="AO8" s="38">
        <f>IF(AM8&lt;0,0,AM8)</f>
        <v>69.400000000000006</v>
      </c>
      <c r="AP8" s="39" t="s">
        <v>9</v>
      </c>
      <c r="AQ8" s="265" t="s">
        <v>427</v>
      </c>
    </row>
    <row r="9" spans="1:45" ht="33.75" customHeight="1">
      <c r="A9" s="1206" t="s">
        <v>432</v>
      </c>
      <c r="B9" s="3241"/>
      <c r="C9" s="3469"/>
      <c r="D9" s="3465"/>
      <c r="E9" s="102" t="s">
        <v>1062</v>
      </c>
      <c r="F9" s="1232">
        <v>6.5</v>
      </c>
      <c r="G9" s="1230">
        <f>R.HN!C5</f>
        <v>0</v>
      </c>
      <c r="H9" s="35">
        <f>IFERROR(H8/G9,0)</f>
        <v>0</v>
      </c>
      <c r="I9" s="35">
        <f>($F$9-H9)*694/1000</f>
        <v>4.5110000000000001</v>
      </c>
      <c r="J9" s="37"/>
      <c r="K9" s="38">
        <f>IF(I9&lt;0,0,I9)</f>
        <v>4.5110000000000001</v>
      </c>
      <c r="L9" s="212" t="s">
        <v>9</v>
      </c>
      <c r="M9" s="244">
        <f>R.HN!D5</f>
        <v>0</v>
      </c>
      <c r="N9" s="35">
        <f>IFERROR(N8/M9,0)</f>
        <v>0</v>
      </c>
      <c r="O9" s="35">
        <f>($F$9-N9)*694/1000</f>
        <v>4.5110000000000001</v>
      </c>
      <c r="P9" s="37"/>
      <c r="Q9" s="38">
        <f>IF(O9&lt;0,0,O9)</f>
        <v>4.5110000000000001</v>
      </c>
      <c r="R9" s="39" t="s">
        <v>9</v>
      </c>
      <c r="S9" s="88">
        <f>R.HN!E5</f>
        <v>0</v>
      </c>
      <c r="T9" s="35">
        <f>IFERROR(T8/S9,0)</f>
        <v>0</v>
      </c>
      <c r="U9" s="35">
        <f>($F$9-T9)*694/1000</f>
        <v>4.5110000000000001</v>
      </c>
      <c r="V9" s="37"/>
      <c r="W9" s="38">
        <f>IF(U9&lt;0,0,U9)</f>
        <v>4.5110000000000001</v>
      </c>
      <c r="X9" s="39" t="s">
        <v>9</v>
      </c>
      <c r="Y9" s="88">
        <f>R.HN!F5</f>
        <v>0</v>
      </c>
      <c r="Z9" s="35">
        <f>IFERROR(Z8/Y9,0)</f>
        <v>0</v>
      </c>
      <c r="AA9" s="35">
        <f>($F$9-Z9)*694/1000</f>
        <v>4.5110000000000001</v>
      </c>
      <c r="AB9" s="37"/>
      <c r="AC9" s="38">
        <f>IF(AA9&lt;0,0,AA9)</f>
        <v>4.5110000000000001</v>
      </c>
      <c r="AD9" s="39" t="s">
        <v>9</v>
      </c>
      <c r="AE9" s="88">
        <f>R.HN!G5</f>
        <v>0</v>
      </c>
      <c r="AF9" s="35">
        <f>IFERROR(AF8/AE9,0)</f>
        <v>0</v>
      </c>
      <c r="AG9" s="35">
        <f>($F$9-AF9)*694/1000</f>
        <v>4.5110000000000001</v>
      </c>
      <c r="AH9" s="37"/>
      <c r="AI9" s="38">
        <f>IF(AG9&lt;0,0,AG9)</f>
        <v>4.5110000000000001</v>
      </c>
      <c r="AJ9" s="39" t="s">
        <v>9</v>
      </c>
      <c r="AK9" s="88">
        <f>R.HN!H5</f>
        <v>0</v>
      </c>
      <c r="AL9" s="35">
        <f>IFERROR(AL8/AK9,0)</f>
        <v>0</v>
      </c>
      <c r="AM9" s="35">
        <f>($F$9-AL9)*694/1000</f>
        <v>4.5110000000000001</v>
      </c>
      <c r="AN9" s="37"/>
      <c r="AO9" s="38">
        <f>IF(AM9&lt;0,0,AM9)</f>
        <v>4.5110000000000001</v>
      </c>
      <c r="AP9" s="39" t="s">
        <v>9</v>
      </c>
      <c r="AQ9" s="265" t="s">
        <v>427</v>
      </c>
    </row>
    <row r="10" spans="1:45" ht="33.75" customHeight="1">
      <c r="A10" s="1206" t="s">
        <v>433</v>
      </c>
      <c r="B10" s="3467"/>
      <c r="C10" s="3470"/>
      <c r="D10" s="3465"/>
      <c r="E10" s="102" t="s">
        <v>1063</v>
      </c>
      <c r="F10" s="1229">
        <v>0.4</v>
      </c>
      <c r="G10" s="1230">
        <f>R.HN!C6</f>
        <v>0</v>
      </c>
      <c r="H10" s="1233">
        <f>G10</f>
        <v>0</v>
      </c>
      <c r="I10" s="35">
        <f>($F$10-H10)*5</f>
        <v>2</v>
      </c>
      <c r="J10" s="37"/>
      <c r="K10" s="40"/>
      <c r="L10" s="212" t="s">
        <v>9</v>
      </c>
      <c r="M10" s="244">
        <f>R.HN!D6</f>
        <v>0</v>
      </c>
      <c r="N10" s="1233">
        <f>M10</f>
        <v>0</v>
      </c>
      <c r="O10" s="35">
        <f>($F$10-N10)*5</f>
        <v>2</v>
      </c>
      <c r="P10" s="37"/>
      <c r="Q10" s="40"/>
      <c r="R10" s="39" t="s">
        <v>9</v>
      </c>
      <c r="S10" s="88">
        <f>R.HN!E6</f>
        <v>0</v>
      </c>
      <c r="T10" s="1233">
        <f>S10</f>
        <v>0</v>
      </c>
      <c r="U10" s="35">
        <f>($F$10-T10)*5</f>
        <v>2</v>
      </c>
      <c r="V10" s="37"/>
      <c r="W10" s="40"/>
      <c r="X10" s="39" t="s">
        <v>9</v>
      </c>
      <c r="Y10" s="88">
        <f>R.HN!F6</f>
        <v>0</v>
      </c>
      <c r="Z10" s="1233">
        <f>Y10</f>
        <v>0</v>
      </c>
      <c r="AA10" s="35">
        <f>($F$10-Z10)*5</f>
        <v>2</v>
      </c>
      <c r="AB10" s="37"/>
      <c r="AC10" s="40"/>
      <c r="AD10" s="39" t="s">
        <v>9</v>
      </c>
      <c r="AE10" s="88">
        <f>R.HN!G6</f>
        <v>0</v>
      </c>
      <c r="AF10" s="1233">
        <f>AE10</f>
        <v>0</v>
      </c>
      <c r="AG10" s="35">
        <f>($F$10-AF10)*5</f>
        <v>2</v>
      </c>
      <c r="AH10" s="37"/>
      <c r="AI10" s="40"/>
      <c r="AJ10" s="39" t="s">
        <v>9</v>
      </c>
      <c r="AK10" s="88">
        <f>R.HN!H6</f>
        <v>0</v>
      </c>
      <c r="AL10" s="1233">
        <f>AK10</f>
        <v>0</v>
      </c>
      <c r="AM10" s="35">
        <f>($F$10-AL10)*5</f>
        <v>2</v>
      </c>
      <c r="AN10" s="37"/>
      <c r="AO10" s="40" t="s">
        <v>434</v>
      </c>
      <c r="AP10" s="39" t="s">
        <v>9</v>
      </c>
      <c r="AQ10" s="265" t="s">
        <v>427</v>
      </c>
    </row>
    <row r="11" spans="1:45" ht="33.75" customHeight="1">
      <c r="A11" s="1206" t="s">
        <v>435</v>
      </c>
      <c r="B11" s="3240" t="s">
        <v>436</v>
      </c>
      <c r="C11" s="3468">
        <f>R.HN!B7</f>
        <v>4</v>
      </c>
      <c r="D11" s="3465" t="s">
        <v>431</v>
      </c>
      <c r="E11" s="102" t="s">
        <v>1061</v>
      </c>
      <c r="F11" s="1231">
        <v>50</v>
      </c>
      <c r="G11" s="1230">
        <f>R.HN!C7</f>
        <v>0</v>
      </c>
      <c r="H11" s="35">
        <f>G11*10</f>
        <v>0</v>
      </c>
      <c r="I11" s="35">
        <f>($F$8-H11)*2*694/1000</f>
        <v>69.400000000000006</v>
      </c>
      <c r="J11" s="37" t="s">
        <v>8</v>
      </c>
      <c r="K11" s="38">
        <f>IF(I11&lt;0,0,I11)</f>
        <v>69.400000000000006</v>
      </c>
      <c r="L11" s="212" t="s">
        <v>9</v>
      </c>
      <c r="M11" s="244">
        <f>R.HN!D7</f>
        <v>0</v>
      </c>
      <c r="N11" s="35">
        <f>M11*10</f>
        <v>0</v>
      </c>
      <c r="O11" s="35">
        <f>($F$8-N11)*2*694/1000</f>
        <v>69.400000000000006</v>
      </c>
      <c r="P11" s="37" t="s">
        <v>8</v>
      </c>
      <c r="Q11" s="38">
        <f>IF(O11&lt;0,0,O11)</f>
        <v>69.400000000000006</v>
      </c>
      <c r="R11" s="39" t="s">
        <v>9</v>
      </c>
      <c r="S11" s="88">
        <f>R.HN!E7</f>
        <v>0</v>
      </c>
      <c r="T11" s="35">
        <f>S11*10</f>
        <v>0</v>
      </c>
      <c r="U11" s="35">
        <f>($F$8-T11)*2*694/1000</f>
        <v>69.400000000000006</v>
      </c>
      <c r="V11" s="37" t="s">
        <v>8</v>
      </c>
      <c r="W11" s="38">
        <f>IF(U11&lt;0,0,U11)</f>
        <v>69.400000000000006</v>
      </c>
      <c r="X11" s="39" t="s">
        <v>9</v>
      </c>
      <c r="Y11" s="88">
        <f>R.HN!F7</f>
        <v>0</v>
      </c>
      <c r="Z11" s="35">
        <f>Y11*10</f>
        <v>0</v>
      </c>
      <c r="AA11" s="35">
        <f>($F$8-Z11)*2*694/1000</f>
        <v>69.400000000000006</v>
      </c>
      <c r="AB11" s="37" t="s">
        <v>8</v>
      </c>
      <c r="AC11" s="38">
        <f>IF(AA11&lt;0,0,AA11)</f>
        <v>69.400000000000006</v>
      </c>
      <c r="AD11" s="39" t="s">
        <v>9</v>
      </c>
      <c r="AE11" s="88">
        <f>R.HN!G7</f>
        <v>0</v>
      </c>
      <c r="AF11" s="35">
        <f>AE11*10</f>
        <v>0</v>
      </c>
      <c r="AG11" s="35">
        <f>($F$8-AF11)*2*694/1000</f>
        <v>69.400000000000006</v>
      </c>
      <c r="AH11" s="37" t="s">
        <v>8</v>
      </c>
      <c r="AI11" s="38">
        <f>IF(AG11&lt;0,0,AG11)</f>
        <v>69.400000000000006</v>
      </c>
      <c r="AJ11" s="39" t="s">
        <v>9</v>
      </c>
      <c r="AK11" s="88">
        <f>R.HN!H7</f>
        <v>0</v>
      </c>
      <c r="AL11" s="35">
        <f>AK11*10</f>
        <v>0</v>
      </c>
      <c r="AM11" s="35">
        <f>($F$8-AL11)*2*694/1000</f>
        <v>69.400000000000006</v>
      </c>
      <c r="AN11" s="37" t="s">
        <v>8</v>
      </c>
      <c r="AO11" s="38">
        <f>IF(AM11&lt;0,0,AM11)</f>
        <v>69.400000000000006</v>
      </c>
      <c r="AP11" s="39" t="s">
        <v>9</v>
      </c>
      <c r="AQ11" s="265" t="s">
        <v>427</v>
      </c>
    </row>
    <row r="12" spans="1:45" ht="33.75" customHeight="1">
      <c r="A12" s="1206" t="s">
        <v>437</v>
      </c>
      <c r="B12" s="3241"/>
      <c r="C12" s="3469"/>
      <c r="D12" s="3465"/>
      <c r="E12" s="102" t="s">
        <v>1062</v>
      </c>
      <c r="F12" s="1232">
        <v>6.5</v>
      </c>
      <c r="G12" s="1230">
        <f>R.HN!C8</f>
        <v>0</v>
      </c>
      <c r="H12" s="35">
        <f>IFERROR(H11/G12,0)</f>
        <v>0</v>
      </c>
      <c r="I12" s="35">
        <f>($F$9-H12)*694/1000</f>
        <v>4.5110000000000001</v>
      </c>
      <c r="J12" s="37"/>
      <c r="K12" s="38">
        <f>IF(I12&lt;0,0,I12)</f>
        <v>4.5110000000000001</v>
      </c>
      <c r="L12" s="212" t="s">
        <v>9</v>
      </c>
      <c r="M12" s="244">
        <f>R.HN!D8</f>
        <v>0</v>
      </c>
      <c r="N12" s="35">
        <f>IFERROR(N11/M12,0)</f>
        <v>0</v>
      </c>
      <c r="O12" s="35">
        <f>($F$9-N12)*694/1000</f>
        <v>4.5110000000000001</v>
      </c>
      <c r="P12" s="37"/>
      <c r="Q12" s="38">
        <f>IF(O12&lt;0,0,O12)</f>
        <v>4.5110000000000001</v>
      </c>
      <c r="R12" s="39" t="s">
        <v>9</v>
      </c>
      <c r="S12" s="88">
        <f>R.HN!E8</f>
        <v>0</v>
      </c>
      <c r="T12" s="35">
        <f>IFERROR(T11/S12,0)</f>
        <v>0</v>
      </c>
      <c r="U12" s="35">
        <f>($F$9-T12)*694/1000</f>
        <v>4.5110000000000001</v>
      </c>
      <c r="V12" s="37"/>
      <c r="W12" s="38">
        <f>IF(U12&lt;0,0,U12)</f>
        <v>4.5110000000000001</v>
      </c>
      <c r="X12" s="39" t="s">
        <v>9</v>
      </c>
      <c r="Y12" s="88">
        <f>R.HN!F8</f>
        <v>0</v>
      </c>
      <c r="Z12" s="35">
        <f>IFERROR(Z11/Y12,0)</f>
        <v>0</v>
      </c>
      <c r="AA12" s="35">
        <f>($F$9-Z12)*694/1000</f>
        <v>4.5110000000000001</v>
      </c>
      <c r="AB12" s="37"/>
      <c r="AC12" s="38">
        <f>IF(AA12&lt;0,0,AA12)</f>
        <v>4.5110000000000001</v>
      </c>
      <c r="AD12" s="39" t="s">
        <v>9</v>
      </c>
      <c r="AE12" s="88">
        <f>R.HN!G8</f>
        <v>0</v>
      </c>
      <c r="AF12" s="35">
        <f>IFERROR(AF11/AE12,0)</f>
        <v>0</v>
      </c>
      <c r="AG12" s="35">
        <f>($F$9-AF12)*694/1000</f>
        <v>4.5110000000000001</v>
      </c>
      <c r="AH12" s="37"/>
      <c r="AI12" s="38">
        <f>IF(AG12&lt;0,0,AG12)</f>
        <v>4.5110000000000001</v>
      </c>
      <c r="AJ12" s="39" t="s">
        <v>9</v>
      </c>
      <c r="AK12" s="88">
        <f>R.HN!H8</f>
        <v>0</v>
      </c>
      <c r="AL12" s="35">
        <f>IFERROR(AL11/AK12,0)</f>
        <v>0</v>
      </c>
      <c r="AM12" s="35">
        <f>($F$9-AL12)*694/1000</f>
        <v>4.5110000000000001</v>
      </c>
      <c r="AN12" s="37"/>
      <c r="AO12" s="38">
        <f>IF(AM12&lt;0,0,AM12)</f>
        <v>4.5110000000000001</v>
      </c>
      <c r="AP12" s="39" t="s">
        <v>9</v>
      </c>
      <c r="AQ12" s="265" t="s">
        <v>427</v>
      </c>
    </row>
    <row r="13" spans="1:45" ht="33.75" customHeight="1">
      <c r="A13" s="1206" t="s">
        <v>438</v>
      </c>
      <c r="B13" s="3467"/>
      <c r="C13" s="3470"/>
      <c r="D13" s="3465"/>
      <c r="E13" s="102" t="s">
        <v>1063</v>
      </c>
      <c r="F13" s="1229">
        <v>0.4</v>
      </c>
      <c r="G13" s="1230">
        <f>R.HN!C9</f>
        <v>0</v>
      </c>
      <c r="H13" s="1233">
        <f>G13</f>
        <v>0</v>
      </c>
      <c r="I13" s="35">
        <f>($F$10-H13)*5</f>
        <v>2</v>
      </c>
      <c r="J13" s="37"/>
      <c r="K13" s="40"/>
      <c r="L13" s="212" t="s">
        <v>9</v>
      </c>
      <c r="M13" s="244">
        <f>R.HN!D9</f>
        <v>0</v>
      </c>
      <c r="N13" s="1233">
        <f>M13</f>
        <v>0</v>
      </c>
      <c r="O13" s="35">
        <f>($F$10-N13)*5</f>
        <v>2</v>
      </c>
      <c r="P13" s="37"/>
      <c r="Q13" s="40"/>
      <c r="R13" s="39" t="s">
        <v>9</v>
      </c>
      <c r="S13" s="88">
        <f>R.HN!E9</f>
        <v>0</v>
      </c>
      <c r="T13" s="1233">
        <f>S13</f>
        <v>0</v>
      </c>
      <c r="U13" s="35">
        <f>($F$10-T13)*5</f>
        <v>2</v>
      </c>
      <c r="V13" s="37"/>
      <c r="W13" s="40"/>
      <c r="X13" s="39" t="s">
        <v>9</v>
      </c>
      <c r="Y13" s="88">
        <f>R.HN!F9</f>
        <v>0</v>
      </c>
      <c r="Z13" s="1233">
        <f>Y13</f>
        <v>0</v>
      </c>
      <c r="AA13" s="35">
        <f>($F$10-Z13)*5</f>
        <v>2</v>
      </c>
      <c r="AB13" s="37"/>
      <c r="AC13" s="40"/>
      <c r="AD13" s="39" t="s">
        <v>9</v>
      </c>
      <c r="AE13" s="88">
        <f>R.HN!G9</f>
        <v>0</v>
      </c>
      <c r="AF13" s="1233">
        <f>AE13</f>
        <v>0</v>
      </c>
      <c r="AG13" s="35">
        <f>($F$10-AF13)*5</f>
        <v>2</v>
      </c>
      <c r="AH13" s="37"/>
      <c r="AI13" s="40"/>
      <c r="AJ13" s="39" t="s">
        <v>9</v>
      </c>
      <c r="AK13" s="88">
        <f>R.HN!H9</f>
        <v>0</v>
      </c>
      <c r="AL13" s="1233">
        <f>AK13</f>
        <v>0</v>
      </c>
      <c r="AM13" s="35">
        <f>($F$10-AL13)*5</f>
        <v>2</v>
      </c>
      <c r="AN13" s="37"/>
      <c r="AO13" s="40" t="s">
        <v>434</v>
      </c>
      <c r="AP13" s="39" t="s">
        <v>9</v>
      </c>
      <c r="AQ13" s="265" t="s">
        <v>427</v>
      </c>
    </row>
    <row r="14" spans="1:45" ht="33.75" customHeight="1">
      <c r="A14" s="1206" t="s">
        <v>439</v>
      </c>
      <c r="B14" s="3461" t="s">
        <v>440</v>
      </c>
      <c r="C14" s="3462"/>
      <c r="D14" s="45" t="s">
        <v>431</v>
      </c>
      <c r="E14" s="102" t="s">
        <v>441</v>
      </c>
      <c r="F14" s="1232">
        <v>1</v>
      </c>
      <c r="G14" s="1230">
        <f>R.HN!C10</f>
        <v>0</v>
      </c>
      <c r="H14" s="35">
        <f>G14</f>
        <v>0</v>
      </c>
      <c r="I14" s="35">
        <f>($F$14-H14)*546/1000*8</f>
        <v>4.3680000000000003</v>
      </c>
      <c r="J14" s="37" t="s">
        <v>8</v>
      </c>
      <c r="K14" s="40">
        <f>IF(I14&lt;0,0,I14)</f>
        <v>4.3680000000000003</v>
      </c>
      <c r="L14" s="212" t="s">
        <v>9</v>
      </c>
      <c r="M14" s="244">
        <f>R.HN!D10</f>
        <v>0</v>
      </c>
      <c r="N14" s="35">
        <f>M14</f>
        <v>0</v>
      </c>
      <c r="O14" s="35">
        <f>($F$14-N14)*546/1000*8</f>
        <v>4.3680000000000003</v>
      </c>
      <c r="P14" s="37" t="s">
        <v>8</v>
      </c>
      <c r="Q14" s="40">
        <f>IF(O14&lt;0,0,O14)</f>
        <v>4.3680000000000003</v>
      </c>
      <c r="R14" s="39" t="s">
        <v>9</v>
      </c>
      <c r="S14" s="88">
        <f>R.HN!E10</f>
        <v>0</v>
      </c>
      <c r="T14" s="35">
        <f>S14</f>
        <v>0</v>
      </c>
      <c r="U14" s="35">
        <f>($F$14-T14)*546/1000*8</f>
        <v>4.3680000000000003</v>
      </c>
      <c r="V14" s="37" t="s">
        <v>8</v>
      </c>
      <c r="W14" s="40">
        <f>IF(U14&lt;0,0,U14)</f>
        <v>4.3680000000000003</v>
      </c>
      <c r="X14" s="39" t="s">
        <v>9</v>
      </c>
      <c r="Y14" s="88">
        <f>R.HN!F10</f>
        <v>0</v>
      </c>
      <c r="Z14" s="35">
        <f>Y14</f>
        <v>0</v>
      </c>
      <c r="AA14" s="35">
        <f>($F$14-Z14)*546/1000*8</f>
        <v>4.3680000000000003</v>
      </c>
      <c r="AB14" s="37" t="s">
        <v>8</v>
      </c>
      <c r="AC14" s="40">
        <f>IF(AA14&lt;0,0,AA14)</f>
        <v>4.3680000000000003</v>
      </c>
      <c r="AD14" s="39" t="s">
        <v>9</v>
      </c>
      <c r="AE14" s="88">
        <f>R.HN!G10</f>
        <v>0</v>
      </c>
      <c r="AF14" s="35">
        <f>AE14</f>
        <v>0</v>
      </c>
      <c r="AG14" s="35">
        <f>($F$14-AF14)*546/1000*8</f>
        <v>4.3680000000000003</v>
      </c>
      <c r="AH14" s="37" t="s">
        <v>8</v>
      </c>
      <c r="AI14" s="40">
        <f>IF(AG14&lt;0,0,AG14)</f>
        <v>4.3680000000000003</v>
      </c>
      <c r="AJ14" s="39" t="s">
        <v>9</v>
      </c>
      <c r="AK14" s="88">
        <f>R.HN!H10</f>
        <v>0</v>
      </c>
      <c r="AL14" s="35">
        <f>AK14</f>
        <v>0</v>
      </c>
      <c r="AM14" s="35">
        <f>($F$14-AL14)*546/1000*8</f>
        <v>4.3680000000000003</v>
      </c>
      <c r="AN14" s="37" t="s">
        <v>8</v>
      </c>
      <c r="AO14" s="40">
        <f>IF(AM14&lt;0,0,AM14)</f>
        <v>4.3680000000000003</v>
      </c>
      <c r="AP14" s="39" t="s">
        <v>9</v>
      </c>
      <c r="AQ14" s="265" t="s">
        <v>427</v>
      </c>
    </row>
    <row r="15" spans="1:45" ht="31.5" customHeight="1">
      <c r="A15" s="1206" t="s">
        <v>442</v>
      </c>
      <c r="B15" s="3463"/>
      <c r="C15" s="3464"/>
      <c r="D15" s="45" t="s">
        <v>5</v>
      </c>
      <c r="E15" s="102" t="s">
        <v>1170</v>
      </c>
      <c r="F15" s="1234">
        <v>9.5</v>
      </c>
      <c r="G15" s="1230">
        <f>R.HN!C11</f>
        <v>0</v>
      </c>
      <c r="H15" s="35">
        <f>G15</f>
        <v>0</v>
      </c>
      <c r="I15" s="35"/>
      <c r="J15" s="37"/>
      <c r="K15" s="38"/>
      <c r="L15" s="212"/>
      <c r="M15" s="244">
        <f>R.HN!D11</f>
        <v>0</v>
      </c>
      <c r="N15" s="35">
        <f>M15</f>
        <v>0</v>
      </c>
      <c r="O15" s="35"/>
      <c r="P15" s="37"/>
      <c r="Q15" s="38"/>
      <c r="R15" s="39"/>
      <c r="S15" s="88">
        <f>R.HN!E11</f>
        <v>0</v>
      </c>
      <c r="T15" s="35">
        <f>S15</f>
        <v>0</v>
      </c>
      <c r="U15" s="35"/>
      <c r="V15" s="37"/>
      <c r="W15" s="38"/>
      <c r="X15" s="39"/>
      <c r="Y15" s="88">
        <f>R.HN!F11</f>
        <v>0</v>
      </c>
      <c r="Z15" s="35">
        <f>Y15</f>
        <v>0</v>
      </c>
      <c r="AA15" s="35"/>
      <c r="AB15" s="37"/>
      <c r="AC15" s="38"/>
      <c r="AD15" s="39"/>
      <c r="AE15" s="88">
        <f>R.HN!G11</f>
        <v>0</v>
      </c>
      <c r="AF15" s="35">
        <f>AE15</f>
        <v>0</v>
      </c>
      <c r="AG15" s="35"/>
      <c r="AH15" s="37"/>
      <c r="AI15" s="38"/>
      <c r="AJ15" s="39"/>
      <c r="AK15" s="88">
        <f>R.HN!H11</f>
        <v>0</v>
      </c>
      <c r="AL15" s="35">
        <f>AK15</f>
        <v>0</v>
      </c>
      <c r="AM15" s="35"/>
      <c r="AN15" s="37"/>
      <c r="AO15" s="38"/>
      <c r="AP15" s="39"/>
      <c r="AQ15" s="265" t="s">
        <v>427</v>
      </c>
    </row>
    <row r="16" spans="1:45" ht="39" customHeight="1">
      <c r="A16" s="285" t="s">
        <v>73</v>
      </c>
      <c r="B16" s="286"/>
      <c r="C16" s="286"/>
      <c r="D16" s="286"/>
      <c r="E16" s="283"/>
      <c r="F16" s="286"/>
      <c r="G16" s="286"/>
      <c r="H16" s="286"/>
      <c r="I16" s="286"/>
      <c r="J16" s="286"/>
      <c r="K16" s="286"/>
      <c r="L16" s="286"/>
      <c r="M16" s="286"/>
      <c r="N16" s="287"/>
      <c r="O16" s="286"/>
      <c r="P16" s="286"/>
      <c r="Q16" s="286"/>
      <c r="R16" s="287"/>
      <c r="S16" s="286"/>
      <c r="T16" s="287"/>
      <c r="U16" s="286"/>
      <c r="V16" s="286"/>
      <c r="W16" s="286"/>
      <c r="X16" s="286"/>
      <c r="Y16" s="286"/>
      <c r="Z16" s="286"/>
      <c r="AA16" s="286"/>
      <c r="AB16" s="286"/>
      <c r="AC16" s="286"/>
      <c r="AD16" s="286"/>
      <c r="AE16" s="287"/>
      <c r="AF16" s="287"/>
      <c r="AG16" s="287"/>
      <c r="AH16" s="287"/>
      <c r="AI16" s="287"/>
      <c r="AJ16" s="287"/>
      <c r="AK16" s="287"/>
      <c r="AL16" s="287"/>
      <c r="AM16" s="287"/>
      <c r="AN16" s="287"/>
      <c r="AO16" s="287"/>
      <c r="AP16" s="1004"/>
    </row>
    <row r="17" spans="1:43" ht="50.25" customHeight="1">
      <c r="A17" s="1206" t="s">
        <v>238</v>
      </c>
      <c r="B17" s="3254" t="s">
        <v>61</v>
      </c>
      <c r="C17" s="3256"/>
      <c r="D17" s="278" t="s">
        <v>63</v>
      </c>
      <c r="E17" s="278" t="s">
        <v>64</v>
      </c>
      <c r="F17" s="1235"/>
      <c r="G17" s="1235"/>
      <c r="H17" s="280" t="s">
        <v>45</v>
      </c>
      <c r="I17" s="281"/>
      <c r="J17" s="281"/>
      <c r="K17" s="280" t="s">
        <v>62</v>
      </c>
      <c r="L17" s="294"/>
      <c r="M17" s="278"/>
      <c r="N17" s="280" t="s">
        <v>45</v>
      </c>
      <c r="O17" s="281"/>
      <c r="P17" s="281"/>
      <c r="Q17" s="280" t="s">
        <v>62</v>
      </c>
      <c r="R17" s="294"/>
      <c r="S17" s="91"/>
      <c r="T17" s="280" t="s">
        <v>45</v>
      </c>
      <c r="U17" s="281"/>
      <c r="V17" s="281"/>
      <c r="W17" s="280" t="s">
        <v>62</v>
      </c>
      <c r="X17" s="294"/>
      <c r="Y17" s="92"/>
      <c r="Z17" s="280" t="s">
        <v>45</v>
      </c>
      <c r="AA17" s="281"/>
      <c r="AB17" s="281"/>
      <c r="AC17" s="280" t="s">
        <v>62</v>
      </c>
      <c r="AD17" s="294"/>
      <c r="AE17" s="92"/>
      <c r="AF17" s="280" t="s">
        <v>45</v>
      </c>
      <c r="AG17" s="281"/>
      <c r="AH17" s="281"/>
      <c r="AI17" s="280" t="s">
        <v>62</v>
      </c>
      <c r="AJ17" s="294"/>
      <c r="AK17" s="92"/>
      <c r="AL17" s="280" t="s">
        <v>45</v>
      </c>
      <c r="AM17" s="281"/>
      <c r="AN17" s="281"/>
      <c r="AO17" s="280" t="s">
        <v>62</v>
      </c>
      <c r="AP17" s="294"/>
    </row>
    <row r="18" spans="1:43" ht="40.5" customHeight="1">
      <c r="A18" s="1206" t="s">
        <v>444</v>
      </c>
      <c r="B18" s="3254" t="s">
        <v>445</v>
      </c>
      <c r="C18" s="3256"/>
      <c r="D18" s="21" t="s">
        <v>105</v>
      </c>
      <c r="E18" s="102" t="s">
        <v>1171</v>
      </c>
      <c r="F18" s="96"/>
      <c r="G18" s="96"/>
      <c r="H18" s="3046"/>
      <c r="I18" s="3047"/>
      <c r="J18" s="3047"/>
      <c r="K18" s="3046"/>
      <c r="L18" s="3047"/>
      <c r="M18" s="92"/>
      <c r="N18" s="3046"/>
      <c r="O18" s="3047"/>
      <c r="P18" s="3047"/>
      <c r="Q18" s="3046"/>
      <c r="R18" s="3047"/>
      <c r="S18" s="92"/>
      <c r="T18" s="3046"/>
      <c r="U18" s="3047"/>
      <c r="V18" s="3047"/>
      <c r="W18" s="3046"/>
      <c r="X18" s="3047"/>
      <c r="Y18" s="92"/>
      <c r="Z18" s="3046"/>
      <c r="AA18" s="3047"/>
      <c r="AB18" s="3047"/>
      <c r="AC18" s="3046"/>
      <c r="AD18" s="3047"/>
      <c r="AE18" s="92"/>
      <c r="AF18" s="3046"/>
      <c r="AG18" s="3047"/>
      <c r="AH18" s="3047"/>
      <c r="AI18" s="3046"/>
      <c r="AJ18" s="3047"/>
      <c r="AK18" s="92"/>
      <c r="AL18" s="3046"/>
      <c r="AM18" s="3047"/>
      <c r="AN18" s="3047"/>
      <c r="AO18" s="3127"/>
      <c r="AP18" s="3127"/>
      <c r="AQ18" s="265" t="s">
        <v>427</v>
      </c>
    </row>
    <row r="19" spans="1:43" ht="40.5" customHeight="1">
      <c r="A19" s="1206" t="s">
        <v>446</v>
      </c>
      <c r="B19" s="3254" t="s">
        <v>447</v>
      </c>
      <c r="C19" s="3256"/>
      <c r="D19" s="21" t="s">
        <v>105</v>
      </c>
      <c r="E19" s="102" t="s">
        <v>1171</v>
      </c>
      <c r="F19" s="96"/>
      <c r="G19" s="96"/>
      <c r="H19" s="3046"/>
      <c r="I19" s="3047"/>
      <c r="J19" s="3047"/>
      <c r="K19" s="3046"/>
      <c r="L19" s="3047"/>
      <c r="M19" s="92"/>
      <c r="N19" s="3046"/>
      <c r="O19" s="3047"/>
      <c r="P19" s="3047"/>
      <c r="Q19" s="3046"/>
      <c r="R19" s="3047"/>
      <c r="S19" s="92"/>
      <c r="T19" s="3046"/>
      <c r="U19" s="3047"/>
      <c r="V19" s="3047"/>
      <c r="W19" s="3046"/>
      <c r="X19" s="3047"/>
      <c r="Y19" s="92"/>
      <c r="Z19" s="3046"/>
      <c r="AA19" s="3047"/>
      <c r="AB19" s="3047"/>
      <c r="AC19" s="3046"/>
      <c r="AD19" s="3047"/>
      <c r="AE19" s="92"/>
      <c r="AF19" s="3046"/>
      <c r="AG19" s="3047"/>
      <c r="AH19" s="3047"/>
      <c r="AI19" s="3046"/>
      <c r="AJ19" s="3047"/>
      <c r="AK19" s="92"/>
      <c r="AL19" s="3046"/>
      <c r="AM19" s="3047"/>
      <c r="AN19" s="3047"/>
      <c r="AO19" s="3127"/>
      <c r="AP19" s="3127"/>
      <c r="AQ19" s="265" t="s">
        <v>427</v>
      </c>
    </row>
    <row r="20" spans="1:43" ht="40.5" customHeight="1">
      <c r="A20" s="1206" t="s">
        <v>448</v>
      </c>
      <c r="B20" s="3254" t="s">
        <v>440</v>
      </c>
      <c r="C20" s="3256"/>
      <c r="D20" s="21" t="s">
        <v>105</v>
      </c>
      <c r="E20" s="102" t="s">
        <v>1172</v>
      </c>
      <c r="F20" s="96"/>
      <c r="G20" s="96"/>
      <c r="H20" s="3046"/>
      <c r="I20" s="3047"/>
      <c r="J20" s="3047"/>
      <c r="K20" s="3046"/>
      <c r="L20" s="3047"/>
      <c r="M20" s="92"/>
      <c r="N20" s="3046"/>
      <c r="O20" s="3047"/>
      <c r="P20" s="3047"/>
      <c r="Q20" s="3046"/>
      <c r="R20" s="3047"/>
      <c r="S20" s="92"/>
      <c r="T20" s="3046"/>
      <c r="U20" s="3047"/>
      <c r="V20" s="3047"/>
      <c r="W20" s="3046"/>
      <c r="X20" s="3047"/>
      <c r="Y20" s="92"/>
      <c r="Z20" s="3046"/>
      <c r="AA20" s="3047"/>
      <c r="AB20" s="3047"/>
      <c r="AC20" s="3046"/>
      <c r="AD20" s="3047"/>
      <c r="AE20" s="92"/>
      <c r="AF20" s="3046"/>
      <c r="AG20" s="3047"/>
      <c r="AH20" s="3047"/>
      <c r="AI20" s="3046"/>
      <c r="AJ20" s="3047"/>
      <c r="AK20" s="92"/>
      <c r="AL20" s="3046"/>
      <c r="AM20" s="3047"/>
      <c r="AN20" s="3047"/>
      <c r="AO20" s="3127"/>
      <c r="AP20" s="3127"/>
      <c r="AQ20" s="265" t="s">
        <v>427</v>
      </c>
    </row>
    <row r="21" spans="1:43" ht="23.25" customHeight="1">
      <c r="A21" s="1236"/>
      <c r="B21" s="1236"/>
      <c r="C21" s="1236"/>
      <c r="D21" s="1236"/>
      <c r="E21" s="1236"/>
      <c r="F21" s="1236"/>
      <c r="G21" s="1236"/>
      <c r="H21" s="1237"/>
      <c r="I21" s="1237"/>
      <c r="J21" s="1237"/>
      <c r="K21" s="1237"/>
      <c r="L21" s="1237"/>
      <c r="M21" s="1237"/>
      <c r="N21" s="1237"/>
      <c r="O21" s="1237"/>
      <c r="P21" s="1237"/>
      <c r="Q21" s="1237"/>
      <c r="R21" s="1237"/>
      <c r="S21" s="1237"/>
      <c r="T21" s="1237"/>
      <c r="U21" s="1237"/>
      <c r="V21" s="1237"/>
      <c r="W21" s="1237"/>
      <c r="X21" s="1237"/>
      <c r="Y21" s="1237"/>
      <c r="Z21" s="1237"/>
      <c r="AA21" s="1237"/>
      <c r="AB21" s="1237"/>
      <c r="AC21" s="1237"/>
      <c r="AD21" s="1237"/>
      <c r="AP21" s="265"/>
    </row>
    <row r="22" spans="1:43" ht="41.25" customHeight="1">
      <c r="A22" s="1962" t="s">
        <v>911</v>
      </c>
      <c r="B22" s="1963"/>
      <c r="C22" s="1964"/>
      <c r="D22" s="1964"/>
      <c r="E22" s="1965"/>
      <c r="F22" s="1966" t="s">
        <v>72</v>
      </c>
      <c r="G22" s="1910"/>
      <c r="H22" s="1967" t="s">
        <v>72</v>
      </c>
      <c r="I22" s="1967"/>
      <c r="J22" s="1967"/>
      <c r="K22" s="1967"/>
      <c r="L22" s="1967"/>
      <c r="M22" s="1967"/>
      <c r="N22" s="1967"/>
      <c r="O22" s="1967"/>
      <c r="P22" s="1967"/>
      <c r="Q22" s="1967"/>
      <c r="R22" s="1967"/>
      <c r="S22" s="1967"/>
      <c r="T22" s="1967"/>
      <c r="U22" s="1967"/>
      <c r="V22" s="1967"/>
      <c r="W22" s="1967"/>
      <c r="X22" s="1967"/>
      <c r="Y22" s="1967"/>
      <c r="Z22" s="1967"/>
      <c r="AA22" s="1967"/>
      <c r="AB22" s="1967"/>
      <c r="AC22" s="1967"/>
      <c r="AD22" s="1967"/>
      <c r="AE22" s="1967"/>
      <c r="AF22" s="1967"/>
      <c r="AG22" s="1967"/>
      <c r="AH22" s="1967"/>
      <c r="AI22" s="1967"/>
      <c r="AJ22" s="1967"/>
      <c r="AK22" s="1967"/>
      <c r="AL22" s="1967"/>
      <c r="AM22" s="1967"/>
      <c r="AN22" s="1967"/>
      <c r="AO22" s="1967"/>
      <c r="AP22" s="1967"/>
    </row>
    <row r="23" spans="1:43" ht="30" customHeight="1">
      <c r="A23" s="418"/>
      <c r="B23" s="3448" t="s">
        <v>76</v>
      </c>
      <c r="C23" s="3449"/>
      <c r="D23" s="3452" t="s">
        <v>124</v>
      </c>
      <c r="E23" s="3454" t="s">
        <v>64</v>
      </c>
      <c r="F23" s="1238"/>
      <c r="G23" s="84"/>
      <c r="H23" s="3441" t="s">
        <v>472</v>
      </c>
      <c r="I23" s="3441"/>
      <c r="J23" s="3441"/>
      <c r="K23" s="3441"/>
      <c r="L23" s="3441"/>
      <c r="M23" s="1227"/>
      <c r="N23" s="3466" t="s">
        <v>1464</v>
      </c>
      <c r="O23" s="3466"/>
      <c r="P23" s="3466"/>
      <c r="Q23" s="3466"/>
      <c r="R23" s="3466"/>
      <c r="S23" s="1227"/>
      <c r="T23" s="3441" t="s">
        <v>1465</v>
      </c>
      <c r="U23" s="3441"/>
      <c r="V23" s="3441"/>
      <c r="W23" s="3441"/>
      <c r="X23" s="3441"/>
      <c r="Y23" s="1227"/>
      <c r="Z23" s="3441" t="s">
        <v>1466</v>
      </c>
      <c r="AA23" s="3441"/>
      <c r="AB23" s="3441"/>
      <c r="AC23" s="3441"/>
      <c r="AD23" s="3441"/>
      <c r="AE23" s="1227"/>
      <c r="AF23" s="3441" t="s">
        <v>1467</v>
      </c>
      <c r="AG23" s="3441"/>
      <c r="AH23" s="3441"/>
      <c r="AI23" s="3441"/>
      <c r="AJ23" s="3441"/>
      <c r="AK23" s="1227"/>
      <c r="AL23" s="3441" t="s">
        <v>1468</v>
      </c>
      <c r="AM23" s="3441"/>
      <c r="AN23" s="3441"/>
      <c r="AO23" s="3441"/>
      <c r="AP23" s="3441"/>
    </row>
    <row r="24" spans="1:43" ht="30" customHeight="1">
      <c r="A24" s="1205" t="s">
        <v>238</v>
      </c>
      <c r="B24" s="3450"/>
      <c r="C24" s="3451"/>
      <c r="D24" s="3453"/>
      <c r="E24" s="3455"/>
      <c r="F24" s="1228" t="s">
        <v>422</v>
      </c>
      <c r="G24" s="20"/>
      <c r="H24" s="1204" t="s">
        <v>129</v>
      </c>
      <c r="I24" s="34" t="s">
        <v>1</v>
      </c>
      <c r="J24" s="283" t="s">
        <v>1</v>
      </c>
      <c r="K24" s="283"/>
      <c r="L24" s="284"/>
      <c r="M24" s="85"/>
      <c r="N24" s="1204" t="s">
        <v>129</v>
      </c>
      <c r="O24" s="34" t="s">
        <v>1</v>
      </c>
      <c r="P24" s="283" t="s">
        <v>1</v>
      </c>
      <c r="Q24" s="283"/>
      <c r="R24" s="284"/>
      <c r="S24" s="20"/>
      <c r="T24" s="1204" t="s">
        <v>129</v>
      </c>
      <c r="U24" s="34" t="s">
        <v>1</v>
      </c>
      <c r="V24" s="283" t="s">
        <v>1</v>
      </c>
      <c r="W24" s="283"/>
      <c r="X24" s="284"/>
      <c r="Y24" s="85"/>
      <c r="Z24" s="1204" t="s">
        <v>129</v>
      </c>
      <c r="AA24" s="34" t="s">
        <v>1</v>
      </c>
      <c r="AB24" s="283" t="s">
        <v>1</v>
      </c>
      <c r="AC24" s="283"/>
      <c r="AD24" s="284"/>
      <c r="AE24" s="85"/>
      <c r="AF24" s="1204" t="s">
        <v>129</v>
      </c>
      <c r="AG24" s="34" t="s">
        <v>1</v>
      </c>
      <c r="AH24" s="283" t="s">
        <v>1</v>
      </c>
      <c r="AI24" s="283"/>
      <c r="AJ24" s="284"/>
      <c r="AK24" s="85"/>
      <c r="AL24" s="1204" t="s">
        <v>129</v>
      </c>
      <c r="AM24" s="34" t="s">
        <v>1</v>
      </c>
      <c r="AN24" s="283" t="s">
        <v>1</v>
      </c>
      <c r="AO24" s="283"/>
      <c r="AP24" s="284"/>
    </row>
    <row r="25" spans="1:43" ht="30" customHeight="1">
      <c r="A25" s="1206" t="s">
        <v>1173</v>
      </c>
      <c r="B25" s="3288" t="s">
        <v>449</v>
      </c>
      <c r="C25" s="3290"/>
      <c r="D25" s="275" t="s">
        <v>431</v>
      </c>
      <c r="E25" s="102" t="s">
        <v>450</v>
      </c>
      <c r="F25" s="1231">
        <v>40</v>
      </c>
      <c r="G25" s="1230">
        <f>R.HN!C16</f>
        <v>0</v>
      </c>
      <c r="H25" s="35">
        <f>G25*10</f>
        <v>0</v>
      </c>
      <c r="I25" s="35">
        <f>($F$25-H25)*2330/1000</f>
        <v>93.2</v>
      </c>
      <c r="J25" s="37" t="s">
        <v>8</v>
      </c>
      <c r="K25" s="40">
        <f>IF(I25&lt;0,0,I25)</f>
        <v>93.2</v>
      </c>
      <c r="L25" s="212" t="s">
        <v>9</v>
      </c>
      <c r="M25" s="1230">
        <f>R.HN!D16</f>
        <v>0</v>
      </c>
      <c r="N25" s="35">
        <f>M25*10</f>
        <v>0</v>
      </c>
      <c r="O25" s="35">
        <f>($F$25-N25)*2330/1000</f>
        <v>93.2</v>
      </c>
      <c r="P25" s="37" t="s">
        <v>8</v>
      </c>
      <c r="Q25" s="40">
        <f>IF(O25&lt;0,0,O25)</f>
        <v>93.2</v>
      </c>
      <c r="R25" s="212" t="s">
        <v>9</v>
      </c>
      <c r="S25" s="1230">
        <f>R.HN!E16</f>
        <v>0</v>
      </c>
      <c r="T25" s="35">
        <f>S25*10</f>
        <v>0</v>
      </c>
      <c r="U25" s="35">
        <f>($F$25-T25)*2330/1000</f>
        <v>93.2</v>
      </c>
      <c r="V25" s="37" t="s">
        <v>8</v>
      </c>
      <c r="W25" s="40">
        <f>IF(U25&lt;0,0,U25)</f>
        <v>93.2</v>
      </c>
      <c r="X25" s="212" t="s">
        <v>9</v>
      </c>
      <c r="Y25" s="1230">
        <f>R.HN!F16</f>
        <v>0</v>
      </c>
      <c r="Z25" s="35">
        <f>Y25*10</f>
        <v>0</v>
      </c>
      <c r="AA25" s="35">
        <f>($F$25-Z25)*2330/1000</f>
        <v>93.2</v>
      </c>
      <c r="AB25" s="37" t="s">
        <v>8</v>
      </c>
      <c r="AC25" s="40">
        <f>IF(AA25&lt;0,0,AA25)</f>
        <v>93.2</v>
      </c>
      <c r="AD25" s="212" t="s">
        <v>9</v>
      </c>
      <c r="AE25" s="1230">
        <f>R.HN!G16</f>
        <v>0</v>
      </c>
      <c r="AF25" s="35">
        <f>AE25*10</f>
        <v>0</v>
      </c>
      <c r="AG25" s="35">
        <f>($F$25-AF25)*2330/1000</f>
        <v>93.2</v>
      </c>
      <c r="AH25" s="37" t="s">
        <v>8</v>
      </c>
      <c r="AI25" s="40">
        <f>IF(AG25&lt;0,0,AG25)</f>
        <v>93.2</v>
      </c>
      <c r="AJ25" s="212" t="s">
        <v>9</v>
      </c>
      <c r="AK25" s="1230">
        <f>R.HN!H16</f>
        <v>0</v>
      </c>
      <c r="AL25" s="35">
        <f>AK25*10</f>
        <v>0</v>
      </c>
      <c r="AM25" s="35">
        <f>($F$25-AL25)*2330/1000</f>
        <v>93.2</v>
      </c>
      <c r="AN25" s="37" t="s">
        <v>8</v>
      </c>
      <c r="AO25" s="40">
        <f>IF(AM25&lt;0,0,AM25)</f>
        <v>93.2</v>
      </c>
      <c r="AP25" s="39" t="s">
        <v>9</v>
      </c>
      <c r="AQ25" s="265" t="s">
        <v>451</v>
      </c>
    </row>
    <row r="26" spans="1:43" ht="30" customHeight="1">
      <c r="A26" s="1206" t="s">
        <v>930</v>
      </c>
      <c r="B26" s="3288" t="s">
        <v>837</v>
      </c>
      <c r="C26" s="3290"/>
      <c r="D26" s="1040" t="s">
        <v>3</v>
      </c>
      <c r="E26" s="102" t="s">
        <v>426</v>
      </c>
      <c r="F26" s="1229">
        <v>12.5</v>
      </c>
      <c r="G26" s="1230">
        <f>R.HN!C17</f>
        <v>0</v>
      </c>
      <c r="H26" s="35">
        <f>(1*G26*36.5)/(1*10)</f>
        <v>0</v>
      </c>
      <c r="I26" s="35">
        <f>($F$26-H26)*2605/32</f>
        <v>1017.578125</v>
      </c>
      <c r="J26" s="37" t="s">
        <v>8</v>
      </c>
      <c r="K26" s="38">
        <f>IF(I26&lt;0,0,I26)</f>
        <v>1017.578125</v>
      </c>
      <c r="L26" s="212" t="s">
        <v>10</v>
      </c>
      <c r="M26" s="1230">
        <f>R.HN!D17</f>
        <v>0</v>
      </c>
      <c r="N26" s="35">
        <f>(1*M26*36.5)/(1*10)</f>
        <v>0</v>
      </c>
      <c r="O26" s="35">
        <f>($F$26-N26)*2605/32</f>
        <v>1017.578125</v>
      </c>
      <c r="P26" s="37" t="s">
        <v>8</v>
      </c>
      <c r="Q26" s="38">
        <f>IF(O26&lt;0,0,O26)</f>
        <v>1017.578125</v>
      </c>
      <c r="R26" s="212" t="s">
        <v>10</v>
      </c>
      <c r="S26" s="1230">
        <f>R.HN!E17</f>
        <v>0</v>
      </c>
      <c r="T26" s="35">
        <f>(1*S26*36.5)/(1*10)</f>
        <v>0</v>
      </c>
      <c r="U26" s="35">
        <f>($F$26-T26)*2605/32</f>
        <v>1017.578125</v>
      </c>
      <c r="V26" s="37" t="s">
        <v>8</v>
      </c>
      <c r="W26" s="38">
        <f>IF(U26&lt;0,0,U26)</f>
        <v>1017.578125</v>
      </c>
      <c r="X26" s="212" t="s">
        <v>10</v>
      </c>
      <c r="Y26" s="1230">
        <f>R.HN!F17</f>
        <v>0</v>
      </c>
      <c r="Z26" s="35">
        <f>(1*Y26*36.5)/(1*10)</f>
        <v>0</v>
      </c>
      <c r="AA26" s="35">
        <f>($F$26-Z26)*2605/32</f>
        <v>1017.578125</v>
      </c>
      <c r="AB26" s="37" t="s">
        <v>8</v>
      </c>
      <c r="AC26" s="38">
        <f>IF(AA26&lt;0,0,AA26)</f>
        <v>1017.578125</v>
      </c>
      <c r="AD26" s="212" t="s">
        <v>10</v>
      </c>
      <c r="AE26" s="1230">
        <f>R.HN!G17</f>
        <v>0</v>
      </c>
      <c r="AF26" s="35">
        <f>(1*AE26*36.5)/(1*10)</f>
        <v>0</v>
      </c>
      <c r="AG26" s="35">
        <f>($F$26-AF26)*2605/32</f>
        <v>1017.578125</v>
      </c>
      <c r="AH26" s="37" t="s">
        <v>8</v>
      </c>
      <c r="AI26" s="38">
        <f>IF(AG26&lt;0,0,AG26)</f>
        <v>1017.578125</v>
      </c>
      <c r="AJ26" s="212" t="s">
        <v>10</v>
      </c>
      <c r="AK26" s="1230">
        <f>R.HN!H17</f>
        <v>0</v>
      </c>
      <c r="AL26" s="35">
        <f>(1*AK26*36.5)/(1*10)</f>
        <v>0</v>
      </c>
      <c r="AM26" s="35">
        <f>($F$26-AL26)*2605/32</f>
        <v>1017.578125</v>
      </c>
      <c r="AN26" s="37" t="s">
        <v>8</v>
      </c>
      <c r="AO26" s="38">
        <f>IF(AM26&lt;0,0,AM26)</f>
        <v>1017.578125</v>
      </c>
      <c r="AP26" s="39" t="s">
        <v>10</v>
      </c>
      <c r="AQ26" s="265" t="s">
        <v>451</v>
      </c>
    </row>
    <row r="27" spans="1:43" ht="30" customHeight="1">
      <c r="A27" s="1206" t="s">
        <v>934</v>
      </c>
      <c r="B27" s="3461" t="s">
        <v>430</v>
      </c>
      <c r="C27" s="3462"/>
      <c r="D27" s="3465" t="s">
        <v>431</v>
      </c>
      <c r="E27" s="102" t="s">
        <v>1061</v>
      </c>
      <c r="F27" s="1239">
        <v>50</v>
      </c>
      <c r="G27" s="1230">
        <f>R.HN!C18</f>
        <v>0</v>
      </c>
      <c r="H27" s="35">
        <f>G27*10</f>
        <v>0</v>
      </c>
      <c r="I27" s="35">
        <f>($F$43-H27)*4935/1000</f>
        <v>246.75</v>
      </c>
      <c r="J27" s="37" t="s">
        <v>8</v>
      </c>
      <c r="K27" s="38">
        <f>IF(I27&lt;0,0,I27)</f>
        <v>246.75</v>
      </c>
      <c r="L27" s="212" t="s">
        <v>9</v>
      </c>
      <c r="M27" s="1230">
        <f>R.HN!D18</f>
        <v>0</v>
      </c>
      <c r="N27" s="35">
        <f>M27*10</f>
        <v>0</v>
      </c>
      <c r="O27" s="35">
        <f>($F$43-N27)*4935/1000</f>
        <v>246.75</v>
      </c>
      <c r="P27" s="37" t="s">
        <v>8</v>
      </c>
      <c r="Q27" s="38">
        <f>IF(O27&lt;0,0,O27)</f>
        <v>246.75</v>
      </c>
      <c r="R27" s="212" t="s">
        <v>9</v>
      </c>
      <c r="S27" s="1230">
        <f>R.HN!E18</f>
        <v>0</v>
      </c>
      <c r="T27" s="35">
        <f>S27*10</f>
        <v>0</v>
      </c>
      <c r="U27" s="35">
        <f>($F$43-T27)*4935/1000</f>
        <v>246.75</v>
      </c>
      <c r="V27" s="37" t="s">
        <v>8</v>
      </c>
      <c r="W27" s="38">
        <f>IF(U27&lt;0,0,U27)</f>
        <v>246.75</v>
      </c>
      <c r="X27" s="212" t="s">
        <v>9</v>
      </c>
      <c r="Y27" s="1230">
        <f>R.HN!F18</f>
        <v>0</v>
      </c>
      <c r="Z27" s="35">
        <f>Y27*10</f>
        <v>0</v>
      </c>
      <c r="AA27" s="35">
        <f>($F$43-Z27)*4935/1000</f>
        <v>246.75</v>
      </c>
      <c r="AB27" s="37" t="s">
        <v>8</v>
      </c>
      <c r="AC27" s="38">
        <f>IF(AA27&lt;0,0,AA27)</f>
        <v>246.75</v>
      </c>
      <c r="AD27" s="212" t="s">
        <v>9</v>
      </c>
      <c r="AE27" s="1230">
        <f>R.HN!G18</f>
        <v>0</v>
      </c>
      <c r="AF27" s="35">
        <f>AE27*10</f>
        <v>0</v>
      </c>
      <c r="AG27" s="35">
        <f>($F$43-AF27)*4935/1000</f>
        <v>246.75</v>
      </c>
      <c r="AH27" s="37" t="s">
        <v>8</v>
      </c>
      <c r="AI27" s="38">
        <f>IF(AG27&lt;0,0,AG27)</f>
        <v>246.75</v>
      </c>
      <c r="AJ27" s="212" t="s">
        <v>9</v>
      </c>
      <c r="AK27" s="1230">
        <f>R.HN!H18</f>
        <v>0</v>
      </c>
      <c r="AL27" s="35">
        <f>AK27*10</f>
        <v>0</v>
      </c>
      <c r="AM27" s="35">
        <f>($F$43-AL27)*4935/1000</f>
        <v>246.75</v>
      </c>
      <c r="AN27" s="37" t="s">
        <v>8</v>
      </c>
      <c r="AO27" s="38">
        <f>IF(AM27&lt;0,0,AM27)</f>
        <v>246.75</v>
      </c>
      <c r="AP27" s="39" t="s">
        <v>9</v>
      </c>
      <c r="AQ27" s="265" t="s">
        <v>451</v>
      </c>
    </row>
    <row r="28" spans="1:43" ht="30" customHeight="1">
      <c r="A28" s="1206" t="s">
        <v>1174</v>
      </c>
      <c r="B28" s="3471"/>
      <c r="C28" s="3472"/>
      <c r="D28" s="3465"/>
      <c r="E28" s="102" t="s">
        <v>1062</v>
      </c>
      <c r="F28" s="1230">
        <v>6.5</v>
      </c>
      <c r="G28" s="1230">
        <f>R.HN!C19</f>
        <v>0</v>
      </c>
      <c r="H28" s="35">
        <f>IFERROR(H27/G28,0)</f>
        <v>0</v>
      </c>
      <c r="I28" s="35">
        <f>($F$44-H28)*4935/1000</f>
        <v>32.077500000000001</v>
      </c>
      <c r="J28" s="37"/>
      <c r="K28" s="38">
        <f>IF(I28&lt;0,0,I28)</f>
        <v>32.077500000000001</v>
      </c>
      <c r="L28" s="212" t="s">
        <v>9</v>
      </c>
      <c r="M28" s="1230">
        <f>R.HN!D19</f>
        <v>0</v>
      </c>
      <c r="N28" s="35">
        <f>IFERROR(N27/M28,0)</f>
        <v>0</v>
      </c>
      <c r="O28" s="35">
        <f>($F$44-N28)*4935/1000</f>
        <v>32.077500000000001</v>
      </c>
      <c r="P28" s="37"/>
      <c r="Q28" s="38">
        <f>IF(O28&lt;0,0,O28)</f>
        <v>32.077500000000001</v>
      </c>
      <c r="R28" s="212" t="s">
        <v>9</v>
      </c>
      <c r="S28" s="1230">
        <f>R.HN!E19</f>
        <v>0</v>
      </c>
      <c r="T28" s="35">
        <f>IFERROR(T27/S28,0)</f>
        <v>0</v>
      </c>
      <c r="U28" s="35">
        <f>($F$44-T28)*4935/1000</f>
        <v>32.077500000000001</v>
      </c>
      <c r="V28" s="37"/>
      <c r="W28" s="38">
        <f>IF(U28&lt;0,0,U28)</f>
        <v>32.077500000000001</v>
      </c>
      <c r="X28" s="212" t="s">
        <v>9</v>
      </c>
      <c r="Y28" s="1230">
        <f>R.HN!F19</f>
        <v>0</v>
      </c>
      <c r="Z28" s="35">
        <f>IFERROR(Z27/Y28,0)</f>
        <v>0</v>
      </c>
      <c r="AA28" s="35">
        <f>($F$44-Z28)*4935/1000</f>
        <v>32.077500000000001</v>
      </c>
      <c r="AB28" s="37"/>
      <c r="AC28" s="38">
        <f>IF(AA28&lt;0,0,AA28)</f>
        <v>32.077500000000001</v>
      </c>
      <c r="AD28" s="212" t="s">
        <v>9</v>
      </c>
      <c r="AE28" s="1230">
        <f>R.HN!G19</f>
        <v>0</v>
      </c>
      <c r="AF28" s="35">
        <f>IFERROR(AF27/AE28,0)</f>
        <v>0</v>
      </c>
      <c r="AG28" s="35">
        <f>($F$44-AF28)*4935/1000</f>
        <v>32.077500000000001</v>
      </c>
      <c r="AH28" s="37"/>
      <c r="AI28" s="38">
        <f>IF(AG28&lt;0,0,AG28)</f>
        <v>32.077500000000001</v>
      </c>
      <c r="AJ28" s="212" t="s">
        <v>9</v>
      </c>
      <c r="AK28" s="1230">
        <f>R.HN!H19</f>
        <v>0</v>
      </c>
      <c r="AL28" s="35">
        <f>IFERROR(AL27/AK28,0)</f>
        <v>0</v>
      </c>
      <c r="AM28" s="35">
        <f>($F$44-AL28)*4935/1000</f>
        <v>32.077500000000001</v>
      </c>
      <c r="AN28" s="37"/>
      <c r="AO28" s="38">
        <f>IF(AM28&lt;0,0,AM28)</f>
        <v>32.077500000000001</v>
      </c>
      <c r="AP28" s="39" t="s">
        <v>9</v>
      </c>
      <c r="AQ28" s="265" t="s">
        <v>451</v>
      </c>
    </row>
    <row r="29" spans="1:43" ht="30" customHeight="1">
      <c r="A29" s="1206" t="s">
        <v>1175</v>
      </c>
      <c r="B29" s="3473"/>
      <c r="C29" s="3474"/>
      <c r="D29" s="3465"/>
      <c r="E29" s="102" t="s">
        <v>1063</v>
      </c>
      <c r="F29" s="1240">
        <v>0.4</v>
      </c>
      <c r="G29" s="1230">
        <f>R.HN!C20</f>
        <v>0</v>
      </c>
      <c r="H29" s="1233">
        <f>G29</f>
        <v>0</v>
      </c>
      <c r="I29" s="35"/>
      <c r="J29" s="37"/>
      <c r="K29" s="40"/>
      <c r="L29" s="212" t="s">
        <v>9</v>
      </c>
      <c r="M29" s="1230">
        <f>R.HN!D20</f>
        <v>0</v>
      </c>
      <c r="N29" s="1233">
        <f>M29</f>
        <v>0</v>
      </c>
      <c r="O29" s="35"/>
      <c r="P29" s="37"/>
      <c r="Q29" s="40"/>
      <c r="R29" s="212" t="s">
        <v>9</v>
      </c>
      <c r="S29" s="1230">
        <f>R.HN!E20</f>
        <v>0</v>
      </c>
      <c r="T29" s="1233">
        <f>S29</f>
        <v>0</v>
      </c>
      <c r="U29" s="35"/>
      <c r="V29" s="37"/>
      <c r="W29" s="40"/>
      <c r="X29" s="212" t="s">
        <v>9</v>
      </c>
      <c r="Y29" s="1230">
        <f>R.HN!F20</f>
        <v>0</v>
      </c>
      <c r="Z29" s="1233">
        <f>Y29</f>
        <v>0</v>
      </c>
      <c r="AA29" s="35"/>
      <c r="AB29" s="37"/>
      <c r="AC29" s="40"/>
      <c r="AD29" s="212" t="s">
        <v>9</v>
      </c>
      <c r="AE29" s="1230">
        <f>R.HN!G20</f>
        <v>0</v>
      </c>
      <c r="AF29" s="1233">
        <f>AE29</f>
        <v>0</v>
      </c>
      <c r="AG29" s="35"/>
      <c r="AH29" s="37"/>
      <c r="AI29" s="40"/>
      <c r="AJ29" s="212" t="s">
        <v>9</v>
      </c>
      <c r="AK29" s="1230">
        <f>R.HN!H20</f>
        <v>0</v>
      </c>
      <c r="AL29" s="1233">
        <f>AK29</f>
        <v>0</v>
      </c>
      <c r="AM29" s="35"/>
      <c r="AN29" s="37"/>
      <c r="AO29" s="40" t="s">
        <v>434</v>
      </c>
      <c r="AP29" s="39" t="s">
        <v>9</v>
      </c>
      <c r="AQ29" s="265" t="s">
        <v>451</v>
      </c>
    </row>
    <row r="30" spans="1:43" ht="30" customHeight="1">
      <c r="A30" s="1206" t="s">
        <v>1176</v>
      </c>
      <c r="B30" s="3461" t="s">
        <v>440</v>
      </c>
      <c r="C30" s="3462"/>
      <c r="D30" s="45" t="s">
        <v>431</v>
      </c>
      <c r="E30" s="102" t="s">
        <v>441</v>
      </c>
      <c r="F30" s="1232">
        <v>1</v>
      </c>
      <c r="G30" s="1230">
        <f>R.HN!C21</f>
        <v>0</v>
      </c>
      <c r="H30" s="35">
        <f>G30</f>
        <v>0</v>
      </c>
      <c r="I30" s="35">
        <f>($F$30-H30)*1234/1000</f>
        <v>1.234</v>
      </c>
      <c r="J30" s="37" t="s">
        <v>8</v>
      </c>
      <c r="K30" s="40">
        <f>IF(I30&lt;0,0,I30)</f>
        <v>1.234</v>
      </c>
      <c r="L30" s="212" t="s">
        <v>9</v>
      </c>
      <c r="M30" s="1230">
        <f>R.HN!D21</f>
        <v>0</v>
      </c>
      <c r="N30" s="35">
        <f>M30</f>
        <v>0</v>
      </c>
      <c r="O30" s="35">
        <f>($F$30-N30)*1234/1000</f>
        <v>1.234</v>
      </c>
      <c r="P30" s="37" t="s">
        <v>8</v>
      </c>
      <c r="Q30" s="40">
        <f>IF(O30&lt;0,0,O30)</f>
        <v>1.234</v>
      </c>
      <c r="R30" s="212" t="s">
        <v>9</v>
      </c>
      <c r="S30" s="1230">
        <f>R.HN!E21</f>
        <v>0</v>
      </c>
      <c r="T30" s="35">
        <f>S30</f>
        <v>0</v>
      </c>
      <c r="U30" s="35">
        <f>($F$30-T30)*1234/1000</f>
        <v>1.234</v>
      </c>
      <c r="V30" s="37" t="s">
        <v>8</v>
      </c>
      <c r="W30" s="40">
        <f>IF(U30&lt;0,0,U30)</f>
        <v>1.234</v>
      </c>
      <c r="X30" s="212" t="s">
        <v>9</v>
      </c>
      <c r="Y30" s="1230">
        <f>R.HN!F21</f>
        <v>0</v>
      </c>
      <c r="Z30" s="35">
        <f>Y30</f>
        <v>0</v>
      </c>
      <c r="AA30" s="35">
        <f>($F$30-Z30)*1234/1000</f>
        <v>1.234</v>
      </c>
      <c r="AB30" s="37" t="s">
        <v>8</v>
      </c>
      <c r="AC30" s="40">
        <f>IF(AA30&lt;0,0,AA30)</f>
        <v>1.234</v>
      </c>
      <c r="AD30" s="212" t="s">
        <v>9</v>
      </c>
      <c r="AE30" s="1230">
        <f>R.HN!G21</f>
        <v>0</v>
      </c>
      <c r="AF30" s="35">
        <f>AE30</f>
        <v>0</v>
      </c>
      <c r="AG30" s="35">
        <f>($F$30-AF30)*1234/1000</f>
        <v>1.234</v>
      </c>
      <c r="AH30" s="37" t="s">
        <v>8</v>
      </c>
      <c r="AI30" s="40">
        <f>IF(AG30&lt;0,0,AG30)</f>
        <v>1.234</v>
      </c>
      <c r="AJ30" s="212" t="s">
        <v>9</v>
      </c>
      <c r="AK30" s="1230">
        <f>R.HN!H21</f>
        <v>0</v>
      </c>
      <c r="AL30" s="35">
        <f>AK30</f>
        <v>0</v>
      </c>
      <c r="AM30" s="35">
        <f>($F$30-AL30)*1234/1000</f>
        <v>1.234</v>
      </c>
      <c r="AN30" s="37" t="s">
        <v>8</v>
      </c>
      <c r="AO30" s="40">
        <f>IF(AM30&lt;0,0,AM30)</f>
        <v>1.234</v>
      </c>
      <c r="AP30" s="39" t="s">
        <v>9</v>
      </c>
      <c r="AQ30" s="265" t="s">
        <v>451</v>
      </c>
    </row>
    <row r="31" spans="1:43" ht="30" customHeight="1">
      <c r="A31" s="1206" t="s">
        <v>1177</v>
      </c>
      <c r="B31" s="3463"/>
      <c r="C31" s="3464"/>
      <c r="D31" s="45" t="s">
        <v>5</v>
      </c>
      <c r="E31" s="102" t="s">
        <v>1178</v>
      </c>
      <c r="F31" s="1234">
        <v>9.5</v>
      </c>
      <c r="G31" s="1230">
        <f>R.HN!C22</f>
        <v>0</v>
      </c>
      <c r="H31" s="35">
        <f>G31</f>
        <v>0</v>
      </c>
      <c r="I31" s="35"/>
      <c r="J31" s="37"/>
      <c r="K31" s="38"/>
      <c r="L31" s="212"/>
      <c r="M31" s="1230">
        <f>R.HN!D22</f>
        <v>0</v>
      </c>
      <c r="N31" s="35">
        <f>M31</f>
        <v>0</v>
      </c>
      <c r="O31" s="35"/>
      <c r="P31" s="37"/>
      <c r="Q31" s="38"/>
      <c r="R31" s="212"/>
      <c r="S31" s="1230">
        <f>R.HN!E22</f>
        <v>0</v>
      </c>
      <c r="T31" s="35">
        <f>S31</f>
        <v>0</v>
      </c>
      <c r="U31" s="35"/>
      <c r="V31" s="37"/>
      <c r="W31" s="38"/>
      <c r="X31" s="212"/>
      <c r="Y31" s="1230">
        <f>R.HN!F22</f>
        <v>0</v>
      </c>
      <c r="Z31" s="35">
        <f>Y31</f>
        <v>0</v>
      </c>
      <c r="AA31" s="35"/>
      <c r="AB31" s="37"/>
      <c r="AC31" s="38"/>
      <c r="AD31" s="212"/>
      <c r="AE31" s="1230">
        <f>R.HN!G22</f>
        <v>0</v>
      </c>
      <c r="AF31" s="35">
        <f>AE31</f>
        <v>0</v>
      </c>
      <c r="AG31" s="35"/>
      <c r="AH31" s="37"/>
      <c r="AI31" s="38"/>
      <c r="AJ31" s="212"/>
      <c r="AK31" s="1230">
        <f>R.HN!H22</f>
        <v>0</v>
      </c>
      <c r="AL31" s="35">
        <f>AK31</f>
        <v>0</v>
      </c>
      <c r="AM31" s="35"/>
      <c r="AN31" s="37"/>
      <c r="AO31" s="38"/>
      <c r="AP31" s="39"/>
      <c r="AQ31" s="265" t="s">
        <v>451</v>
      </c>
    </row>
    <row r="32" spans="1:43" ht="44.25" customHeight="1">
      <c r="A32" s="285" t="s">
        <v>73</v>
      </c>
      <c r="B32" s="286"/>
      <c r="C32" s="286"/>
      <c r="D32" s="286"/>
      <c r="E32" s="283"/>
      <c r="F32" s="286"/>
      <c r="G32" s="286"/>
      <c r="H32" s="286"/>
      <c r="I32" s="286"/>
      <c r="J32" s="286"/>
      <c r="K32" s="286"/>
      <c r="L32" s="286"/>
      <c r="M32" s="286"/>
      <c r="N32" s="287"/>
      <c r="O32" s="286"/>
      <c r="P32" s="286"/>
      <c r="Q32" s="286"/>
      <c r="R32" s="287"/>
      <c r="S32" s="286"/>
      <c r="T32" s="287"/>
      <c r="U32" s="286"/>
      <c r="V32" s="286"/>
      <c r="W32" s="286"/>
      <c r="X32" s="286"/>
      <c r="Y32" s="286"/>
      <c r="Z32" s="286"/>
      <c r="AA32" s="286"/>
      <c r="AB32" s="286"/>
      <c r="AC32" s="286"/>
      <c r="AD32" s="286"/>
      <c r="AE32" s="287"/>
      <c r="AF32" s="287"/>
      <c r="AG32" s="287"/>
      <c r="AH32" s="287"/>
      <c r="AI32" s="287"/>
      <c r="AJ32" s="287"/>
      <c r="AK32" s="287"/>
      <c r="AL32" s="287"/>
      <c r="AM32" s="287"/>
      <c r="AN32" s="287"/>
      <c r="AO32" s="287"/>
      <c r="AP32" s="1004"/>
      <c r="AQ32" s="265" t="s">
        <v>451</v>
      </c>
    </row>
    <row r="33" spans="1:43" ht="33.75" customHeight="1">
      <c r="A33" s="1040" t="s">
        <v>238</v>
      </c>
      <c r="B33" s="3254" t="s">
        <v>61</v>
      </c>
      <c r="C33" s="3256"/>
      <c r="D33" s="278" t="s">
        <v>63</v>
      </c>
      <c r="E33" s="278" t="s">
        <v>64</v>
      </c>
      <c r="F33" s="1235"/>
      <c r="G33" s="1235"/>
      <c r="H33" s="280" t="s">
        <v>45</v>
      </c>
      <c r="I33" s="281"/>
      <c r="J33" s="281"/>
      <c r="K33" s="280" t="s">
        <v>62</v>
      </c>
      <c r="L33" s="294"/>
      <c r="M33" s="278"/>
      <c r="N33" s="280" t="s">
        <v>45</v>
      </c>
      <c r="O33" s="281"/>
      <c r="P33" s="281"/>
      <c r="Q33" s="280" t="s">
        <v>62</v>
      </c>
      <c r="R33" s="294"/>
      <c r="S33" s="91"/>
      <c r="T33" s="280" t="s">
        <v>45</v>
      </c>
      <c r="U33" s="281"/>
      <c r="V33" s="281"/>
      <c r="W33" s="280" t="s">
        <v>62</v>
      </c>
      <c r="X33" s="294"/>
      <c r="Y33" s="92"/>
      <c r="Z33" s="280" t="s">
        <v>45</v>
      </c>
      <c r="AA33" s="281"/>
      <c r="AB33" s="281"/>
      <c r="AC33" s="280" t="s">
        <v>62</v>
      </c>
      <c r="AD33" s="294"/>
      <c r="AE33" s="92"/>
      <c r="AF33" s="280" t="s">
        <v>45</v>
      </c>
      <c r="AG33" s="281"/>
      <c r="AH33" s="281"/>
      <c r="AI33" s="280" t="s">
        <v>62</v>
      </c>
      <c r="AJ33" s="294"/>
      <c r="AK33" s="92"/>
      <c r="AL33" s="280" t="s">
        <v>45</v>
      </c>
      <c r="AM33" s="281"/>
      <c r="AN33" s="281"/>
      <c r="AO33" s="280" t="s">
        <v>62</v>
      </c>
      <c r="AP33" s="294"/>
      <c r="AQ33" s="265" t="s">
        <v>451</v>
      </c>
    </row>
    <row r="34" spans="1:43" ht="30" customHeight="1">
      <c r="A34" s="1206" t="s">
        <v>1179</v>
      </c>
      <c r="B34" s="3254" t="s">
        <v>454</v>
      </c>
      <c r="C34" s="3256"/>
      <c r="D34" s="21" t="s">
        <v>105</v>
      </c>
      <c r="E34" s="102" t="s">
        <v>1180</v>
      </c>
      <c r="F34" s="96"/>
      <c r="G34" s="96"/>
      <c r="H34" s="3046"/>
      <c r="I34" s="3047"/>
      <c r="J34" s="3047"/>
      <c r="K34" s="3046"/>
      <c r="L34" s="3047"/>
      <c r="M34" s="92"/>
      <c r="N34" s="3046"/>
      <c r="O34" s="3047"/>
      <c r="P34" s="3047"/>
      <c r="Q34" s="3046"/>
      <c r="R34" s="3047"/>
      <c r="S34" s="92"/>
      <c r="T34" s="3046"/>
      <c r="U34" s="3047"/>
      <c r="V34" s="3047"/>
      <c r="W34" s="3046"/>
      <c r="X34" s="3047"/>
      <c r="Y34" s="92"/>
      <c r="Z34" s="3046"/>
      <c r="AA34" s="3047"/>
      <c r="AB34" s="3047"/>
      <c r="AC34" s="3046"/>
      <c r="AD34" s="3047"/>
      <c r="AE34" s="92"/>
      <c r="AF34" s="3046"/>
      <c r="AG34" s="3047"/>
      <c r="AH34" s="3047"/>
      <c r="AI34" s="3046"/>
      <c r="AJ34" s="3047"/>
      <c r="AK34" s="92"/>
      <c r="AL34" s="3046"/>
      <c r="AM34" s="3047"/>
      <c r="AN34" s="3047"/>
      <c r="AO34" s="3127"/>
      <c r="AP34" s="3127"/>
      <c r="AQ34" s="265" t="s">
        <v>451</v>
      </c>
    </row>
    <row r="35" spans="1:43" ht="30" customHeight="1">
      <c r="A35" s="1206" t="s">
        <v>1181</v>
      </c>
      <c r="B35" s="3254" t="s">
        <v>456</v>
      </c>
      <c r="C35" s="3256"/>
      <c r="D35" s="21" t="s">
        <v>105</v>
      </c>
      <c r="E35" s="102" t="s">
        <v>1171</v>
      </c>
      <c r="F35" s="96"/>
      <c r="G35" s="96"/>
      <c r="H35" s="3046"/>
      <c r="I35" s="3047"/>
      <c r="J35" s="3047"/>
      <c r="K35" s="3046"/>
      <c r="L35" s="3047"/>
      <c r="M35" s="92"/>
      <c r="N35" s="3046"/>
      <c r="O35" s="3047"/>
      <c r="P35" s="3047"/>
      <c r="Q35" s="3046"/>
      <c r="R35" s="3047"/>
      <c r="S35" s="92"/>
      <c r="T35" s="3046"/>
      <c r="U35" s="3047"/>
      <c r="V35" s="3047"/>
      <c r="W35" s="3046"/>
      <c r="X35" s="3047"/>
      <c r="Y35" s="92"/>
      <c r="Z35" s="3046"/>
      <c r="AA35" s="3047"/>
      <c r="AB35" s="3047"/>
      <c r="AC35" s="3046"/>
      <c r="AD35" s="3047"/>
      <c r="AE35" s="92"/>
      <c r="AF35" s="3046"/>
      <c r="AG35" s="3047"/>
      <c r="AH35" s="3047"/>
      <c r="AI35" s="3046"/>
      <c r="AJ35" s="3047"/>
      <c r="AK35" s="92"/>
      <c r="AL35" s="3046"/>
      <c r="AM35" s="3047"/>
      <c r="AN35" s="3047"/>
      <c r="AO35" s="3127"/>
      <c r="AP35" s="3127"/>
      <c r="AQ35" s="265" t="s">
        <v>451</v>
      </c>
    </row>
    <row r="36" spans="1:43" ht="30" customHeight="1">
      <c r="A36" s="1206" t="s">
        <v>1182</v>
      </c>
      <c r="B36" s="3254" t="s">
        <v>440</v>
      </c>
      <c r="C36" s="3256"/>
      <c r="D36" s="21" t="s">
        <v>105</v>
      </c>
      <c r="E36" s="102" t="s">
        <v>1172</v>
      </c>
      <c r="F36" s="1241"/>
      <c r="G36" s="1241"/>
      <c r="H36" s="3046"/>
      <c r="I36" s="3047"/>
      <c r="J36" s="3047"/>
      <c r="K36" s="3046"/>
      <c r="L36" s="3047"/>
      <c r="M36" s="92"/>
      <c r="N36" s="3046"/>
      <c r="O36" s="3047"/>
      <c r="P36" s="3047"/>
      <c r="Q36" s="3046"/>
      <c r="R36" s="3047"/>
      <c r="S36" s="92"/>
      <c r="T36" s="3046"/>
      <c r="U36" s="3047"/>
      <c r="V36" s="3047"/>
      <c r="W36" s="3046"/>
      <c r="X36" s="3047"/>
      <c r="Y36" s="92"/>
      <c r="Z36" s="3046"/>
      <c r="AA36" s="3047"/>
      <c r="AB36" s="3047"/>
      <c r="AC36" s="3046"/>
      <c r="AD36" s="3047"/>
      <c r="AE36" s="92"/>
      <c r="AF36" s="3046"/>
      <c r="AG36" s="3047"/>
      <c r="AH36" s="3047"/>
      <c r="AI36" s="3046"/>
      <c r="AJ36" s="3047"/>
      <c r="AK36" s="92"/>
      <c r="AL36" s="3046"/>
      <c r="AM36" s="3047"/>
      <c r="AN36" s="3047"/>
      <c r="AO36" s="3127"/>
      <c r="AP36" s="3127"/>
      <c r="AQ36" s="265" t="s">
        <v>451</v>
      </c>
    </row>
    <row r="37" spans="1:43" ht="25.5" customHeight="1">
      <c r="A37" s="1242"/>
      <c r="B37" s="1242"/>
      <c r="C37" s="1242"/>
      <c r="D37" s="1242"/>
      <c r="E37" s="1242"/>
      <c r="F37" s="1242"/>
      <c r="G37" s="1242"/>
      <c r="H37" s="1242"/>
      <c r="I37" s="1242"/>
      <c r="J37" s="1242"/>
      <c r="K37" s="1242"/>
      <c r="L37" s="1242"/>
      <c r="M37" s="1242"/>
      <c r="N37" s="1242"/>
      <c r="O37" s="1242"/>
      <c r="P37" s="1242"/>
      <c r="Q37" s="1242"/>
      <c r="R37" s="1242"/>
      <c r="S37" s="1242"/>
      <c r="T37" s="1242"/>
      <c r="U37" s="1242"/>
      <c r="V37" s="1242"/>
      <c r="W37" s="1242"/>
      <c r="X37" s="1242"/>
      <c r="Y37" s="1242"/>
      <c r="Z37" s="1242"/>
      <c r="AA37" s="1242"/>
      <c r="AB37" s="1242"/>
      <c r="AC37" s="1242"/>
      <c r="AD37" s="1242"/>
      <c r="AP37" s="265"/>
    </row>
    <row r="38" spans="1:43" ht="41.25" customHeight="1">
      <c r="A38" s="1962" t="s">
        <v>1183</v>
      </c>
      <c r="B38" s="1963"/>
      <c r="C38" s="1964"/>
      <c r="D38" s="1964"/>
      <c r="E38" s="1965"/>
      <c r="F38" s="1966" t="s">
        <v>72</v>
      </c>
      <c r="G38" s="1910"/>
      <c r="H38" s="1967" t="s">
        <v>72</v>
      </c>
      <c r="I38" s="1967"/>
      <c r="J38" s="1967"/>
      <c r="K38" s="1967"/>
      <c r="L38" s="1967"/>
      <c r="M38" s="1967"/>
      <c r="N38" s="1967"/>
      <c r="O38" s="1967"/>
      <c r="P38" s="1967"/>
      <c r="Q38" s="1967"/>
      <c r="R38" s="1967"/>
      <c r="S38" s="1967"/>
      <c r="T38" s="1967"/>
      <c r="U38" s="1967"/>
      <c r="V38" s="1967"/>
      <c r="W38" s="1967"/>
      <c r="X38" s="1967"/>
      <c r="Y38" s="1967"/>
      <c r="Z38" s="1967"/>
      <c r="AA38" s="1967"/>
      <c r="AB38" s="1967"/>
      <c r="AC38" s="1967"/>
      <c r="AD38" s="1967"/>
      <c r="AE38" s="1967"/>
      <c r="AF38" s="1967"/>
      <c r="AG38" s="1967"/>
      <c r="AH38" s="1967"/>
      <c r="AI38" s="1967"/>
      <c r="AJ38" s="1967"/>
      <c r="AK38" s="1967"/>
      <c r="AL38" s="1967"/>
      <c r="AM38" s="1967"/>
      <c r="AN38" s="1967"/>
      <c r="AO38" s="1967"/>
      <c r="AP38" s="1967"/>
    </row>
    <row r="39" spans="1:43" ht="31.5" customHeight="1">
      <c r="A39" s="418"/>
      <c r="B39" s="3448" t="s">
        <v>76</v>
      </c>
      <c r="C39" s="3449"/>
      <c r="D39" s="3452" t="s">
        <v>124</v>
      </c>
      <c r="E39" s="3454" t="s">
        <v>64</v>
      </c>
      <c r="F39" s="1238"/>
      <c r="G39" s="84"/>
      <c r="H39" s="3441" t="s">
        <v>472</v>
      </c>
      <c r="I39" s="3441"/>
      <c r="J39" s="3441"/>
      <c r="K39" s="3441"/>
      <c r="L39" s="3441"/>
      <c r="M39" s="1227"/>
      <c r="N39" s="3466" t="s">
        <v>1464</v>
      </c>
      <c r="O39" s="3466"/>
      <c r="P39" s="3466"/>
      <c r="Q39" s="3466"/>
      <c r="R39" s="3466"/>
      <c r="S39" s="1227"/>
      <c r="T39" s="3441" t="s">
        <v>1465</v>
      </c>
      <c r="U39" s="3441"/>
      <c r="V39" s="3441"/>
      <c r="W39" s="3441"/>
      <c r="X39" s="3441"/>
      <c r="Y39" s="1227"/>
      <c r="Z39" s="3441" t="s">
        <v>1466</v>
      </c>
      <c r="AA39" s="3441"/>
      <c r="AB39" s="3441"/>
      <c r="AC39" s="3441"/>
      <c r="AD39" s="3441"/>
      <c r="AE39" s="1227"/>
      <c r="AF39" s="3441" t="s">
        <v>1467</v>
      </c>
      <c r="AG39" s="3441"/>
      <c r="AH39" s="3441"/>
      <c r="AI39" s="3441"/>
      <c r="AJ39" s="3441"/>
      <c r="AK39" s="1227"/>
      <c r="AL39" s="3441" t="s">
        <v>1468</v>
      </c>
      <c r="AM39" s="3441"/>
      <c r="AN39" s="3441"/>
      <c r="AO39" s="3441"/>
      <c r="AP39" s="3441"/>
    </row>
    <row r="40" spans="1:43" ht="31.5" customHeight="1">
      <c r="A40" s="1205" t="s">
        <v>238</v>
      </c>
      <c r="B40" s="3450"/>
      <c r="C40" s="3451"/>
      <c r="D40" s="3453"/>
      <c r="E40" s="3455"/>
      <c r="F40" s="1228" t="s">
        <v>422</v>
      </c>
      <c r="G40" s="20"/>
      <c r="H40" s="1204" t="s">
        <v>129</v>
      </c>
      <c r="I40" s="34" t="s">
        <v>1</v>
      </c>
      <c r="J40" s="283" t="s">
        <v>1</v>
      </c>
      <c r="K40" s="283"/>
      <c r="L40" s="284"/>
      <c r="M40" s="85"/>
      <c r="N40" s="1204" t="s">
        <v>129</v>
      </c>
      <c r="O40" s="34" t="s">
        <v>1</v>
      </c>
      <c r="P40" s="283" t="s">
        <v>1</v>
      </c>
      <c r="Q40" s="283"/>
      <c r="R40" s="284"/>
      <c r="S40" s="20"/>
      <c r="T40" s="1204" t="s">
        <v>129</v>
      </c>
      <c r="U40" s="34" t="s">
        <v>1</v>
      </c>
      <c r="V40" s="283" t="s">
        <v>1</v>
      </c>
      <c r="W40" s="283"/>
      <c r="X40" s="284"/>
      <c r="Y40" s="85"/>
      <c r="Z40" s="1204" t="s">
        <v>129</v>
      </c>
      <c r="AA40" s="34" t="s">
        <v>1</v>
      </c>
      <c r="AB40" s="283" t="s">
        <v>1</v>
      </c>
      <c r="AC40" s="283"/>
      <c r="AD40" s="284"/>
      <c r="AE40" s="85"/>
      <c r="AF40" s="1204" t="s">
        <v>129</v>
      </c>
      <c r="AG40" s="34" t="s">
        <v>1</v>
      </c>
      <c r="AH40" s="283" t="s">
        <v>1</v>
      </c>
      <c r="AI40" s="283"/>
      <c r="AJ40" s="284"/>
      <c r="AK40" s="85"/>
      <c r="AL40" s="1204" t="s">
        <v>129</v>
      </c>
      <c r="AM40" s="34" t="s">
        <v>1</v>
      </c>
      <c r="AN40" s="283" t="s">
        <v>1</v>
      </c>
      <c r="AO40" s="283"/>
      <c r="AP40" s="284"/>
    </row>
    <row r="41" spans="1:43" ht="31.5" customHeight="1">
      <c r="A41" s="1206" t="s">
        <v>1184</v>
      </c>
      <c r="B41" s="3288" t="s">
        <v>449</v>
      </c>
      <c r="C41" s="3290"/>
      <c r="D41" s="275" t="s">
        <v>431</v>
      </c>
      <c r="E41" s="102" t="s">
        <v>450</v>
      </c>
      <c r="F41" s="1231">
        <v>40</v>
      </c>
      <c r="G41" s="1230">
        <f>R.HN!C25</f>
        <v>4</v>
      </c>
      <c r="H41" s="35">
        <f>G41*10</f>
        <v>40</v>
      </c>
      <c r="I41" s="35">
        <f>($F$25-H41)*2330/1000</f>
        <v>0</v>
      </c>
      <c r="J41" s="37" t="s">
        <v>8</v>
      </c>
      <c r="K41" s="40">
        <f>IF(I41&lt;0,0,I41)</f>
        <v>0</v>
      </c>
      <c r="L41" s="212" t="s">
        <v>9</v>
      </c>
      <c r="M41" s="1230">
        <f>R.HN!D25</f>
        <v>5</v>
      </c>
      <c r="N41" s="35">
        <f>M41*10</f>
        <v>50</v>
      </c>
      <c r="O41" s="35">
        <f>($F$25-N41)*2330/1000</f>
        <v>-23.3</v>
      </c>
      <c r="P41" s="37" t="s">
        <v>8</v>
      </c>
      <c r="Q41" s="40">
        <f>IF(O41&lt;0,0,O41)</f>
        <v>0</v>
      </c>
      <c r="R41" s="212" t="s">
        <v>9</v>
      </c>
      <c r="S41" s="1230">
        <f>R.HN!E25</f>
        <v>4.5</v>
      </c>
      <c r="T41" s="35">
        <f>S41*10</f>
        <v>45</v>
      </c>
      <c r="U41" s="35">
        <f>($F$25-T41)*2330/1000</f>
        <v>-11.65</v>
      </c>
      <c r="V41" s="37" t="s">
        <v>8</v>
      </c>
      <c r="W41" s="40">
        <f>IF(U41&lt;0,0,U41)</f>
        <v>0</v>
      </c>
      <c r="X41" s="212" t="s">
        <v>9</v>
      </c>
      <c r="Y41" s="1230">
        <f>R.HN!F25</f>
        <v>4.4000000000000004</v>
      </c>
      <c r="Z41" s="35">
        <f>Y41*10</f>
        <v>44</v>
      </c>
      <c r="AA41" s="35">
        <f>($F$25-Z41)*2330/1000</f>
        <v>-9.32</v>
      </c>
      <c r="AB41" s="37" t="s">
        <v>8</v>
      </c>
      <c r="AC41" s="40">
        <f>IF(AA41&lt;0,0,AA41)</f>
        <v>0</v>
      </c>
      <c r="AD41" s="212" t="s">
        <v>9</v>
      </c>
      <c r="AE41" s="1230">
        <f>R.HN!G25</f>
        <v>4.0999999999999996</v>
      </c>
      <c r="AF41" s="35">
        <f>AE41*10</f>
        <v>41</v>
      </c>
      <c r="AG41" s="35">
        <f>($F$25-AF41)*2330/1000</f>
        <v>-2.33</v>
      </c>
      <c r="AH41" s="37" t="s">
        <v>8</v>
      </c>
      <c r="AI41" s="40">
        <f>IF(AG41&lt;0,0,AG41)</f>
        <v>0</v>
      </c>
      <c r="AJ41" s="212" t="s">
        <v>9</v>
      </c>
      <c r="AK41" s="1230">
        <f>R.HN!H25</f>
        <v>3.6</v>
      </c>
      <c r="AL41" s="35">
        <v>40</v>
      </c>
      <c r="AM41" s="35">
        <f>($F$25-AL41)*2330/1000</f>
        <v>0</v>
      </c>
      <c r="AN41" s="37" t="s">
        <v>8</v>
      </c>
      <c r="AO41" s="40">
        <f>IF(AM41&lt;0,0,AM41)</f>
        <v>0</v>
      </c>
      <c r="AP41" s="39" t="s">
        <v>9</v>
      </c>
      <c r="AQ41" s="265" t="s">
        <v>458</v>
      </c>
    </row>
    <row r="42" spans="1:43" ht="31.5" customHeight="1">
      <c r="A42" s="1206" t="s">
        <v>1185</v>
      </c>
      <c r="B42" s="3288" t="s">
        <v>837</v>
      </c>
      <c r="C42" s="3290"/>
      <c r="D42" s="1040" t="s">
        <v>3</v>
      </c>
      <c r="E42" s="102" t="s">
        <v>426</v>
      </c>
      <c r="F42" s="1229">
        <v>12.5</v>
      </c>
      <c r="G42" s="1230">
        <f>R.HN!C26</f>
        <v>3.05</v>
      </c>
      <c r="H42" s="35">
        <f>(1*G42*36.5)/(1*10)</f>
        <v>11.132499999999999</v>
      </c>
      <c r="I42" s="35">
        <f>($F$26-H42)*2605/32</f>
        <v>111.32304687500012</v>
      </c>
      <c r="J42" s="37" t="s">
        <v>8</v>
      </c>
      <c r="K42" s="38">
        <f>IF(I42&lt;0,0,I42)</f>
        <v>111.32304687500012</v>
      </c>
      <c r="L42" s="212" t="s">
        <v>10</v>
      </c>
      <c r="M42" s="1230">
        <f>R.HN!D26</f>
        <v>2.9</v>
      </c>
      <c r="N42" s="35">
        <f>(1*M42*36.5)/(1*10)</f>
        <v>10.584999999999999</v>
      </c>
      <c r="O42" s="35">
        <f>($F$26-N42)*2605/32</f>
        <v>155.89296875000008</v>
      </c>
      <c r="P42" s="37" t="s">
        <v>8</v>
      </c>
      <c r="Q42" s="38">
        <f>IF(O42&lt;0,0,O42)</f>
        <v>155.89296875000008</v>
      </c>
      <c r="R42" s="212" t="s">
        <v>10</v>
      </c>
      <c r="S42" s="1230">
        <f>R.HN!E26</f>
        <v>3</v>
      </c>
      <c r="T42" s="35">
        <f>(1*S42*36.5)/(1*10)</f>
        <v>10.95</v>
      </c>
      <c r="U42" s="35">
        <f>($F$26-T42)*2605/32</f>
        <v>126.17968750000006</v>
      </c>
      <c r="V42" s="37" t="s">
        <v>8</v>
      </c>
      <c r="W42" s="38">
        <f>IF(U42&lt;0,0,U42)</f>
        <v>126.17968750000006</v>
      </c>
      <c r="X42" s="212" t="s">
        <v>10</v>
      </c>
      <c r="Y42" s="1230">
        <f>R.HN!F26</f>
        <v>3</v>
      </c>
      <c r="Z42" s="35">
        <f>(1*Y42*36.5)/(1*10)</f>
        <v>10.95</v>
      </c>
      <c r="AA42" s="35">
        <f>($F$26-Z42)*2605/32</f>
        <v>126.17968750000006</v>
      </c>
      <c r="AB42" s="37" t="s">
        <v>8</v>
      </c>
      <c r="AC42" s="38">
        <f>IF(AA42&lt;0,0,AA42)</f>
        <v>126.17968750000006</v>
      </c>
      <c r="AD42" s="212" t="s">
        <v>10</v>
      </c>
      <c r="AE42" s="1230">
        <f>R.HN!G26</f>
        <v>3</v>
      </c>
      <c r="AF42" s="35">
        <f>(1*AE42*36.5)/(1*10)</f>
        <v>10.95</v>
      </c>
      <c r="AG42" s="35">
        <f>($F$26-AF42)*2605/32</f>
        <v>126.17968750000006</v>
      </c>
      <c r="AH42" s="37" t="s">
        <v>8</v>
      </c>
      <c r="AI42" s="38">
        <f>IF(AG42&lt;0,0,AG42)</f>
        <v>126.17968750000006</v>
      </c>
      <c r="AJ42" s="212" t="s">
        <v>10</v>
      </c>
      <c r="AK42" s="1230">
        <f>R.HN!H26</f>
        <v>2.9</v>
      </c>
      <c r="AL42" s="35">
        <v>12.3</v>
      </c>
      <c r="AM42" s="35">
        <f>($F$26-AL42)*2605/32</f>
        <v>16.281249999999943</v>
      </c>
      <c r="AN42" s="37" t="s">
        <v>8</v>
      </c>
      <c r="AO42" s="38">
        <f>IF(AM42&lt;0,0,AM42)</f>
        <v>16.281249999999943</v>
      </c>
      <c r="AP42" s="39" t="s">
        <v>10</v>
      </c>
      <c r="AQ42" s="265" t="s">
        <v>458</v>
      </c>
    </row>
    <row r="43" spans="1:43" ht="31.5" customHeight="1">
      <c r="A43" s="1206" t="s">
        <v>1186</v>
      </c>
      <c r="B43" s="3461" t="s">
        <v>430</v>
      </c>
      <c r="C43" s="3462"/>
      <c r="D43" s="3465" t="s">
        <v>431</v>
      </c>
      <c r="E43" s="102" t="s">
        <v>1061</v>
      </c>
      <c r="F43" s="1239">
        <v>50</v>
      </c>
      <c r="G43" s="1230">
        <f>R.HN!C27</f>
        <v>4.3</v>
      </c>
      <c r="H43" s="35">
        <f>G43*10</f>
        <v>43</v>
      </c>
      <c r="I43" s="35">
        <f>($F$43-H43)*4935/1000</f>
        <v>34.545000000000002</v>
      </c>
      <c r="J43" s="37" t="s">
        <v>8</v>
      </c>
      <c r="K43" s="38">
        <f>IF(I43&lt;0,0,I43)</f>
        <v>34.545000000000002</v>
      </c>
      <c r="L43" s="212" t="s">
        <v>9</v>
      </c>
      <c r="M43" s="1230">
        <f>R.HN!D27</f>
        <v>4.4000000000000004</v>
      </c>
      <c r="N43" s="35">
        <f>M43*10</f>
        <v>44</v>
      </c>
      <c r="O43" s="35">
        <f>($F$43-N43)*4935/1000</f>
        <v>29.61</v>
      </c>
      <c r="P43" s="37" t="s">
        <v>8</v>
      </c>
      <c r="Q43" s="38">
        <f>IF(O43&lt;0,0,O43)</f>
        <v>29.61</v>
      </c>
      <c r="R43" s="212" t="s">
        <v>9</v>
      </c>
      <c r="S43" s="1230">
        <f>R.HN!E27</f>
        <v>4.5</v>
      </c>
      <c r="T43" s="35">
        <f>S43*10</f>
        <v>45</v>
      </c>
      <c r="U43" s="35">
        <f>($F$43-T43)*4935/1000</f>
        <v>24.675000000000001</v>
      </c>
      <c r="V43" s="37" t="s">
        <v>8</v>
      </c>
      <c r="W43" s="38">
        <f>IF(U43&lt;0,0,U43)</f>
        <v>24.675000000000001</v>
      </c>
      <c r="X43" s="212" t="s">
        <v>9</v>
      </c>
      <c r="Y43" s="1230">
        <f>R.HN!F27</f>
        <v>5.4</v>
      </c>
      <c r="Z43" s="35">
        <f>Y43*10</f>
        <v>54</v>
      </c>
      <c r="AA43" s="35">
        <f>($F$43-Z43)*4935/1000</f>
        <v>-19.739999999999998</v>
      </c>
      <c r="AB43" s="37" t="s">
        <v>8</v>
      </c>
      <c r="AC43" s="38">
        <f>IF(AA43&lt;0,0,AA43)</f>
        <v>0</v>
      </c>
      <c r="AD43" s="212" t="s">
        <v>9</v>
      </c>
      <c r="AE43" s="1230">
        <f>R.HN!G27</f>
        <v>4.7</v>
      </c>
      <c r="AF43" s="35">
        <f>AE43*10</f>
        <v>47</v>
      </c>
      <c r="AG43" s="35">
        <f>($F$43-AF43)*4935/1000</f>
        <v>14.805</v>
      </c>
      <c r="AH43" s="37" t="s">
        <v>8</v>
      </c>
      <c r="AI43" s="38">
        <f>IF(AG43&lt;0,0,AG43)</f>
        <v>14.805</v>
      </c>
      <c r="AJ43" s="212" t="s">
        <v>9</v>
      </c>
      <c r="AK43" s="1230">
        <f>R.HN!H27</f>
        <v>4.9000000000000004</v>
      </c>
      <c r="AL43" s="35">
        <v>50</v>
      </c>
      <c r="AM43" s="35">
        <f>($F$43-AL43)*4935/1000</f>
        <v>0</v>
      </c>
      <c r="AN43" s="37" t="s">
        <v>8</v>
      </c>
      <c r="AO43" s="38">
        <f>IF(AM43&lt;0,0,AM43)</f>
        <v>0</v>
      </c>
      <c r="AP43" s="39" t="s">
        <v>9</v>
      </c>
      <c r="AQ43" s="265" t="s">
        <v>458</v>
      </c>
    </row>
    <row r="44" spans="1:43" ht="31.5" customHeight="1">
      <c r="A44" s="1206" t="s">
        <v>1187</v>
      </c>
      <c r="B44" s="3471"/>
      <c r="C44" s="3472"/>
      <c r="D44" s="3465"/>
      <c r="E44" s="102" t="s">
        <v>1062</v>
      </c>
      <c r="F44" s="1230">
        <v>6.5</v>
      </c>
      <c r="G44" s="1230">
        <f>R.HN!C28</f>
        <v>5</v>
      </c>
      <c r="H44" s="35">
        <v>7.5</v>
      </c>
      <c r="I44" s="35">
        <f>($F$44-H44)*4935/1000</f>
        <v>-4.9349999999999996</v>
      </c>
      <c r="J44" s="37"/>
      <c r="K44" s="38">
        <f>IF(I44&lt;0,0,I44)</f>
        <v>0</v>
      </c>
      <c r="L44" s="212" t="s">
        <v>9</v>
      </c>
      <c r="M44" s="1230">
        <f>R.HN!D28</f>
        <v>4.4000000000000004</v>
      </c>
      <c r="N44" s="35">
        <v>7</v>
      </c>
      <c r="O44" s="35">
        <f>($F$44-N44)*4935/1000</f>
        <v>-2.4674999999999998</v>
      </c>
      <c r="P44" s="37"/>
      <c r="Q44" s="38">
        <f>IF(O44&lt;0,0,O44)</f>
        <v>0</v>
      </c>
      <c r="R44" s="212" t="s">
        <v>9</v>
      </c>
      <c r="S44" s="1230">
        <f>R.HN!E28</f>
        <v>4.4000000000000004</v>
      </c>
      <c r="T44" s="35">
        <v>7.2</v>
      </c>
      <c r="U44" s="35">
        <f>($F$44-T44)*4935/1000</f>
        <v>-3.4545000000000008</v>
      </c>
      <c r="V44" s="37"/>
      <c r="W44" s="38">
        <f>IF(U44&lt;0,0,U44)</f>
        <v>0</v>
      </c>
      <c r="X44" s="212" t="s">
        <v>9</v>
      </c>
      <c r="Y44" s="1230">
        <f>R.HN!F28</f>
        <v>6.2</v>
      </c>
      <c r="Z44" s="35">
        <v>7</v>
      </c>
      <c r="AA44" s="35">
        <f>($F$44-Z44)*4935/1000</f>
        <v>-2.4674999999999998</v>
      </c>
      <c r="AB44" s="37"/>
      <c r="AC44" s="38">
        <f>IF(AA44&lt;0,0,AA44)</f>
        <v>0</v>
      </c>
      <c r="AD44" s="212" t="s">
        <v>9</v>
      </c>
      <c r="AE44" s="1230">
        <f>R.HN!G28</f>
        <v>5.3</v>
      </c>
      <c r="AF44" s="35">
        <v>7.3</v>
      </c>
      <c r="AG44" s="35">
        <f>($F$44-AF44)*4935/1000</f>
        <v>-3.9479999999999991</v>
      </c>
      <c r="AH44" s="37"/>
      <c r="AI44" s="38">
        <f>IF(AG44&lt;0,0,AG44)</f>
        <v>0</v>
      </c>
      <c r="AJ44" s="212" t="s">
        <v>9</v>
      </c>
      <c r="AK44" s="1230">
        <f>R.HN!H28</f>
        <v>4.9000000000000004</v>
      </c>
      <c r="AL44" s="35">
        <v>7.6</v>
      </c>
      <c r="AM44" s="35">
        <f>($F$44-AL44)*4935/1000</f>
        <v>-5.4284999999999979</v>
      </c>
      <c r="AN44" s="37"/>
      <c r="AO44" s="38">
        <f>IF(AM44&lt;0,0,AM44)</f>
        <v>0</v>
      </c>
      <c r="AP44" s="39" t="s">
        <v>9</v>
      </c>
      <c r="AQ44" s="265" t="s">
        <v>458</v>
      </c>
    </row>
    <row r="45" spans="1:43" ht="31.5" customHeight="1">
      <c r="A45" s="1206" t="s">
        <v>1188</v>
      </c>
      <c r="B45" s="3473"/>
      <c r="C45" s="3474"/>
      <c r="D45" s="3465"/>
      <c r="E45" s="102" t="s">
        <v>1063</v>
      </c>
      <c r="F45" s="1240">
        <v>0.4</v>
      </c>
      <c r="G45" s="1230">
        <f>R.HN!C29</f>
        <v>0.1</v>
      </c>
      <c r="H45" s="1233">
        <f>G45</f>
        <v>0.1</v>
      </c>
      <c r="I45" s="35"/>
      <c r="J45" s="37"/>
      <c r="K45" s="40"/>
      <c r="L45" s="212" t="s">
        <v>9</v>
      </c>
      <c r="M45" s="1230">
        <f>R.HN!D29</f>
        <v>0.08</v>
      </c>
      <c r="N45" s="1233">
        <f>M45</f>
        <v>0.08</v>
      </c>
      <c r="O45" s="35"/>
      <c r="P45" s="37"/>
      <c r="Q45" s="40"/>
      <c r="R45" s="212" t="s">
        <v>9</v>
      </c>
      <c r="S45" s="1230">
        <f>R.HN!E29</f>
        <v>0.12</v>
      </c>
      <c r="T45" s="1233">
        <f>S45</f>
        <v>0.12</v>
      </c>
      <c r="U45" s="35"/>
      <c r="V45" s="37"/>
      <c r="W45" s="40"/>
      <c r="X45" s="212" t="s">
        <v>9</v>
      </c>
      <c r="Y45" s="1230">
        <f>R.HN!F29</f>
        <v>0.12</v>
      </c>
      <c r="Z45" s="1233">
        <f>Y45</f>
        <v>0.12</v>
      </c>
      <c r="AA45" s="35"/>
      <c r="AB45" s="37"/>
      <c r="AC45" s="40"/>
      <c r="AD45" s="212" t="s">
        <v>9</v>
      </c>
      <c r="AE45" s="1230">
        <f>R.HN!G29</f>
        <v>0.1</v>
      </c>
      <c r="AF45" s="1233">
        <f>AE45</f>
        <v>0.1</v>
      </c>
      <c r="AG45" s="35"/>
      <c r="AH45" s="37"/>
      <c r="AI45" s="40"/>
      <c r="AJ45" s="212" t="s">
        <v>9</v>
      </c>
      <c r="AK45" s="1230">
        <f>R.HN!H29</f>
        <v>0.12</v>
      </c>
      <c r="AL45" s="1233">
        <v>0.12</v>
      </c>
      <c r="AM45" s="35"/>
      <c r="AN45" s="37"/>
      <c r="AO45" s="40"/>
      <c r="AP45" s="39" t="s">
        <v>9</v>
      </c>
      <c r="AQ45" s="265" t="s">
        <v>458</v>
      </c>
    </row>
    <row r="46" spans="1:43" ht="31.5" customHeight="1">
      <c r="A46" s="1206" t="s">
        <v>1189</v>
      </c>
      <c r="B46" s="3461" t="s">
        <v>440</v>
      </c>
      <c r="C46" s="3462"/>
      <c r="D46" s="45" t="s">
        <v>431</v>
      </c>
      <c r="E46" s="102" t="s">
        <v>441</v>
      </c>
      <c r="F46" s="1232">
        <v>1</v>
      </c>
      <c r="G46" s="1230">
        <f>R.HN!C33</f>
        <v>0.95</v>
      </c>
      <c r="H46" s="35">
        <f>G46</f>
        <v>0.95</v>
      </c>
      <c r="I46" s="35">
        <f>($F$30-H46)*1234/1000</f>
        <v>6.1700000000000053E-2</v>
      </c>
      <c r="J46" s="37" t="s">
        <v>8</v>
      </c>
      <c r="K46" s="40">
        <f>IF(I46&lt;0,0,I46)</f>
        <v>6.1700000000000053E-2</v>
      </c>
      <c r="L46" s="212" t="s">
        <v>9</v>
      </c>
      <c r="M46" s="1230">
        <f>R.HN!D33</f>
        <v>0.9</v>
      </c>
      <c r="N46" s="35">
        <f>M46</f>
        <v>0.9</v>
      </c>
      <c r="O46" s="35">
        <f>($F$30-N46)*1234/1000</f>
        <v>0.12339999999999998</v>
      </c>
      <c r="P46" s="37" t="s">
        <v>8</v>
      </c>
      <c r="Q46" s="40">
        <f>IF(O46&lt;0,0,O46)</f>
        <v>0.12339999999999998</v>
      </c>
      <c r="R46" s="212" t="s">
        <v>9</v>
      </c>
      <c r="S46" s="1230">
        <f>R.HN!E33</f>
        <v>0.95</v>
      </c>
      <c r="T46" s="35">
        <f>S46</f>
        <v>0.95</v>
      </c>
      <c r="U46" s="35">
        <f>($F$30-T46)*1234/1000</f>
        <v>6.1700000000000053E-2</v>
      </c>
      <c r="V46" s="37" t="s">
        <v>8</v>
      </c>
      <c r="W46" s="40">
        <f>IF(U46&lt;0,0,U46)</f>
        <v>6.1700000000000053E-2</v>
      </c>
      <c r="X46" s="212" t="s">
        <v>9</v>
      </c>
      <c r="Y46" s="1230">
        <f>R.HN!F33</f>
        <v>0.9</v>
      </c>
      <c r="Z46" s="35">
        <f>Y46</f>
        <v>0.9</v>
      </c>
      <c r="AA46" s="35">
        <f>($F$30-Z46)*1234/1000</f>
        <v>0.12339999999999998</v>
      </c>
      <c r="AB46" s="37" t="s">
        <v>8</v>
      </c>
      <c r="AC46" s="40">
        <f>IF(AA46&lt;0,0,AA46)</f>
        <v>0.12339999999999998</v>
      </c>
      <c r="AD46" s="212" t="s">
        <v>9</v>
      </c>
      <c r="AE46" s="1230">
        <f>R.HN!G33</f>
        <v>0.95</v>
      </c>
      <c r="AF46" s="35">
        <f>AE46</f>
        <v>0.95</v>
      </c>
      <c r="AG46" s="35">
        <f>($F$30-AF46)*1234/1000</f>
        <v>6.1700000000000053E-2</v>
      </c>
      <c r="AH46" s="37" t="s">
        <v>8</v>
      </c>
      <c r="AI46" s="40">
        <f>IF(AG46&lt;0,0,AG46)</f>
        <v>6.1700000000000053E-2</v>
      </c>
      <c r="AJ46" s="212" t="s">
        <v>9</v>
      </c>
      <c r="AK46" s="1230">
        <f>R.HN!H33</f>
        <v>0.95</v>
      </c>
      <c r="AL46" s="35">
        <v>0.9</v>
      </c>
      <c r="AM46" s="35">
        <f>($F$30-AL46)*1234/1000</f>
        <v>0.12339999999999998</v>
      </c>
      <c r="AN46" s="37" t="s">
        <v>8</v>
      </c>
      <c r="AO46" s="40">
        <f>IF(AM46&lt;0,0,AM46)</f>
        <v>0.12339999999999998</v>
      </c>
      <c r="AP46" s="39" t="s">
        <v>9</v>
      </c>
      <c r="AQ46" s="265" t="s">
        <v>458</v>
      </c>
    </row>
    <row r="47" spans="1:43" ht="31.5" customHeight="1">
      <c r="A47" s="1206" t="s">
        <v>1190</v>
      </c>
      <c r="B47" s="3463"/>
      <c r="C47" s="3464"/>
      <c r="D47" s="45" t="s">
        <v>5</v>
      </c>
      <c r="E47" s="102" t="s">
        <v>1178</v>
      </c>
      <c r="F47" s="1234">
        <v>9.5</v>
      </c>
      <c r="G47" s="1230">
        <f>R.HN!C34</f>
        <v>10</v>
      </c>
      <c r="H47" s="35">
        <f>G47</f>
        <v>10</v>
      </c>
      <c r="I47" s="35"/>
      <c r="J47" s="37"/>
      <c r="K47" s="38"/>
      <c r="L47" s="212"/>
      <c r="M47" s="1230">
        <f>R.HN!D34</f>
        <v>10</v>
      </c>
      <c r="N47" s="35">
        <f>M47</f>
        <v>10</v>
      </c>
      <c r="O47" s="35"/>
      <c r="P47" s="37"/>
      <c r="Q47" s="38"/>
      <c r="R47" s="212"/>
      <c r="S47" s="1230">
        <f>R.HN!E34</f>
        <v>10</v>
      </c>
      <c r="T47" s="35">
        <f>S47</f>
        <v>10</v>
      </c>
      <c r="U47" s="35"/>
      <c r="V47" s="37"/>
      <c r="W47" s="38"/>
      <c r="X47" s="212"/>
      <c r="Y47" s="1230">
        <f>R.HN!F34</f>
        <v>9</v>
      </c>
      <c r="Z47" s="35">
        <f>Y47</f>
        <v>9</v>
      </c>
      <c r="AA47" s="35"/>
      <c r="AB47" s="37"/>
      <c r="AC47" s="38"/>
      <c r="AD47" s="212"/>
      <c r="AE47" s="1230">
        <f>R.HN!G34</f>
        <v>9.5</v>
      </c>
      <c r="AF47" s="35">
        <f>AE47</f>
        <v>9.5</v>
      </c>
      <c r="AG47" s="35"/>
      <c r="AH47" s="37"/>
      <c r="AI47" s="38"/>
      <c r="AJ47" s="212"/>
      <c r="AK47" s="1230">
        <f>R.HN!H34</f>
        <v>10</v>
      </c>
      <c r="AL47" s="35">
        <v>9</v>
      </c>
      <c r="AM47" s="35"/>
      <c r="AN47" s="37"/>
      <c r="AO47" s="38"/>
      <c r="AP47" s="39"/>
      <c r="AQ47" s="265" t="s">
        <v>458</v>
      </c>
    </row>
    <row r="48" spans="1:43" ht="33" customHeight="1">
      <c r="A48" s="285" t="s">
        <v>73</v>
      </c>
      <c r="B48" s="286"/>
      <c r="C48" s="286"/>
      <c r="D48" s="286"/>
      <c r="E48" s="283"/>
      <c r="F48" s="286"/>
      <c r="G48" s="286"/>
      <c r="H48" s="286"/>
      <c r="I48" s="286"/>
      <c r="J48" s="286"/>
      <c r="K48" s="286"/>
      <c r="L48" s="286"/>
      <c r="M48" s="286"/>
      <c r="N48" s="287"/>
      <c r="O48" s="286"/>
      <c r="P48" s="286"/>
      <c r="Q48" s="286"/>
      <c r="R48" s="287"/>
      <c r="S48" s="286"/>
      <c r="T48" s="287"/>
      <c r="U48" s="286"/>
      <c r="V48" s="286"/>
      <c r="W48" s="286"/>
      <c r="X48" s="286"/>
      <c r="Y48" s="286"/>
      <c r="Z48" s="286"/>
      <c r="AA48" s="286"/>
      <c r="AB48" s="286"/>
      <c r="AC48" s="286"/>
      <c r="AD48" s="286"/>
      <c r="AE48" s="287"/>
      <c r="AF48" s="287"/>
      <c r="AG48" s="287"/>
      <c r="AH48" s="287"/>
      <c r="AI48" s="287"/>
      <c r="AJ48" s="287"/>
      <c r="AK48" s="287"/>
      <c r="AL48" s="287"/>
      <c r="AM48" s="287"/>
      <c r="AN48" s="287"/>
      <c r="AO48" s="287"/>
      <c r="AP48" s="1004"/>
    </row>
    <row r="49" spans="1:55" ht="51.75" customHeight="1">
      <c r="A49" s="1206" t="s">
        <v>238</v>
      </c>
      <c r="B49" s="3254" t="s">
        <v>61</v>
      </c>
      <c r="C49" s="3256"/>
      <c r="D49" s="278" t="s">
        <v>63</v>
      </c>
      <c r="E49" s="278" t="s">
        <v>64</v>
      </c>
      <c r="F49" s="1235"/>
      <c r="G49" s="1235"/>
      <c r="H49" s="280" t="s">
        <v>45</v>
      </c>
      <c r="I49" s="281"/>
      <c r="J49" s="281"/>
      <c r="K49" s="280" t="s">
        <v>62</v>
      </c>
      <c r="L49" s="294"/>
      <c r="M49" s="278"/>
      <c r="N49" s="280" t="s">
        <v>45</v>
      </c>
      <c r="O49" s="281"/>
      <c r="P49" s="281"/>
      <c r="Q49" s="280" t="s">
        <v>62</v>
      </c>
      <c r="R49" s="294"/>
      <c r="S49" s="91"/>
      <c r="T49" s="280" t="s">
        <v>45</v>
      </c>
      <c r="U49" s="281"/>
      <c r="V49" s="281"/>
      <c r="W49" s="280" t="s">
        <v>62</v>
      </c>
      <c r="X49" s="294"/>
      <c r="Y49" s="92"/>
      <c r="Z49" s="280" t="s">
        <v>45</v>
      </c>
      <c r="AA49" s="281"/>
      <c r="AB49" s="281"/>
      <c r="AC49" s="280" t="s">
        <v>62</v>
      </c>
      <c r="AD49" s="294"/>
      <c r="AE49" s="92"/>
      <c r="AF49" s="280" t="s">
        <v>45</v>
      </c>
      <c r="AG49" s="281"/>
      <c r="AH49" s="281"/>
      <c r="AI49" s="280" t="s">
        <v>62</v>
      </c>
      <c r="AJ49" s="294"/>
      <c r="AK49" s="92"/>
      <c r="AL49" s="280" t="s">
        <v>45</v>
      </c>
      <c r="AM49" s="281"/>
      <c r="AN49" s="281"/>
      <c r="AO49" s="280" t="s">
        <v>62</v>
      </c>
      <c r="AP49" s="294"/>
    </row>
    <row r="50" spans="1:55" ht="30" customHeight="1">
      <c r="A50" s="1206" t="s">
        <v>1191</v>
      </c>
      <c r="B50" s="3254" t="s">
        <v>454</v>
      </c>
      <c r="C50" s="3256"/>
      <c r="D50" s="21" t="s">
        <v>105</v>
      </c>
      <c r="E50" s="102" t="s">
        <v>1180</v>
      </c>
      <c r="F50" s="96"/>
      <c r="G50" s="96"/>
      <c r="H50" s="3046"/>
      <c r="I50" s="3047"/>
      <c r="J50" s="3047"/>
      <c r="K50" s="3046">
        <v>59</v>
      </c>
      <c r="L50" s="3047"/>
      <c r="M50" s="3047"/>
      <c r="N50" s="3046"/>
      <c r="O50" s="3047"/>
      <c r="P50" s="3047"/>
      <c r="Q50" s="3046">
        <v>59</v>
      </c>
      <c r="R50" s="3047"/>
      <c r="S50" s="3047"/>
      <c r="T50" s="3046"/>
      <c r="U50" s="3047"/>
      <c r="V50" s="3047"/>
      <c r="W50" s="3046">
        <v>58</v>
      </c>
      <c r="X50" s="3047"/>
      <c r="Y50" s="3047"/>
      <c r="Z50" s="3046"/>
      <c r="AA50" s="3047"/>
      <c r="AB50" s="3047"/>
      <c r="AC50" s="3046">
        <v>58</v>
      </c>
      <c r="AD50" s="3047"/>
      <c r="AE50" s="3047"/>
      <c r="AF50" s="3046"/>
      <c r="AG50" s="3047"/>
      <c r="AH50" s="3047"/>
      <c r="AI50" s="3046">
        <v>59</v>
      </c>
      <c r="AJ50" s="3047"/>
      <c r="AK50" s="3047"/>
      <c r="AL50" s="3046"/>
      <c r="AM50" s="3047"/>
      <c r="AN50" s="3047"/>
      <c r="AO50" s="3127">
        <v>59</v>
      </c>
      <c r="AP50" s="3127"/>
      <c r="AQ50" s="3127"/>
    </row>
    <row r="51" spans="1:55" ht="30" customHeight="1">
      <c r="A51" s="1206" t="s">
        <v>1192</v>
      </c>
      <c r="B51" s="3254" t="s">
        <v>447</v>
      </c>
      <c r="C51" s="3256"/>
      <c r="D51" s="21" t="s">
        <v>105</v>
      </c>
      <c r="E51" s="102" t="s">
        <v>1171</v>
      </c>
      <c r="F51" s="96"/>
      <c r="G51" s="96"/>
      <c r="H51" s="3046"/>
      <c r="I51" s="3047"/>
      <c r="J51" s="3047"/>
      <c r="K51" s="3046">
        <v>68</v>
      </c>
      <c r="L51" s="3047"/>
      <c r="M51" s="3047"/>
      <c r="N51" s="3046"/>
      <c r="O51" s="3047"/>
      <c r="P51" s="3047"/>
      <c r="Q51" s="3046">
        <v>68</v>
      </c>
      <c r="R51" s="3047"/>
      <c r="S51" s="3047"/>
      <c r="T51" s="3046"/>
      <c r="U51" s="3047"/>
      <c r="V51" s="3047"/>
      <c r="W51" s="3046">
        <v>68</v>
      </c>
      <c r="X51" s="3047"/>
      <c r="Y51" s="3047"/>
      <c r="Z51" s="3046"/>
      <c r="AA51" s="3047"/>
      <c r="AB51" s="3047"/>
      <c r="AC51" s="3046">
        <v>68</v>
      </c>
      <c r="AD51" s="3047"/>
      <c r="AE51" s="3047"/>
      <c r="AF51" s="3046"/>
      <c r="AG51" s="3047"/>
      <c r="AH51" s="3047"/>
      <c r="AI51" s="3046">
        <v>68</v>
      </c>
      <c r="AJ51" s="3047"/>
      <c r="AK51" s="3047"/>
      <c r="AL51" s="3046"/>
      <c r="AM51" s="3047"/>
      <c r="AN51" s="3047"/>
      <c r="AO51" s="3127">
        <v>68</v>
      </c>
      <c r="AP51" s="3127"/>
      <c r="AQ51" s="3127"/>
    </row>
    <row r="52" spans="1:55" ht="30" customHeight="1">
      <c r="A52" s="1206" t="s">
        <v>1193</v>
      </c>
      <c r="B52" s="3254" t="s">
        <v>440</v>
      </c>
      <c r="C52" s="3256"/>
      <c r="D52" s="21" t="s">
        <v>105</v>
      </c>
      <c r="E52" s="102" t="s">
        <v>1172</v>
      </c>
      <c r="F52" s="1241"/>
      <c r="G52" s="1241"/>
      <c r="H52" s="3046"/>
      <c r="I52" s="3047"/>
      <c r="J52" s="3047"/>
      <c r="K52" s="3046">
        <v>85</v>
      </c>
      <c r="L52" s="3047"/>
      <c r="M52" s="3047"/>
      <c r="N52" s="3046"/>
      <c r="O52" s="3047"/>
      <c r="P52" s="3047"/>
      <c r="Q52" s="3046">
        <v>89</v>
      </c>
      <c r="R52" s="3047"/>
      <c r="S52" s="3047"/>
      <c r="T52" s="3046"/>
      <c r="U52" s="3047"/>
      <c r="V52" s="3047"/>
      <c r="W52" s="3046">
        <v>83</v>
      </c>
      <c r="X52" s="3047"/>
      <c r="Y52" s="3047"/>
      <c r="Z52" s="3046"/>
      <c r="AA52" s="3047"/>
      <c r="AB52" s="3047"/>
      <c r="AC52" s="3046">
        <v>86</v>
      </c>
      <c r="AD52" s="3047"/>
      <c r="AE52" s="3047"/>
      <c r="AF52" s="3046"/>
      <c r="AG52" s="3047"/>
      <c r="AH52" s="3047"/>
      <c r="AI52" s="3046">
        <v>85</v>
      </c>
      <c r="AJ52" s="3047"/>
      <c r="AK52" s="3047"/>
      <c r="AL52" s="3046"/>
      <c r="AM52" s="3047"/>
      <c r="AN52" s="3047"/>
      <c r="AO52" s="3127">
        <v>85</v>
      </c>
      <c r="AP52" s="3127"/>
      <c r="AQ52" s="3127"/>
    </row>
    <row r="53" spans="1:55" ht="23.25" customHeight="1">
      <c r="A53" s="404"/>
      <c r="B53" s="90"/>
      <c r="C53" s="90"/>
      <c r="D53" s="1243"/>
      <c r="E53" s="608"/>
      <c r="F53" s="1241"/>
      <c r="G53" s="1241"/>
      <c r="H53" s="100"/>
      <c r="I53" s="100"/>
      <c r="J53" s="100"/>
      <c r="K53" s="100"/>
      <c r="L53" s="100"/>
      <c r="M53" s="100"/>
      <c r="N53" s="100"/>
      <c r="O53" s="100"/>
      <c r="P53" s="100"/>
      <c r="Q53" s="100"/>
      <c r="R53" s="100"/>
      <c r="S53" s="100"/>
      <c r="T53" s="100"/>
      <c r="U53" s="100"/>
      <c r="V53" s="100"/>
      <c r="W53" s="100"/>
      <c r="X53" s="100"/>
      <c r="Y53" s="100"/>
      <c r="Z53" s="100"/>
      <c r="AA53" s="100"/>
      <c r="AB53" s="100"/>
      <c r="AC53" s="100"/>
      <c r="AD53" s="2371"/>
      <c r="AE53" s="100"/>
      <c r="AF53" s="100"/>
      <c r="AG53" s="100"/>
      <c r="AH53" s="100"/>
      <c r="AI53" s="100"/>
      <c r="AJ53" s="100"/>
      <c r="AK53" s="100"/>
      <c r="AL53" s="100"/>
      <c r="AM53" s="100"/>
      <c r="AN53" s="100"/>
      <c r="AO53" s="100"/>
      <c r="AP53" s="100"/>
    </row>
    <row r="54" spans="1:55" ht="33.75" customHeight="1">
      <c r="A54" s="1968" t="s">
        <v>471</v>
      </c>
      <c r="B54" s="1969"/>
      <c r="C54" s="1969"/>
      <c r="D54" s="1969"/>
      <c r="E54" s="1970"/>
      <c r="F54" s="1971"/>
      <c r="G54" s="1972"/>
      <c r="H54" s="2773" t="s">
        <v>72</v>
      </c>
      <c r="I54" s="1974"/>
      <c r="J54" s="1974"/>
      <c r="K54" s="1974"/>
      <c r="L54" s="1974"/>
      <c r="M54" s="1974"/>
      <c r="N54" s="1974"/>
      <c r="O54" s="1974"/>
      <c r="P54" s="1974"/>
      <c r="Q54" s="1974"/>
      <c r="R54" s="1975"/>
      <c r="S54" s="1974"/>
      <c r="T54" s="2774"/>
      <c r="U54" s="2774"/>
      <c r="V54" s="2774"/>
      <c r="W54" s="2774"/>
      <c r="X54" s="2774"/>
      <c r="Y54" s="2774"/>
      <c r="Z54" s="2774"/>
      <c r="AA54" s="2774"/>
      <c r="AB54" s="2774"/>
      <c r="AC54" s="2774"/>
      <c r="AD54" s="2774"/>
      <c r="AE54" s="2370"/>
      <c r="AP54" s="265"/>
    </row>
    <row r="55" spans="1:55" ht="30" customHeight="1">
      <c r="A55" s="418"/>
      <c r="B55" s="3448" t="s">
        <v>76</v>
      </c>
      <c r="C55" s="3449"/>
      <c r="D55" s="3452" t="s">
        <v>124</v>
      </c>
      <c r="E55" s="3454" t="s">
        <v>64</v>
      </c>
      <c r="F55" s="1226"/>
      <c r="G55" s="83"/>
      <c r="H55" s="3457" t="s">
        <v>472</v>
      </c>
      <c r="I55" s="3457"/>
      <c r="J55" s="3457"/>
      <c r="K55" s="3457"/>
      <c r="L55" s="3457"/>
      <c r="M55" s="420"/>
      <c r="N55" s="3458" t="s">
        <v>1466</v>
      </c>
      <c r="O55" s="3459"/>
      <c r="P55" s="3459"/>
      <c r="Q55" s="3459"/>
      <c r="R55" s="3460"/>
      <c r="S55" s="2770"/>
      <c r="T55" s="2774" t="s">
        <v>1466</v>
      </c>
      <c r="U55" s="2774"/>
      <c r="V55" s="2774"/>
      <c r="W55" s="2774"/>
      <c r="X55" s="2774"/>
      <c r="Y55" s="2774"/>
      <c r="Z55" s="2774" t="s">
        <v>1587</v>
      </c>
      <c r="AA55" s="2774"/>
      <c r="AB55" s="2774"/>
      <c r="AC55" s="2774"/>
      <c r="AD55" s="2774"/>
      <c r="AE55" s="1246"/>
      <c r="AF55" s="2738">
        <v>0.375</v>
      </c>
      <c r="AG55" s="2736"/>
      <c r="AH55" s="1245"/>
      <c r="AI55" s="2738">
        <v>0.375</v>
      </c>
      <c r="AJ55" s="2744"/>
      <c r="AK55" s="2743"/>
      <c r="AL55" s="2743"/>
      <c r="AM55" s="1245"/>
      <c r="AN55" s="1245"/>
      <c r="AO55" s="1245"/>
      <c r="AP55" s="1245"/>
      <c r="AQ55" s="1246"/>
      <c r="AR55" s="1245"/>
      <c r="AS55" s="1245"/>
      <c r="AT55" s="1245"/>
      <c r="AU55" s="1245"/>
      <c r="AV55" s="1245"/>
      <c r="AW55" s="1246"/>
      <c r="AX55" s="1245"/>
      <c r="AY55" s="1245"/>
      <c r="AZ55" s="1245"/>
      <c r="BA55" s="1245"/>
      <c r="BB55" s="1245"/>
    </row>
    <row r="56" spans="1:55" ht="30" customHeight="1">
      <c r="A56" s="1205" t="s">
        <v>238</v>
      </c>
      <c r="B56" s="3450"/>
      <c r="C56" s="3451"/>
      <c r="D56" s="3453"/>
      <c r="E56" s="3455"/>
      <c r="F56" s="1228" t="s">
        <v>422</v>
      </c>
      <c r="G56" s="20"/>
      <c r="H56" s="1931" t="s">
        <v>129</v>
      </c>
      <c r="I56" s="1730" t="s">
        <v>1</v>
      </c>
      <c r="J56" s="1731" t="s">
        <v>1</v>
      </c>
      <c r="K56" s="1731"/>
      <c r="L56" s="1732"/>
      <c r="M56" s="85"/>
      <c r="N56" s="1931" t="s">
        <v>129</v>
      </c>
      <c r="O56" s="1730" t="s">
        <v>1</v>
      </c>
      <c r="P56" s="1731" t="s">
        <v>1</v>
      </c>
      <c r="Q56" s="1731"/>
      <c r="R56" s="1732"/>
      <c r="S56" s="2771"/>
      <c r="T56" s="2774" t="s">
        <v>129</v>
      </c>
      <c r="U56" s="2774" t="s">
        <v>1</v>
      </c>
      <c r="V56" s="2774" t="s">
        <v>1</v>
      </c>
      <c r="W56" s="2774"/>
      <c r="X56" s="2774"/>
      <c r="Y56" s="2774"/>
      <c r="Z56" s="2774" t="s">
        <v>129</v>
      </c>
      <c r="AA56" s="2774" t="s">
        <v>1</v>
      </c>
      <c r="AB56" s="2774" t="s">
        <v>1</v>
      </c>
      <c r="AC56" s="2774"/>
      <c r="AD56" s="2774"/>
      <c r="AE56" s="1249"/>
      <c r="AF56" s="2741">
        <f>AI56-1</f>
        <v>45433</v>
      </c>
      <c r="AG56" s="2741"/>
      <c r="AH56" s="2086"/>
      <c r="AI56" s="2740" t="str">
        <f>B2</f>
        <v>2024/05/22</v>
      </c>
      <c r="AJ56" s="2742"/>
      <c r="AK56" s="404"/>
      <c r="AL56" s="404"/>
      <c r="AM56" s="1248"/>
      <c r="AN56" s="1248"/>
      <c r="AO56" s="1248"/>
      <c r="AP56" s="1248"/>
      <c r="AQ56" s="1249"/>
      <c r="AR56" s="404"/>
      <c r="AS56" s="1248"/>
      <c r="AT56" s="1248"/>
      <c r="AU56" s="1248"/>
      <c r="AV56" s="1248"/>
      <c r="AW56" s="404"/>
      <c r="AX56" s="404"/>
      <c r="AY56" s="1248"/>
      <c r="AZ56" s="1248"/>
      <c r="BA56" s="1248"/>
      <c r="BB56" s="1248"/>
    </row>
    <row r="57" spans="1:55" ht="36.75" customHeight="1">
      <c r="A57" s="1206" t="s">
        <v>473</v>
      </c>
      <c r="B57" s="3288" t="s">
        <v>474</v>
      </c>
      <c r="C57" s="3290"/>
      <c r="D57" s="45" t="s">
        <v>431</v>
      </c>
      <c r="E57" s="102" t="s">
        <v>475</v>
      </c>
      <c r="F57" s="1232">
        <v>15</v>
      </c>
      <c r="G57" s="1230">
        <f>R.HN!C39</f>
        <v>15.4</v>
      </c>
      <c r="H57" s="1874">
        <f t="shared" ref="H57:H63" si="0">G57</f>
        <v>15.4</v>
      </c>
      <c r="I57" s="1744">
        <f>($F$57-H57)*2160*3.34/1000</f>
        <v>-2.8857600000000025</v>
      </c>
      <c r="J57" s="1745" t="s">
        <v>8</v>
      </c>
      <c r="K57" s="1746">
        <f>IF(I57&lt;0,0,I57)</f>
        <v>0</v>
      </c>
      <c r="L57" s="1747" t="s">
        <v>9</v>
      </c>
      <c r="M57" s="88">
        <f>R.HN!D39</f>
        <v>0</v>
      </c>
      <c r="N57" s="1874">
        <f t="shared" ref="N57:N63" si="1">M57</f>
        <v>0</v>
      </c>
      <c r="O57" s="1744">
        <f>($F$57-N57)*2160*3.34/1000</f>
        <v>108.21599999999999</v>
      </c>
      <c r="P57" s="1745" t="s">
        <v>8</v>
      </c>
      <c r="Q57" s="1746">
        <f t="shared" ref="Q57:Q63" si="2">IF(O57&lt;0,0,O57)</f>
        <v>108.21599999999999</v>
      </c>
      <c r="R57" s="1747" t="s">
        <v>9</v>
      </c>
      <c r="S57" s="1274">
        <f>R.HN!E39</f>
        <v>0</v>
      </c>
      <c r="T57" s="2774">
        <f t="shared" ref="T57:T63" si="3">S57</f>
        <v>0</v>
      </c>
      <c r="U57" s="2774">
        <f>($F$57-T57)*2160*3.34/1000</f>
        <v>108.21599999999999</v>
      </c>
      <c r="V57" s="2774" t="s">
        <v>8</v>
      </c>
      <c r="W57" s="2774">
        <f t="shared" ref="W57:W63" si="4">IF(U57&lt;0,0,U57)</f>
        <v>108.21599999999999</v>
      </c>
      <c r="X57" s="2774" t="s">
        <v>9</v>
      </c>
      <c r="Y57" s="2774">
        <f>R.HN!F39</f>
        <v>0</v>
      </c>
      <c r="Z57" s="2774">
        <f t="shared" ref="Z57:Z63" si="5">Y57</f>
        <v>0</v>
      </c>
      <c r="AA57" s="2774">
        <f>($F$57-Z57)*2160*3.34/1000</f>
        <v>108.21599999999999</v>
      </c>
      <c r="AB57" s="2774" t="s">
        <v>8</v>
      </c>
      <c r="AC57" s="2774">
        <f t="shared" ref="AC57:AC63" si="6">IF(AA57&lt;0,0,AA57)</f>
        <v>108.21599999999999</v>
      </c>
      <c r="AD57" s="2774" t="s">
        <v>9</v>
      </c>
      <c r="AE57" s="1255"/>
      <c r="AF57" s="2084">
        <f>'XM.FILE GOC'!BF6</f>
        <v>0</v>
      </c>
      <c r="AG57" s="2084">
        <f>'XM.FILE GOC'!BG6</f>
        <v>0</v>
      </c>
      <c r="AH57" s="1252"/>
      <c r="AI57" s="2085">
        <f>H57</f>
        <v>15.4</v>
      </c>
      <c r="AJ57" s="2745"/>
      <c r="AK57" s="2746"/>
      <c r="AL57" s="2745"/>
      <c r="AM57" s="1251"/>
      <c r="AN57" s="1252"/>
      <c r="AO57" s="1253"/>
      <c r="AP57" s="1254"/>
      <c r="AQ57" s="1255"/>
      <c r="AR57" s="1251"/>
      <c r="AS57" s="1251"/>
      <c r="AT57" s="1252"/>
      <c r="AU57" s="1253"/>
      <c r="AV57" s="1254"/>
      <c r="AW57" s="1255"/>
      <c r="AX57" s="1251"/>
      <c r="AY57" s="1251"/>
      <c r="AZ57" s="1252"/>
      <c r="BA57" s="1253"/>
      <c r="BB57" s="1254"/>
      <c r="BC57" s="265" t="s">
        <v>476</v>
      </c>
    </row>
    <row r="58" spans="1:55" ht="30" customHeight="1">
      <c r="A58" s="1206" t="s">
        <v>477</v>
      </c>
      <c r="B58" s="3288" t="s">
        <v>478</v>
      </c>
      <c r="C58" s="3290"/>
      <c r="D58" s="45" t="s">
        <v>431</v>
      </c>
      <c r="E58" s="102" t="s">
        <v>475</v>
      </c>
      <c r="F58" s="1232">
        <v>15</v>
      </c>
      <c r="G58" s="1230">
        <f>R.HN!C40</f>
        <v>7.1</v>
      </c>
      <c r="H58" s="1874">
        <v>15.3</v>
      </c>
      <c r="I58" s="1744">
        <f>($F$58-H58)*2160*3.34/1000</f>
        <v>-2.1643200000000054</v>
      </c>
      <c r="J58" s="1745" t="s">
        <v>8</v>
      </c>
      <c r="K58" s="1746">
        <f>IF(I58&lt;0,0,I58)</f>
        <v>0</v>
      </c>
      <c r="L58" s="1747" t="s">
        <v>9</v>
      </c>
      <c r="M58" s="88">
        <f>R.HN!D40</f>
        <v>0</v>
      </c>
      <c r="N58" s="1874">
        <f t="shared" si="1"/>
        <v>0</v>
      </c>
      <c r="O58" s="1744">
        <f>($F$58-N58)*2160*3.34/1000</f>
        <v>108.21599999999999</v>
      </c>
      <c r="P58" s="1745" t="s">
        <v>8</v>
      </c>
      <c r="Q58" s="1746">
        <f t="shared" si="2"/>
        <v>108.21599999999999</v>
      </c>
      <c r="R58" s="1747" t="s">
        <v>9</v>
      </c>
      <c r="S58" s="1274">
        <f>R.HN!E40</f>
        <v>0</v>
      </c>
      <c r="T58" s="2774">
        <f t="shared" si="3"/>
        <v>0</v>
      </c>
      <c r="U58" s="2774">
        <f>($F$58-T58)*2160*3.34/1000</f>
        <v>108.21599999999999</v>
      </c>
      <c r="V58" s="2774" t="s">
        <v>8</v>
      </c>
      <c r="W58" s="2774">
        <f t="shared" si="4"/>
        <v>108.21599999999999</v>
      </c>
      <c r="X58" s="2774" t="s">
        <v>9</v>
      </c>
      <c r="Y58" s="2774">
        <f>R.HN!F40</f>
        <v>0</v>
      </c>
      <c r="Z58" s="2774">
        <f t="shared" si="5"/>
        <v>0</v>
      </c>
      <c r="AA58" s="2774">
        <f>($F$58-Z58)*2160*3.34/1000</f>
        <v>108.21599999999999</v>
      </c>
      <c r="AB58" s="2774" t="s">
        <v>8</v>
      </c>
      <c r="AC58" s="2774">
        <f t="shared" si="6"/>
        <v>108.21599999999999</v>
      </c>
      <c r="AD58" s="2774" t="s">
        <v>9</v>
      </c>
      <c r="AE58" s="1255"/>
      <c r="AF58" s="2084">
        <f>'XM.FILE GOC'!BF7</f>
        <v>0</v>
      </c>
      <c r="AG58" s="2084">
        <f>'XM.FILE GOC'!BG7</f>
        <v>0</v>
      </c>
      <c r="AH58" s="1252"/>
      <c r="AI58" s="2085">
        <f t="shared" ref="AI58:AI72" si="7">H58</f>
        <v>15.3</v>
      </c>
      <c r="AJ58" s="2745"/>
      <c r="AK58" s="2746"/>
      <c r="AL58" s="2745"/>
      <c r="AM58" s="1251"/>
      <c r="AN58" s="1252"/>
      <c r="AO58" s="1253"/>
      <c r="AP58" s="1254"/>
      <c r="AQ58" s="1255"/>
      <c r="AR58" s="1251"/>
      <c r="AS58" s="1251"/>
      <c r="AT58" s="1252"/>
      <c r="AU58" s="1253"/>
      <c r="AV58" s="1254"/>
      <c r="AW58" s="1255"/>
      <c r="AX58" s="1251"/>
      <c r="AY58" s="1251"/>
      <c r="AZ58" s="1252"/>
      <c r="BA58" s="1253"/>
      <c r="BB58" s="1254"/>
      <c r="BC58" s="265" t="s">
        <v>476</v>
      </c>
    </row>
    <row r="59" spans="1:55" ht="33" customHeight="1">
      <c r="A59" s="1206" t="s">
        <v>479</v>
      </c>
      <c r="B59" s="3288" t="s">
        <v>480</v>
      </c>
      <c r="C59" s="3290"/>
      <c r="D59" s="45" t="s">
        <v>431</v>
      </c>
      <c r="E59" s="102" t="s">
        <v>475</v>
      </c>
      <c r="F59" s="1232">
        <v>15</v>
      </c>
      <c r="G59" s="1230">
        <f>R.HN!C41</f>
        <v>8.3000000000000007</v>
      </c>
      <c r="H59" s="1874">
        <v>15</v>
      </c>
      <c r="I59" s="1744">
        <f>($F$59-H59)*2700*3.33/1000</f>
        <v>0</v>
      </c>
      <c r="J59" s="1745" t="s">
        <v>8</v>
      </c>
      <c r="K59" s="1746">
        <f>IF(I59&lt;0,0,I59)</f>
        <v>0</v>
      </c>
      <c r="L59" s="1747" t="s">
        <v>9</v>
      </c>
      <c r="M59" s="88">
        <f>R.HN!D41</f>
        <v>0</v>
      </c>
      <c r="N59" s="1874">
        <f t="shared" si="1"/>
        <v>0</v>
      </c>
      <c r="O59" s="1744">
        <f>($F$59-N59)*2700*3.33/1000</f>
        <v>134.86500000000001</v>
      </c>
      <c r="P59" s="1745" t="s">
        <v>8</v>
      </c>
      <c r="Q59" s="1746">
        <f t="shared" si="2"/>
        <v>134.86500000000001</v>
      </c>
      <c r="R59" s="1747" t="s">
        <v>9</v>
      </c>
      <c r="S59" s="1274">
        <f>R.HN!E41</f>
        <v>0</v>
      </c>
      <c r="T59" s="2774">
        <f t="shared" si="3"/>
        <v>0</v>
      </c>
      <c r="U59" s="2774">
        <f>($F$59-T59)*2700*3.33/1000</f>
        <v>134.86500000000001</v>
      </c>
      <c r="V59" s="2774" t="s">
        <v>8</v>
      </c>
      <c r="W59" s="2774">
        <f t="shared" si="4"/>
        <v>134.86500000000001</v>
      </c>
      <c r="X59" s="2774" t="s">
        <v>9</v>
      </c>
      <c r="Y59" s="2774">
        <f>R.HN!F41</f>
        <v>0</v>
      </c>
      <c r="Z59" s="2774">
        <f t="shared" si="5"/>
        <v>0</v>
      </c>
      <c r="AA59" s="2774">
        <f>($F$59-Z59)*2700*3.33/1000</f>
        <v>134.86500000000001</v>
      </c>
      <c r="AB59" s="2774" t="s">
        <v>8</v>
      </c>
      <c r="AC59" s="2774">
        <f t="shared" si="6"/>
        <v>134.86500000000001</v>
      </c>
      <c r="AD59" s="2774" t="s">
        <v>9</v>
      </c>
      <c r="AE59" s="1255"/>
      <c r="AF59" s="2084">
        <f>'XM.FILE GOC'!BF8</f>
        <v>0</v>
      </c>
      <c r="AG59" s="2084">
        <f>'XM.FILE GOC'!BG8</f>
        <v>0</v>
      </c>
      <c r="AH59" s="1252"/>
      <c r="AI59" s="2085">
        <f t="shared" si="7"/>
        <v>15</v>
      </c>
      <c r="AJ59" s="2745"/>
      <c r="AK59" s="2746"/>
      <c r="AL59" s="2745"/>
      <c r="AM59" s="1251"/>
      <c r="AN59" s="1252"/>
      <c r="AO59" s="1253"/>
      <c r="AP59" s="1254"/>
      <c r="AQ59" s="1255"/>
      <c r="AR59" s="1251"/>
      <c r="AS59" s="1251"/>
      <c r="AT59" s="1252"/>
      <c r="AU59" s="1253"/>
      <c r="AV59" s="1254"/>
      <c r="AW59" s="1255"/>
      <c r="AX59" s="1251"/>
      <c r="AY59" s="1251"/>
      <c r="AZ59" s="1252"/>
      <c r="BA59" s="1253"/>
      <c r="BB59" s="1254"/>
      <c r="BC59" s="265" t="s">
        <v>476</v>
      </c>
    </row>
    <row r="60" spans="1:55" ht="35.25" customHeight="1">
      <c r="A60" s="1206" t="s">
        <v>481</v>
      </c>
      <c r="B60" s="3288" t="s">
        <v>482</v>
      </c>
      <c r="C60" s="3290"/>
      <c r="D60" s="45" t="s">
        <v>431</v>
      </c>
      <c r="E60" s="102" t="s">
        <v>1194</v>
      </c>
      <c r="F60" s="1232">
        <v>10</v>
      </c>
      <c r="G60" s="1230">
        <f>R.HN!C42</f>
        <v>0</v>
      </c>
      <c r="H60" s="1874">
        <v>10</v>
      </c>
      <c r="I60" s="1744">
        <f>($F$60-H60)*2160*5.77/1000</f>
        <v>0</v>
      </c>
      <c r="J60" s="1745" t="s">
        <v>8</v>
      </c>
      <c r="K60" s="1746">
        <f>IF(I60&lt;0,0,I60)</f>
        <v>0</v>
      </c>
      <c r="L60" s="1747" t="s">
        <v>10</v>
      </c>
      <c r="M60" s="88">
        <f>R.HN!D42</f>
        <v>0</v>
      </c>
      <c r="N60" s="1874">
        <f t="shared" si="1"/>
        <v>0</v>
      </c>
      <c r="O60" s="1744">
        <f>($F$60-N60)*2160*5.77/1000</f>
        <v>124.63199999999999</v>
      </c>
      <c r="P60" s="1745" t="s">
        <v>8</v>
      </c>
      <c r="Q60" s="1746">
        <f t="shared" si="2"/>
        <v>124.63199999999999</v>
      </c>
      <c r="R60" s="1747" t="s">
        <v>10</v>
      </c>
      <c r="S60" s="1274">
        <f>R.HN!E42</f>
        <v>0</v>
      </c>
      <c r="T60" s="2774">
        <f t="shared" si="3"/>
        <v>0</v>
      </c>
      <c r="U60" s="2774">
        <f>($F$60-T60)*2160*5.77/1000</f>
        <v>124.63199999999999</v>
      </c>
      <c r="V60" s="2774" t="s">
        <v>8</v>
      </c>
      <c r="W60" s="2774">
        <f t="shared" si="4"/>
        <v>124.63199999999999</v>
      </c>
      <c r="X60" s="2774" t="s">
        <v>10</v>
      </c>
      <c r="Y60" s="2774">
        <f>R.HN!F42</f>
        <v>0</v>
      </c>
      <c r="Z60" s="2774">
        <f t="shared" si="5"/>
        <v>0</v>
      </c>
      <c r="AA60" s="2774">
        <f>($F$60-Z60)*2160*5.77/1000</f>
        <v>124.63199999999999</v>
      </c>
      <c r="AB60" s="2774" t="s">
        <v>8</v>
      </c>
      <c r="AC60" s="2774">
        <f t="shared" si="6"/>
        <v>124.63199999999999</v>
      </c>
      <c r="AD60" s="2774" t="s">
        <v>10</v>
      </c>
      <c r="AE60" s="1255"/>
      <c r="AF60" s="2084">
        <f>'XM.FILE GOC'!BF9</f>
        <v>0</v>
      </c>
      <c r="AG60" s="2084">
        <f>'XM.FILE GOC'!BG9</f>
        <v>0</v>
      </c>
      <c r="AH60" s="1252"/>
      <c r="AI60" s="2085">
        <f t="shared" si="7"/>
        <v>10</v>
      </c>
      <c r="AJ60" s="2745"/>
      <c r="AK60" s="2746"/>
      <c r="AL60" s="2745"/>
      <c r="AM60" s="1251"/>
      <c r="AN60" s="1252"/>
      <c r="AO60" s="1253"/>
      <c r="AP60" s="1254"/>
      <c r="AQ60" s="1255"/>
      <c r="AR60" s="1251"/>
      <c r="AS60" s="1251"/>
      <c r="AT60" s="1252"/>
      <c r="AU60" s="1253"/>
      <c r="AV60" s="1254"/>
      <c r="AW60" s="1255"/>
      <c r="AX60" s="1251"/>
      <c r="AY60" s="1251"/>
      <c r="AZ60" s="1252"/>
      <c r="BA60" s="1253"/>
      <c r="BB60" s="1254"/>
      <c r="BC60" s="265" t="s">
        <v>476</v>
      </c>
    </row>
    <row r="61" spans="1:55" ht="38.25" customHeight="1">
      <c r="A61" s="1206" t="s">
        <v>483</v>
      </c>
      <c r="B61" s="3288" t="s">
        <v>484</v>
      </c>
      <c r="C61" s="3290"/>
      <c r="D61" s="45" t="s">
        <v>431</v>
      </c>
      <c r="E61" s="102" t="s">
        <v>485</v>
      </c>
      <c r="F61" s="1229">
        <v>1.5</v>
      </c>
      <c r="G61" s="1230">
        <f>R.HN!C43</f>
        <v>1.1399999999999999</v>
      </c>
      <c r="H61" s="2392">
        <f t="shared" si="0"/>
        <v>1.1399999999999999</v>
      </c>
      <c r="I61" s="1744">
        <f>(H61-$F$61)*2430*3.3/1000</f>
        <v>-2.8868400000000007</v>
      </c>
      <c r="J61" s="1745" t="s">
        <v>8</v>
      </c>
      <c r="K61" s="1873">
        <f>IF(I61&lt;0,0,I61)</f>
        <v>0</v>
      </c>
      <c r="L61" s="1747" t="s">
        <v>9</v>
      </c>
      <c r="M61" s="88">
        <f>R.HN!D43</f>
        <v>0</v>
      </c>
      <c r="N61" s="2392">
        <f t="shared" si="1"/>
        <v>0</v>
      </c>
      <c r="O61" s="1744">
        <f>(N61-$F$61)*2430*3.3/1000</f>
        <v>-12.028499999999999</v>
      </c>
      <c r="P61" s="1745" t="s">
        <v>8</v>
      </c>
      <c r="Q61" s="1873">
        <f t="shared" si="2"/>
        <v>0</v>
      </c>
      <c r="R61" s="1747" t="s">
        <v>9</v>
      </c>
      <c r="S61" s="1274">
        <f>R.HN!E43</f>
        <v>0</v>
      </c>
      <c r="T61" s="2774">
        <f t="shared" si="3"/>
        <v>0</v>
      </c>
      <c r="U61" s="2774">
        <f>(T61-$F$61)*2430*3.3/1000</f>
        <v>-12.028499999999999</v>
      </c>
      <c r="V61" s="2774" t="s">
        <v>8</v>
      </c>
      <c r="W61" s="2774">
        <f t="shared" si="4"/>
        <v>0</v>
      </c>
      <c r="X61" s="2774" t="s">
        <v>9</v>
      </c>
      <c r="Y61" s="2774">
        <f>R.HN!F43</f>
        <v>0</v>
      </c>
      <c r="Z61" s="2774">
        <f t="shared" si="5"/>
        <v>0</v>
      </c>
      <c r="AA61" s="2774">
        <f>(Z61-$F$61)*2430*3.3/1000</f>
        <v>-12.028499999999999</v>
      </c>
      <c r="AB61" s="2774" t="s">
        <v>8</v>
      </c>
      <c r="AC61" s="2774">
        <f t="shared" si="6"/>
        <v>0</v>
      </c>
      <c r="AD61" s="2774" t="s">
        <v>9</v>
      </c>
      <c r="AE61" s="1255"/>
      <c r="AF61" s="2084">
        <f>'XM.FILE GOC'!BF10</f>
        <v>0</v>
      </c>
      <c r="AG61" s="2084">
        <f>'XM.FILE GOC'!BG10</f>
        <v>0</v>
      </c>
      <c r="AH61" s="1252"/>
      <c r="AI61" s="2085">
        <f t="shared" si="7"/>
        <v>1.1399999999999999</v>
      </c>
      <c r="AJ61" s="2745"/>
      <c r="AK61" s="2746"/>
      <c r="AL61" s="2745"/>
      <c r="AM61" s="1251"/>
      <c r="AN61" s="1252"/>
      <c r="AO61" s="1256"/>
      <c r="AP61" s="1254"/>
      <c r="AQ61" s="1255"/>
      <c r="AR61" s="1251"/>
      <c r="AS61" s="1251"/>
      <c r="AT61" s="1252"/>
      <c r="AU61" s="1256"/>
      <c r="AV61" s="1254"/>
      <c r="AW61" s="1255"/>
      <c r="AX61" s="1251"/>
      <c r="AY61" s="1251"/>
      <c r="AZ61" s="1252"/>
      <c r="BA61" s="1256"/>
      <c r="BB61" s="1254"/>
      <c r="BC61" s="265" t="s">
        <v>476</v>
      </c>
    </row>
    <row r="62" spans="1:55" ht="36.75" customHeight="1">
      <c r="A62" s="1206" t="s">
        <v>486</v>
      </c>
      <c r="B62" s="3288" t="s">
        <v>487</v>
      </c>
      <c r="C62" s="3290"/>
      <c r="D62" s="45" t="s">
        <v>431</v>
      </c>
      <c r="E62" s="102" t="s">
        <v>488</v>
      </c>
      <c r="F62" s="1232">
        <v>22</v>
      </c>
      <c r="G62" s="1230">
        <f>R.HN!C44</f>
        <v>23.5</v>
      </c>
      <c r="H62" s="1874">
        <f t="shared" si="0"/>
        <v>23.5</v>
      </c>
      <c r="I62" s="1744">
        <f>($F$62-H62)*2430*4/1000</f>
        <v>-14.58</v>
      </c>
      <c r="J62" s="1745" t="s">
        <v>8</v>
      </c>
      <c r="K62" s="1746">
        <f t="shared" ref="K62:K63" si="8">IF(I62&lt;0,0,I62)</f>
        <v>0</v>
      </c>
      <c r="L62" s="1747" t="s">
        <v>9</v>
      </c>
      <c r="M62" s="88">
        <f>R.HN!D44</f>
        <v>0</v>
      </c>
      <c r="N62" s="1874">
        <f t="shared" si="1"/>
        <v>0</v>
      </c>
      <c r="O62" s="1744">
        <f>($F$62-N62)*2430*4/1000</f>
        <v>213.84</v>
      </c>
      <c r="P62" s="1745" t="s">
        <v>8</v>
      </c>
      <c r="Q62" s="1746">
        <f t="shared" si="2"/>
        <v>213.84</v>
      </c>
      <c r="R62" s="1747" t="s">
        <v>9</v>
      </c>
      <c r="S62" s="1274">
        <f>R.HN!E44</f>
        <v>0</v>
      </c>
      <c r="T62" s="2774">
        <f t="shared" si="3"/>
        <v>0</v>
      </c>
      <c r="U62" s="2774">
        <f>($F$62-T62)*2430*4/1000</f>
        <v>213.84</v>
      </c>
      <c r="V62" s="2774" t="s">
        <v>8</v>
      </c>
      <c r="W62" s="2774">
        <f t="shared" si="4"/>
        <v>213.84</v>
      </c>
      <c r="X62" s="2774" t="s">
        <v>9</v>
      </c>
      <c r="Y62" s="2774">
        <f>R.HN!F44</f>
        <v>0</v>
      </c>
      <c r="Z62" s="2774">
        <f t="shared" si="5"/>
        <v>0</v>
      </c>
      <c r="AA62" s="2774">
        <f>($F$62-Z62)*2430*4/1000</f>
        <v>213.84</v>
      </c>
      <c r="AB62" s="2774" t="s">
        <v>8</v>
      </c>
      <c r="AC62" s="2774">
        <f t="shared" si="6"/>
        <v>213.84</v>
      </c>
      <c r="AD62" s="2774" t="s">
        <v>9</v>
      </c>
      <c r="AE62" s="1255"/>
      <c r="AF62" s="2084">
        <f>'XM.FILE GOC'!BF11</f>
        <v>0</v>
      </c>
      <c r="AG62" s="2084">
        <f>'XM.FILE GOC'!BG11</f>
        <v>0</v>
      </c>
      <c r="AH62" s="1252"/>
      <c r="AI62" s="2085">
        <f t="shared" si="7"/>
        <v>23.5</v>
      </c>
      <c r="AJ62" s="2745"/>
      <c r="AK62" s="2746"/>
      <c r="AL62" s="2745"/>
      <c r="AM62" s="1251"/>
      <c r="AN62" s="1252"/>
      <c r="AO62" s="1253"/>
      <c r="AP62" s="1254"/>
      <c r="AQ62" s="1255"/>
      <c r="AR62" s="1251"/>
      <c r="AS62" s="1251"/>
      <c r="AT62" s="1252"/>
      <c r="AU62" s="1253"/>
      <c r="AV62" s="1254"/>
      <c r="AW62" s="1255"/>
      <c r="AX62" s="1251"/>
      <c r="AY62" s="1251"/>
      <c r="AZ62" s="1252"/>
      <c r="BA62" s="1253"/>
      <c r="BB62" s="1254"/>
      <c r="BC62" s="265" t="s">
        <v>476</v>
      </c>
    </row>
    <row r="63" spans="1:55" ht="34.5" customHeight="1">
      <c r="A63" s="1206" t="s">
        <v>489</v>
      </c>
      <c r="B63" s="3288" t="s">
        <v>490</v>
      </c>
      <c r="C63" s="3290"/>
      <c r="D63" s="45" t="s">
        <v>431</v>
      </c>
      <c r="E63" s="429" t="s">
        <v>491</v>
      </c>
      <c r="F63" s="1229">
        <v>7.5</v>
      </c>
      <c r="G63" s="1230">
        <f>R.HN!C45</f>
        <v>8.3000000000000007</v>
      </c>
      <c r="H63" s="1874">
        <f t="shared" si="0"/>
        <v>8.3000000000000007</v>
      </c>
      <c r="I63" s="1744">
        <f>($F$63-H63)*2430*0.43/1000</f>
        <v>-0.83592000000000077</v>
      </c>
      <c r="J63" s="1745" t="s">
        <v>8</v>
      </c>
      <c r="K63" s="1873">
        <f t="shared" si="8"/>
        <v>0</v>
      </c>
      <c r="L63" s="1747" t="s">
        <v>9</v>
      </c>
      <c r="M63" s="88">
        <f>R.HN!D45</f>
        <v>0</v>
      </c>
      <c r="N63" s="1874">
        <f t="shared" si="1"/>
        <v>0</v>
      </c>
      <c r="O63" s="1744">
        <f>($F$63-N63)*2430*0.43/1000</f>
        <v>7.8367500000000003</v>
      </c>
      <c r="P63" s="1745" t="s">
        <v>8</v>
      </c>
      <c r="Q63" s="1873">
        <f t="shared" si="2"/>
        <v>7.8367500000000003</v>
      </c>
      <c r="R63" s="1747" t="s">
        <v>9</v>
      </c>
      <c r="S63" s="1274">
        <f>R.HN!E45</f>
        <v>0</v>
      </c>
      <c r="T63" s="2774">
        <f t="shared" si="3"/>
        <v>0</v>
      </c>
      <c r="U63" s="2774">
        <f>($F$63-T63)*2430*0.43/1000</f>
        <v>7.8367500000000003</v>
      </c>
      <c r="V63" s="2774" t="s">
        <v>8</v>
      </c>
      <c r="W63" s="2774">
        <f t="shared" si="4"/>
        <v>7.8367500000000003</v>
      </c>
      <c r="X63" s="2774" t="s">
        <v>9</v>
      </c>
      <c r="Y63" s="2774">
        <f>R.HN!F45</f>
        <v>0</v>
      </c>
      <c r="Z63" s="2774">
        <f t="shared" si="5"/>
        <v>0</v>
      </c>
      <c r="AA63" s="2774">
        <f>($F$63-Z63)*2430*0.43/1000</f>
        <v>7.8367500000000003</v>
      </c>
      <c r="AB63" s="2774" t="s">
        <v>8</v>
      </c>
      <c r="AC63" s="2774">
        <f t="shared" si="6"/>
        <v>7.8367500000000003</v>
      </c>
      <c r="AD63" s="2774" t="s">
        <v>9</v>
      </c>
      <c r="AE63" s="1255"/>
      <c r="AF63" s="2084">
        <f>'XM.FILE GOC'!BF12</f>
        <v>0</v>
      </c>
      <c r="AG63" s="2084">
        <f>'XM.FILE GOC'!BG12</f>
        <v>0</v>
      </c>
      <c r="AH63" s="1252"/>
      <c r="AI63" s="2085">
        <f t="shared" si="7"/>
        <v>8.3000000000000007</v>
      </c>
      <c r="AJ63" s="2745"/>
      <c r="AK63" s="2746"/>
      <c r="AL63" s="2745"/>
      <c r="AM63" s="1251"/>
      <c r="AN63" s="1252"/>
      <c r="AO63" s="1256"/>
      <c r="AP63" s="1254"/>
      <c r="AQ63" s="1255"/>
      <c r="AR63" s="1251"/>
      <c r="AS63" s="1251"/>
      <c r="AT63" s="1252"/>
      <c r="AU63" s="1256"/>
      <c r="AV63" s="1254"/>
      <c r="AW63" s="1255"/>
      <c r="AX63" s="1251"/>
      <c r="AY63" s="1251"/>
      <c r="AZ63" s="1252"/>
      <c r="BA63" s="1256"/>
      <c r="BB63" s="1254"/>
      <c r="BC63" s="265" t="s">
        <v>476</v>
      </c>
    </row>
    <row r="64" spans="1:55" ht="36.75" customHeight="1">
      <c r="A64" s="1206" t="s">
        <v>492</v>
      </c>
      <c r="B64" s="3288" t="s">
        <v>493</v>
      </c>
      <c r="C64" s="3290"/>
      <c r="D64" s="45" t="s">
        <v>5</v>
      </c>
      <c r="E64" s="102" t="s">
        <v>494</v>
      </c>
      <c r="F64" s="1257"/>
      <c r="G64" s="1230"/>
      <c r="H64" s="1874">
        <f>R.HN!C46</f>
        <v>7.3</v>
      </c>
      <c r="I64" s="1744"/>
      <c r="J64" s="1745"/>
      <c r="K64" s="1873"/>
      <c r="L64" s="1747"/>
      <c r="M64" s="88"/>
      <c r="N64" s="1874">
        <f>R.HN!D46</f>
        <v>0</v>
      </c>
      <c r="O64" s="1744"/>
      <c r="P64" s="1745"/>
      <c r="Q64" s="1873"/>
      <c r="R64" s="1747"/>
      <c r="S64" s="1274"/>
      <c r="T64" s="2774">
        <f>R.HN!E46</f>
        <v>0</v>
      </c>
      <c r="U64" s="2774"/>
      <c r="V64" s="2774"/>
      <c r="W64" s="2774"/>
      <c r="X64" s="2774"/>
      <c r="Y64" s="2774"/>
      <c r="Z64" s="2774">
        <f>R.HN!F46</f>
        <v>0</v>
      </c>
      <c r="AA64" s="2774"/>
      <c r="AB64" s="2774"/>
      <c r="AC64" s="2774"/>
      <c r="AD64" s="2774"/>
      <c r="AE64" s="1255"/>
      <c r="AF64" s="2084">
        <f>'XM.FILE GOC'!BF13</f>
        <v>0</v>
      </c>
      <c r="AG64" s="2084">
        <f>'XM.FILE GOC'!BG13</f>
        <v>0</v>
      </c>
      <c r="AH64" s="1252"/>
      <c r="AI64" s="2085">
        <f t="shared" si="7"/>
        <v>7.3</v>
      </c>
      <c r="AJ64" s="2745"/>
      <c r="AK64" s="2746"/>
      <c r="AL64" s="2745"/>
      <c r="AM64" s="1251"/>
      <c r="AN64" s="1252"/>
      <c r="AO64" s="1256"/>
      <c r="AP64" s="1254"/>
      <c r="AQ64" s="1255"/>
      <c r="AR64" s="1251"/>
      <c r="AS64" s="1251"/>
      <c r="AT64" s="1252"/>
      <c r="AU64" s="1256"/>
      <c r="AV64" s="1254"/>
      <c r="AW64" s="1255"/>
      <c r="AX64" s="1251"/>
      <c r="AY64" s="1251"/>
      <c r="AZ64" s="1252"/>
      <c r="BA64" s="1256"/>
      <c r="BB64" s="1254"/>
      <c r="BC64" s="265" t="s">
        <v>476</v>
      </c>
    </row>
    <row r="65" spans="1:55" ht="34.5" customHeight="1">
      <c r="A65" s="1206" t="s">
        <v>495</v>
      </c>
      <c r="B65" s="3288" t="s">
        <v>496</v>
      </c>
      <c r="C65" s="3290"/>
      <c r="D65" s="45" t="s">
        <v>5</v>
      </c>
      <c r="E65" s="429" t="s">
        <v>497</v>
      </c>
      <c r="F65" s="1229"/>
      <c r="G65" s="1230"/>
      <c r="H65" s="1874">
        <f>R.HN!C47</f>
        <v>5.4</v>
      </c>
      <c r="I65" s="1744"/>
      <c r="J65" s="1745"/>
      <c r="K65" s="1873"/>
      <c r="L65" s="1747"/>
      <c r="M65" s="88"/>
      <c r="N65" s="1874">
        <f>R.HN!D47</f>
        <v>0</v>
      </c>
      <c r="O65" s="1744"/>
      <c r="P65" s="1745"/>
      <c r="Q65" s="1873"/>
      <c r="R65" s="1747"/>
      <c r="S65" s="1274"/>
      <c r="T65" s="2774">
        <f>R.HN!E47</f>
        <v>0</v>
      </c>
      <c r="U65" s="2774"/>
      <c r="V65" s="2774"/>
      <c r="W65" s="2774"/>
      <c r="X65" s="2774"/>
      <c r="Y65" s="2774"/>
      <c r="Z65" s="2774">
        <f>R.HN!F47</f>
        <v>0</v>
      </c>
      <c r="AA65" s="2774"/>
      <c r="AB65" s="2774"/>
      <c r="AC65" s="2774"/>
      <c r="AD65" s="2774"/>
      <c r="AE65" s="1255"/>
      <c r="AF65" s="2084">
        <f>'XM.FILE GOC'!BF14</f>
        <v>0</v>
      </c>
      <c r="AG65" s="2084">
        <f>'XM.FILE GOC'!BG14</f>
        <v>0</v>
      </c>
      <c r="AH65" s="1252"/>
      <c r="AI65" s="2085">
        <f t="shared" si="7"/>
        <v>5.4</v>
      </c>
      <c r="AJ65" s="2745"/>
      <c r="AK65" s="2746"/>
      <c r="AL65" s="2745"/>
      <c r="AM65" s="1251"/>
      <c r="AN65" s="1252"/>
      <c r="AO65" s="1256"/>
      <c r="AP65" s="1254"/>
      <c r="AQ65" s="1255"/>
      <c r="AR65" s="1251"/>
      <c r="AS65" s="1251"/>
      <c r="AT65" s="1252"/>
      <c r="AU65" s="1256"/>
      <c r="AV65" s="1254"/>
      <c r="AW65" s="1255"/>
      <c r="AX65" s="1251"/>
      <c r="AY65" s="1251"/>
      <c r="AZ65" s="1252"/>
      <c r="BA65" s="1256"/>
      <c r="BB65" s="1254"/>
      <c r="BC65" s="265" t="s">
        <v>476</v>
      </c>
    </row>
    <row r="66" spans="1:55" ht="34.5" hidden="1" customHeight="1">
      <c r="A66" s="1206" t="s">
        <v>498</v>
      </c>
      <c r="B66" s="3288" t="s">
        <v>499</v>
      </c>
      <c r="C66" s="3290"/>
      <c r="D66" s="45" t="s">
        <v>5</v>
      </c>
      <c r="E66" s="429" t="s">
        <v>497</v>
      </c>
      <c r="F66" s="1229"/>
      <c r="G66" s="1230"/>
      <c r="H66" s="1874">
        <f>R.HN!C48</f>
        <v>0</v>
      </c>
      <c r="I66" s="1744"/>
      <c r="J66" s="1745"/>
      <c r="K66" s="1873"/>
      <c r="L66" s="1747"/>
      <c r="M66" s="88"/>
      <c r="N66" s="1874">
        <f>R.HN!D48</f>
        <v>0</v>
      </c>
      <c r="O66" s="1744"/>
      <c r="P66" s="1745"/>
      <c r="Q66" s="1873"/>
      <c r="R66" s="1747"/>
      <c r="S66" s="1274"/>
      <c r="T66" s="2774">
        <f>R.HN!J48</f>
        <v>0</v>
      </c>
      <c r="U66" s="2774"/>
      <c r="V66" s="2774"/>
      <c r="W66" s="2774"/>
      <c r="X66" s="2774"/>
      <c r="Y66" s="2774"/>
      <c r="Z66" s="2774">
        <f>R.HN!P48</f>
        <v>0</v>
      </c>
      <c r="AA66" s="2774"/>
      <c r="AB66" s="2774"/>
      <c r="AC66" s="2774"/>
      <c r="AD66" s="2774"/>
      <c r="AE66" s="1255"/>
      <c r="AF66" s="2084">
        <f>'XM.FILE GOC'!BF15</f>
        <v>0</v>
      </c>
      <c r="AG66" s="2084">
        <f>'XM.FILE GOC'!BG15</f>
        <v>0</v>
      </c>
      <c r="AH66" s="1252"/>
      <c r="AI66" s="2085">
        <f t="shared" si="7"/>
        <v>0</v>
      </c>
      <c r="AJ66" s="2745"/>
      <c r="AK66" s="2746"/>
      <c r="AL66" s="2745"/>
      <c r="AM66" s="1251"/>
      <c r="AN66" s="1252"/>
      <c r="AO66" s="1256"/>
      <c r="AP66" s="1254"/>
      <c r="AQ66" s="1255"/>
      <c r="AR66" s="1251"/>
      <c r="AS66" s="1251"/>
      <c r="AT66" s="1252"/>
      <c r="AU66" s="1256"/>
      <c r="AV66" s="1254"/>
      <c r="AW66" s="1255"/>
      <c r="AX66" s="1251"/>
      <c r="AY66" s="1251"/>
      <c r="AZ66" s="1252"/>
      <c r="BA66" s="1256"/>
      <c r="BB66" s="1254"/>
      <c r="BC66" s="265" t="s">
        <v>476</v>
      </c>
    </row>
    <row r="67" spans="1:55" ht="34.5" customHeight="1">
      <c r="A67" s="1206" t="s">
        <v>500</v>
      </c>
      <c r="B67" s="3288" t="s">
        <v>373</v>
      </c>
      <c r="C67" s="3290"/>
      <c r="D67" s="45" t="s">
        <v>3</v>
      </c>
      <c r="E67" s="429" t="s">
        <v>374</v>
      </c>
      <c r="F67" s="1258">
        <v>15</v>
      </c>
      <c r="G67" s="1230"/>
      <c r="H67" s="2393">
        <f>IFERROR('ED-XI DEN'!L15*100,"")</f>
        <v>15.457983884229568</v>
      </c>
      <c r="I67" s="1744">
        <f>($F$67-H67)*2295/100</f>
        <v>-10.510730143068592</v>
      </c>
      <c r="J67" s="1745" t="s">
        <v>8</v>
      </c>
      <c r="K67" s="1873">
        <f>IFERROR(IF(I67&lt;0,0,I67),"")</f>
        <v>0</v>
      </c>
      <c r="L67" s="1747" t="s">
        <v>10</v>
      </c>
      <c r="M67" s="88"/>
      <c r="N67" s="2396" t="s">
        <v>1195</v>
      </c>
      <c r="O67" s="1744"/>
      <c r="P67" s="1745"/>
      <c r="Q67" s="1873"/>
      <c r="R67" s="1747"/>
      <c r="S67" s="1274"/>
      <c r="T67" s="2774" t="s">
        <v>47</v>
      </c>
      <c r="U67" s="2774"/>
      <c r="V67" s="2774"/>
      <c r="W67" s="2774"/>
      <c r="X67" s="2774"/>
      <c r="Y67" s="2774"/>
      <c r="Z67" s="2774" t="s">
        <v>47</v>
      </c>
      <c r="AA67" s="2774"/>
      <c r="AB67" s="2774"/>
      <c r="AC67" s="2774"/>
      <c r="AD67" s="2774"/>
      <c r="AE67" s="1255"/>
      <c r="AF67" s="2084" t="str">
        <f>'XM.FILE GOC'!BF16</f>
        <v/>
      </c>
      <c r="AG67" s="2084">
        <f>'XM.FILE GOC'!BG16</f>
        <v>0</v>
      </c>
      <c r="AH67" s="1252"/>
      <c r="AI67" s="2085">
        <f t="shared" si="7"/>
        <v>15.457983884229568</v>
      </c>
      <c r="AJ67" s="2745"/>
      <c r="AK67" s="2746"/>
      <c r="AL67" s="2745"/>
      <c r="AM67" s="1251"/>
      <c r="AN67" s="1252"/>
      <c r="AO67" s="1256"/>
      <c r="AP67" s="1254"/>
      <c r="AQ67" s="1255"/>
      <c r="AR67" s="1251"/>
      <c r="AS67" s="1251"/>
      <c r="AT67" s="1252"/>
      <c r="AU67" s="1256"/>
      <c r="AV67" s="1254"/>
      <c r="AW67" s="1255"/>
      <c r="AX67" s="1251"/>
      <c r="AY67" s="1251"/>
      <c r="AZ67" s="1252"/>
      <c r="BA67" s="1256"/>
      <c r="BB67" s="1254"/>
      <c r="BC67" s="265" t="s">
        <v>476</v>
      </c>
    </row>
    <row r="68" spans="1:55" ht="34.5" customHeight="1">
      <c r="A68" s="1206" t="s">
        <v>501</v>
      </c>
      <c r="B68" s="3288" t="s">
        <v>375</v>
      </c>
      <c r="C68" s="3290"/>
      <c r="D68" s="45" t="s">
        <v>3</v>
      </c>
      <c r="E68" s="429" t="s">
        <v>376</v>
      </c>
      <c r="F68" s="1258">
        <v>12</v>
      </c>
      <c r="G68" s="1230"/>
      <c r="H68" s="2393">
        <v>12</v>
      </c>
      <c r="I68" s="1744">
        <f>($F$68-H68)*2295/100</f>
        <v>0</v>
      </c>
      <c r="J68" s="1745" t="s">
        <v>8</v>
      </c>
      <c r="K68" s="1873">
        <f>IFERROR(IF(I68&lt;0,0,I68),"")</f>
        <v>0</v>
      </c>
      <c r="L68" s="1747" t="s">
        <v>10</v>
      </c>
      <c r="M68" s="88"/>
      <c r="N68" s="2396" t="s">
        <v>1195</v>
      </c>
      <c r="O68" s="1744"/>
      <c r="P68" s="1745"/>
      <c r="Q68" s="1873"/>
      <c r="R68" s="1747"/>
      <c r="S68" s="1274"/>
      <c r="T68" s="2774" t="s">
        <v>47</v>
      </c>
      <c r="U68" s="2774"/>
      <c r="V68" s="2774"/>
      <c r="W68" s="2774"/>
      <c r="X68" s="2774"/>
      <c r="Y68" s="2774"/>
      <c r="Z68" s="2774" t="s">
        <v>47</v>
      </c>
      <c r="AA68" s="2774"/>
      <c r="AB68" s="2774"/>
      <c r="AC68" s="2774"/>
      <c r="AD68" s="2774"/>
      <c r="AE68" s="1255"/>
      <c r="AF68" s="2084" t="str">
        <f>'XM.FILE GOC'!BF17</f>
        <v/>
      </c>
      <c r="AG68" s="2084">
        <f>'XM.FILE GOC'!BG17</f>
        <v>0</v>
      </c>
      <c r="AH68" s="1252"/>
      <c r="AI68" s="2085">
        <f t="shared" si="7"/>
        <v>12</v>
      </c>
      <c r="AJ68" s="2745"/>
      <c r="AK68" s="2746"/>
      <c r="AL68" s="2745"/>
      <c r="AM68" s="1251"/>
      <c r="AN68" s="1252"/>
      <c r="AO68" s="1256"/>
      <c r="AP68" s="1254"/>
      <c r="AQ68" s="1255"/>
      <c r="AR68" s="1251"/>
      <c r="AS68" s="1251"/>
      <c r="AT68" s="1252"/>
      <c r="AU68" s="1256"/>
      <c r="AV68" s="1254"/>
      <c r="AW68" s="1255"/>
      <c r="AX68" s="1251"/>
      <c r="AY68" s="1251"/>
      <c r="AZ68" s="1252"/>
      <c r="BA68" s="1256"/>
      <c r="BB68" s="1254"/>
      <c r="BC68" s="265" t="s">
        <v>476</v>
      </c>
    </row>
    <row r="69" spans="1:55" ht="34.5" hidden="1" customHeight="1">
      <c r="A69" s="1206" t="s">
        <v>502</v>
      </c>
      <c r="B69" s="3288" t="s">
        <v>377</v>
      </c>
      <c r="C69" s="3290"/>
      <c r="D69" s="45" t="s">
        <v>3</v>
      </c>
      <c r="E69" s="429" t="s">
        <v>374</v>
      </c>
      <c r="F69" s="1258">
        <v>15</v>
      </c>
      <c r="G69" s="1230"/>
      <c r="H69" s="2394" t="str">
        <f>IFERROR('ED-XI DEN'!L17*100,"")</f>
        <v/>
      </c>
      <c r="I69" s="1744" t="e">
        <f>($F$69-H69)*2295/100</f>
        <v>#VALUE!</v>
      </c>
      <c r="J69" s="1745" t="s">
        <v>8</v>
      </c>
      <c r="K69" s="1873" t="str">
        <f t="shared" ref="K69:K70" si="9">IFERROR(IF(I69&lt;0,0,I69),"")</f>
        <v/>
      </c>
      <c r="L69" s="1747" t="s">
        <v>10</v>
      </c>
      <c r="M69" s="88"/>
      <c r="N69" s="2396" t="s">
        <v>1195</v>
      </c>
      <c r="O69" s="1744"/>
      <c r="P69" s="1745"/>
      <c r="Q69" s="1873"/>
      <c r="R69" s="1747"/>
      <c r="S69" s="1274"/>
      <c r="T69" s="2774" t="s">
        <v>47</v>
      </c>
      <c r="U69" s="2774"/>
      <c r="V69" s="2774"/>
      <c r="W69" s="2774"/>
      <c r="X69" s="2774"/>
      <c r="Y69" s="2774"/>
      <c r="Z69" s="2774" t="s">
        <v>47</v>
      </c>
      <c r="AA69" s="2774"/>
      <c r="AB69" s="2774"/>
      <c r="AC69" s="2774"/>
      <c r="AD69" s="2774"/>
      <c r="AE69" s="1255"/>
      <c r="AF69" s="2084" t="str">
        <f>'XM.FILE GOC'!BF18</f>
        <v/>
      </c>
      <c r="AG69" s="2084">
        <f>'XM.FILE GOC'!BG18</f>
        <v>0</v>
      </c>
      <c r="AH69" s="1252"/>
      <c r="AI69" s="2085" t="str">
        <f t="shared" si="7"/>
        <v/>
      </c>
      <c r="AJ69" s="2745"/>
      <c r="AK69" s="2746"/>
      <c r="AL69" s="2745"/>
      <c r="AM69" s="1251"/>
      <c r="AN69" s="1252"/>
      <c r="AO69" s="1256"/>
      <c r="AP69" s="1254"/>
      <c r="AQ69" s="1255"/>
      <c r="AR69" s="1251"/>
      <c r="AS69" s="1251"/>
      <c r="AT69" s="1252"/>
      <c r="AU69" s="1256"/>
      <c r="AV69" s="1254"/>
      <c r="AW69" s="1255"/>
      <c r="AX69" s="1251"/>
      <c r="AY69" s="1251"/>
      <c r="AZ69" s="1252"/>
      <c r="BA69" s="1256"/>
      <c r="BB69" s="1254"/>
      <c r="BC69" s="265" t="s">
        <v>476</v>
      </c>
    </row>
    <row r="70" spans="1:55" ht="34.5" hidden="1" customHeight="1">
      <c r="A70" s="1206" t="s">
        <v>503</v>
      </c>
      <c r="B70" s="3288" t="s">
        <v>378</v>
      </c>
      <c r="C70" s="3290"/>
      <c r="D70" s="45" t="s">
        <v>3</v>
      </c>
      <c r="E70" s="429" t="s">
        <v>376</v>
      </c>
      <c r="F70" s="1258">
        <v>12</v>
      </c>
      <c r="G70" s="1230"/>
      <c r="H70" s="2394" t="str">
        <f>IFERROR('ED-XI DEN'!L18*100,"")</f>
        <v/>
      </c>
      <c r="I70" s="1744" t="e">
        <f>($F$70-H70)*2295/100</f>
        <v>#VALUE!</v>
      </c>
      <c r="J70" s="1745" t="s">
        <v>8</v>
      </c>
      <c r="K70" s="1873" t="str">
        <f t="shared" si="9"/>
        <v/>
      </c>
      <c r="L70" s="1747" t="s">
        <v>10</v>
      </c>
      <c r="M70" s="88"/>
      <c r="N70" s="2396" t="s">
        <v>1195</v>
      </c>
      <c r="O70" s="1744"/>
      <c r="P70" s="1745"/>
      <c r="Q70" s="1873"/>
      <c r="R70" s="1747"/>
      <c r="S70" s="1274"/>
      <c r="T70" s="2774" t="s">
        <v>47</v>
      </c>
      <c r="U70" s="2774"/>
      <c r="V70" s="2774"/>
      <c r="W70" s="2774"/>
      <c r="X70" s="2774"/>
      <c r="Y70" s="2774"/>
      <c r="Z70" s="2774" t="s">
        <v>47</v>
      </c>
      <c r="AA70" s="2774"/>
      <c r="AB70" s="2774"/>
      <c r="AC70" s="2774"/>
      <c r="AD70" s="2774"/>
      <c r="AE70" s="1255"/>
      <c r="AF70" s="2084" t="str">
        <f>'XM.FILE GOC'!BF19</f>
        <v/>
      </c>
      <c r="AG70" s="2084">
        <f>'XM.FILE GOC'!BG19</f>
        <v>0</v>
      </c>
      <c r="AH70" s="1252"/>
      <c r="AI70" s="2085" t="str">
        <f t="shared" si="7"/>
        <v/>
      </c>
      <c r="AJ70" s="2745"/>
      <c r="AK70" s="2746"/>
      <c r="AL70" s="2745"/>
      <c r="AM70" s="1251"/>
      <c r="AN70" s="1252"/>
      <c r="AO70" s="1256"/>
      <c r="AP70" s="1254"/>
      <c r="AQ70" s="1255"/>
      <c r="AR70" s="1251"/>
      <c r="AS70" s="1251"/>
      <c r="AT70" s="1252"/>
      <c r="AU70" s="1256"/>
      <c r="AV70" s="1254"/>
      <c r="AW70" s="1255"/>
      <c r="AX70" s="1251"/>
      <c r="AY70" s="1251"/>
      <c r="AZ70" s="1252"/>
      <c r="BA70" s="1256"/>
      <c r="BB70" s="1254"/>
      <c r="BC70" s="265" t="s">
        <v>476</v>
      </c>
    </row>
    <row r="71" spans="1:55" ht="34.5" customHeight="1">
      <c r="A71" s="1206" t="s">
        <v>504</v>
      </c>
      <c r="B71" s="3288" t="s">
        <v>379</v>
      </c>
      <c r="C71" s="3290"/>
      <c r="D71" s="45" t="s">
        <v>3</v>
      </c>
      <c r="E71" s="102" t="s">
        <v>380</v>
      </c>
      <c r="F71" s="1259"/>
      <c r="G71" s="1260"/>
      <c r="H71" s="2395">
        <f>IFERROR('ED-XI DEN'!L19*100,"")</f>
        <v>0.84937712344280936</v>
      </c>
      <c r="I71" s="1744"/>
      <c r="J71" s="1745"/>
      <c r="K71" s="1873"/>
      <c r="L71" s="1747"/>
      <c r="M71" s="88">
        <f>R.HN!D49</f>
        <v>0</v>
      </c>
      <c r="N71" s="2396" t="s">
        <v>1196</v>
      </c>
      <c r="O71" s="1744"/>
      <c r="P71" s="1745"/>
      <c r="Q71" s="1873"/>
      <c r="R71" s="1747"/>
      <c r="S71" s="1274"/>
      <c r="T71" s="2774" t="s">
        <v>47</v>
      </c>
      <c r="U71" s="2774"/>
      <c r="V71" s="2774"/>
      <c r="W71" s="2774"/>
      <c r="X71" s="2774"/>
      <c r="Y71" s="2774"/>
      <c r="Z71" s="2774" t="s">
        <v>47</v>
      </c>
      <c r="AA71" s="2774"/>
      <c r="AB71" s="2774"/>
      <c r="AC71" s="2774"/>
      <c r="AD71" s="2774"/>
      <c r="AE71" s="1255"/>
      <c r="AF71" s="2084" t="str">
        <f>'XM.FILE GOC'!BF20</f>
        <v/>
      </c>
      <c r="AG71" s="2084">
        <f>'XM.FILE GOC'!BG20</f>
        <v>0</v>
      </c>
      <c r="AH71" s="1252"/>
      <c r="AI71" s="2085">
        <f t="shared" si="7"/>
        <v>0.84937712344280936</v>
      </c>
      <c r="AJ71" s="2745"/>
      <c r="AK71" s="2746"/>
      <c r="AL71" s="2745"/>
      <c r="AM71" s="1251"/>
      <c r="AN71" s="1252"/>
      <c r="AO71" s="1256"/>
      <c r="AP71" s="1254"/>
      <c r="AQ71" s="1255"/>
      <c r="AR71" s="1251"/>
      <c r="AS71" s="1251"/>
      <c r="AT71" s="1252"/>
      <c r="AU71" s="1256"/>
      <c r="AV71" s="1254"/>
      <c r="AW71" s="1255"/>
      <c r="AX71" s="1251"/>
      <c r="AY71" s="1251"/>
      <c r="AZ71" s="1252"/>
      <c r="BA71" s="1256"/>
      <c r="BB71" s="1254"/>
      <c r="BC71" s="265" t="s">
        <v>476</v>
      </c>
    </row>
    <row r="72" spans="1:55" ht="34.5" customHeight="1">
      <c r="A72" s="1206" t="s">
        <v>505</v>
      </c>
      <c r="B72" s="3288" t="s">
        <v>382</v>
      </c>
      <c r="C72" s="3290"/>
      <c r="D72" s="45" t="s">
        <v>3</v>
      </c>
      <c r="E72" s="102" t="s">
        <v>383</v>
      </c>
      <c r="F72" s="1259"/>
      <c r="G72" s="1260"/>
      <c r="H72" s="2395">
        <f>IFERROR('ED-XI DEN'!L20*100,"")</f>
        <v>0.50395968322534201</v>
      </c>
      <c r="I72" s="1744"/>
      <c r="J72" s="1745"/>
      <c r="K72" s="1873"/>
      <c r="L72" s="1747"/>
      <c r="M72" s="88">
        <f>R.HN!D50</f>
        <v>0.875</v>
      </c>
      <c r="N72" s="2396" t="s">
        <v>1196</v>
      </c>
      <c r="O72" s="1744"/>
      <c r="P72" s="1745"/>
      <c r="Q72" s="1873"/>
      <c r="R72" s="1747"/>
      <c r="S72" s="1274"/>
      <c r="T72" s="2774" t="s">
        <v>47</v>
      </c>
      <c r="U72" s="2774"/>
      <c r="V72" s="2774"/>
      <c r="W72" s="2774"/>
      <c r="X72" s="2774"/>
      <c r="Y72" s="2774"/>
      <c r="Z72" s="2774" t="s">
        <v>47</v>
      </c>
      <c r="AA72" s="2774"/>
      <c r="AB72" s="2774"/>
      <c r="AC72" s="2774"/>
      <c r="AD72" s="2774"/>
      <c r="AE72" s="1255"/>
      <c r="AF72" s="2084" t="str">
        <f>'XM.FILE GOC'!BF21</f>
        <v/>
      </c>
      <c r="AG72" s="2084">
        <f>'XM.FILE GOC'!BG21</f>
        <v>0</v>
      </c>
      <c r="AH72" s="1252"/>
      <c r="AI72" s="2085">
        <f t="shared" si="7"/>
        <v>0.50395968322534201</v>
      </c>
      <c r="AJ72" s="2745"/>
      <c r="AK72" s="2746"/>
      <c r="AL72" s="2745"/>
      <c r="AM72" s="1251"/>
      <c r="AN72" s="1252"/>
      <c r="AO72" s="1256"/>
      <c r="AP72" s="1254"/>
      <c r="AQ72" s="1255"/>
      <c r="AR72" s="1251"/>
      <c r="AS72" s="1251"/>
      <c r="AT72" s="1252"/>
      <c r="AU72" s="1256"/>
      <c r="AV72" s="1254"/>
      <c r="AW72" s="1255"/>
      <c r="AX72" s="1251"/>
      <c r="AY72" s="1251"/>
      <c r="AZ72" s="1252"/>
      <c r="BA72" s="1256"/>
      <c r="BB72" s="1254"/>
      <c r="BC72" s="265" t="s">
        <v>476</v>
      </c>
    </row>
    <row r="73" spans="1:55" ht="33" customHeight="1">
      <c r="A73" s="285" t="s">
        <v>73</v>
      </c>
      <c r="B73" s="286"/>
      <c r="C73" s="286"/>
      <c r="D73" s="286"/>
      <c r="E73" s="283"/>
      <c r="F73" s="286"/>
      <c r="G73" s="286"/>
      <c r="H73" s="286"/>
      <c r="I73" s="286"/>
      <c r="J73" s="286"/>
      <c r="K73" s="286"/>
      <c r="L73" s="286"/>
      <c r="M73" s="286"/>
      <c r="N73" s="1610"/>
      <c r="O73" s="286"/>
      <c r="P73" s="286"/>
      <c r="Q73" s="286"/>
      <c r="R73" s="2772"/>
      <c r="S73" s="286"/>
      <c r="T73" s="2774"/>
      <c r="U73" s="2774"/>
      <c r="V73" s="2774"/>
      <c r="W73" s="2774"/>
      <c r="X73" s="2774"/>
      <c r="Y73" s="2774"/>
      <c r="Z73" s="2774"/>
      <c r="AA73" s="2774"/>
      <c r="AB73" s="2774"/>
      <c r="AC73" s="2774"/>
      <c r="AD73" s="2774"/>
      <c r="AE73" s="1610"/>
      <c r="AF73" s="1251"/>
      <c r="AG73" s="1251"/>
      <c r="AH73" s="1252"/>
      <c r="AI73" s="1256"/>
      <c r="AJ73" s="1254"/>
      <c r="AK73" s="1255"/>
      <c r="AL73" s="1251"/>
      <c r="AM73" s="1251"/>
      <c r="AN73" s="1252"/>
      <c r="AO73" s="1256"/>
      <c r="AP73" s="1254"/>
      <c r="AQ73" s="1255"/>
      <c r="AR73" s="1251"/>
      <c r="AS73" s="1251"/>
      <c r="AT73" s="1252"/>
      <c r="AU73" s="1256"/>
      <c r="AV73" s="1254"/>
      <c r="AW73" s="1255"/>
      <c r="AX73" s="1251"/>
      <c r="AY73" s="1251"/>
      <c r="AZ73" s="1252"/>
      <c r="BA73" s="1256"/>
      <c r="BB73" s="1254"/>
    </row>
    <row r="74" spans="1:55" ht="47.25" customHeight="1">
      <c r="A74" s="1206" t="s">
        <v>238</v>
      </c>
      <c r="B74" s="3288" t="s">
        <v>61</v>
      </c>
      <c r="C74" s="3290"/>
      <c r="D74" s="278" t="s">
        <v>63</v>
      </c>
      <c r="E74" s="278" t="s">
        <v>64</v>
      </c>
      <c r="F74" s="1235"/>
      <c r="G74" s="1235"/>
      <c r="H74" s="1727" t="s">
        <v>45</v>
      </c>
      <c r="I74" s="1728"/>
      <c r="J74" s="1728"/>
      <c r="K74" s="1728" t="s">
        <v>62</v>
      </c>
      <c r="L74" s="1729"/>
      <c r="M74" s="278"/>
      <c r="N74" s="1727" t="s">
        <v>45</v>
      </c>
      <c r="O74" s="1728"/>
      <c r="P74" s="1728"/>
      <c r="Q74" s="1728" t="s">
        <v>62</v>
      </c>
      <c r="R74" s="1729"/>
      <c r="S74" s="2361"/>
      <c r="T74" s="2774" t="s">
        <v>45</v>
      </c>
      <c r="U74" s="2774"/>
      <c r="V74" s="2774"/>
      <c r="W74" s="2774" t="s">
        <v>62</v>
      </c>
      <c r="X74" s="2774"/>
      <c r="Y74" s="2774"/>
      <c r="Z74" s="2774" t="s">
        <v>45</v>
      </c>
      <c r="AA74" s="2774"/>
      <c r="AB74" s="2774"/>
      <c r="AC74" s="2774" t="s">
        <v>62</v>
      </c>
      <c r="AD74" s="2774"/>
      <c r="AE74" s="608"/>
      <c r="AF74" s="1251"/>
      <c r="AG74" s="1251"/>
      <c r="AH74" s="1252"/>
      <c r="AI74" s="1256"/>
      <c r="AJ74" s="1254"/>
      <c r="AK74" s="1255"/>
      <c r="AL74" s="1251"/>
      <c r="AM74" s="1251"/>
      <c r="AN74" s="1252"/>
      <c r="AO74" s="1256"/>
      <c r="AP74" s="1254"/>
      <c r="AQ74" s="1255"/>
      <c r="AR74" s="1251"/>
      <c r="AS74" s="1251"/>
      <c r="AT74" s="1252"/>
      <c r="AU74" s="1256"/>
      <c r="AV74" s="1254"/>
      <c r="AW74" s="1255"/>
      <c r="AX74" s="1251"/>
      <c r="AY74" s="1251"/>
      <c r="AZ74" s="1252"/>
      <c r="BA74" s="1256"/>
      <c r="BB74" s="1254"/>
      <c r="BC74" s="265" t="s">
        <v>476</v>
      </c>
    </row>
    <row r="75" spans="1:55" ht="41.25" customHeight="1">
      <c r="A75" s="1206" t="s">
        <v>506</v>
      </c>
      <c r="B75" s="3288" t="s">
        <v>474</v>
      </c>
      <c r="C75" s="3290"/>
      <c r="D75" s="21" t="s">
        <v>105</v>
      </c>
      <c r="E75" s="102" t="s">
        <v>507</v>
      </c>
      <c r="F75" s="96"/>
      <c r="G75" s="96"/>
      <c r="H75" s="3046">
        <v>58</v>
      </c>
      <c r="I75" s="3047"/>
      <c r="J75" s="3437"/>
      <c r="K75" s="3438">
        <v>60</v>
      </c>
      <c r="L75" s="3047"/>
      <c r="M75" s="1261"/>
      <c r="N75" s="3046"/>
      <c r="O75" s="3047"/>
      <c r="P75" s="3437"/>
      <c r="Q75" s="3438"/>
      <c r="R75" s="3048"/>
      <c r="S75" s="2404"/>
      <c r="T75" s="2774"/>
      <c r="U75" s="2774"/>
      <c r="V75" s="2774"/>
      <c r="W75" s="2774"/>
      <c r="X75" s="2774"/>
      <c r="Y75" s="2774"/>
      <c r="Z75" s="2774"/>
      <c r="AA75" s="2774"/>
      <c r="AB75" s="2774"/>
      <c r="AC75" s="2774"/>
      <c r="AD75" s="2774"/>
      <c r="AE75" s="2362"/>
      <c r="AF75" s="1251"/>
      <c r="AG75" s="1251"/>
      <c r="AH75" s="1252"/>
      <c r="AI75" s="1256"/>
      <c r="AJ75" s="1254"/>
      <c r="AK75" s="1255"/>
      <c r="AL75" s="1251"/>
      <c r="AM75" s="1251"/>
      <c r="AN75" s="1252"/>
      <c r="AO75" s="1256"/>
      <c r="AP75" s="1254"/>
      <c r="AQ75" s="1255"/>
      <c r="AR75" s="1251"/>
      <c r="AS75" s="1251"/>
      <c r="AT75" s="1252"/>
      <c r="AU75" s="1256"/>
      <c r="AV75" s="1254"/>
      <c r="AW75" s="1255"/>
      <c r="AX75" s="1251"/>
      <c r="AY75" s="1251"/>
      <c r="AZ75" s="1252"/>
      <c r="BA75" s="1256"/>
      <c r="BB75" s="1254"/>
      <c r="BC75" s="265" t="s">
        <v>476</v>
      </c>
    </row>
    <row r="76" spans="1:55" ht="41.25" customHeight="1">
      <c r="A76" s="1206" t="s">
        <v>508</v>
      </c>
      <c r="B76" s="3288" t="s">
        <v>478</v>
      </c>
      <c r="C76" s="3290"/>
      <c r="D76" s="21" t="s">
        <v>105</v>
      </c>
      <c r="E76" s="102" t="s">
        <v>507</v>
      </c>
      <c r="F76" s="96"/>
      <c r="G76" s="96"/>
      <c r="H76" s="3046">
        <v>58</v>
      </c>
      <c r="I76" s="3047"/>
      <c r="J76" s="3437"/>
      <c r="K76" s="3438">
        <v>57</v>
      </c>
      <c r="L76" s="3047"/>
      <c r="M76" s="1261"/>
      <c r="N76" s="3046"/>
      <c r="O76" s="3047"/>
      <c r="P76" s="3437"/>
      <c r="Q76" s="3438"/>
      <c r="R76" s="3048"/>
      <c r="S76" s="2404"/>
      <c r="T76" s="2774"/>
      <c r="U76" s="2774"/>
      <c r="V76" s="2774"/>
      <c r="W76" s="2774"/>
      <c r="X76" s="2774"/>
      <c r="Y76" s="2774"/>
      <c r="Z76" s="2774"/>
      <c r="AA76" s="2774"/>
      <c r="AB76" s="2774"/>
      <c r="AC76" s="2774"/>
      <c r="AD76" s="2774"/>
      <c r="AE76" s="2362"/>
      <c r="AF76" s="1251"/>
      <c r="AG76" s="1251"/>
      <c r="AH76" s="1252"/>
      <c r="AI76" s="1256"/>
      <c r="AJ76" s="1254"/>
      <c r="AK76" s="1255"/>
      <c r="AL76" s="1251"/>
      <c r="AM76" s="1251"/>
      <c r="AN76" s="1252"/>
      <c r="AO76" s="1256"/>
      <c r="AP76" s="1254"/>
      <c r="AQ76" s="1255"/>
      <c r="AR76" s="1251"/>
      <c r="AS76" s="1251"/>
      <c r="AT76" s="1252"/>
      <c r="AU76" s="1256"/>
      <c r="AV76" s="1254"/>
      <c r="AW76" s="1255"/>
      <c r="AX76" s="1251"/>
      <c r="AY76" s="1251"/>
      <c r="AZ76" s="1252"/>
      <c r="BA76" s="1256"/>
      <c r="BB76" s="1254"/>
      <c r="BC76" s="265" t="s">
        <v>476</v>
      </c>
    </row>
    <row r="77" spans="1:55" ht="41.25" customHeight="1">
      <c r="A77" s="1206" t="s">
        <v>509</v>
      </c>
      <c r="B77" s="3288" t="s">
        <v>480</v>
      </c>
      <c r="C77" s="3290"/>
      <c r="D77" s="21" t="s">
        <v>105</v>
      </c>
      <c r="E77" s="102" t="s">
        <v>507</v>
      </c>
      <c r="F77" s="1241"/>
      <c r="G77" s="1241"/>
      <c r="H77" s="3046">
        <v>58</v>
      </c>
      <c r="I77" s="3047"/>
      <c r="J77" s="3437"/>
      <c r="K77" s="3438">
        <v>58</v>
      </c>
      <c r="L77" s="3047"/>
      <c r="M77" s="1261"/>
      <c r="N77" s="3046"/>
      <c r="O77" s="3047"/>
      <c r="P77" s="3437"/>
      <c r="Q77" s="3438"/>
      <c r="R77" s="3048"/>
      <c r="S77" s="2404"/>
      <c r="T77" s="2774"/>
      <c r="U77" s="2774"/>
      <c r="V77" s="2774"/>
      <c r="W77" s="2774"/>
      <c r="X77" s="2774"/>
      <c r="Y77" s="2774"/>
      <c r="Z77" s="2774"/>
      <c r="AA77" s="2774"/>
      <c r="AB77" s="2774"/>
      <c r="AC77" s="2774"/>
      <c r="AD77" s="2774"/>
      <c r="AE77" s="2362"/>
      <c r="AF77" s="1262"/>
      <c r="AG77" s="1262"/>
      <c r="AH77" s="1262"/>
      <c r="AI77" s="1262"/>
      <c r="AJ77" s="100"/>
      <c r="AK77" s="100"/>
      <c r="AL77" s="1262"/>
      <c r="AM77" s="1262"/>
      <c r="AN77" s="1262"/>
      <c r="AO77" s="1262"/>
      <c r="AP77" s="2362"/>
      <c r="AQ77" s="100"/>
      <c r="AR77" s="1262"/>
      <c r="AS77" s="1262"/>
      <c r="AT77" s="1262"/>
      <c r="AU77" s="1262"/>
      <c r="AV77" s="100"/>
      <c r="AW77" s="100"/>
      <c r="AX77" s="1262"/>
      <c r="AY77" s="1262"/>
      <c r="AZ77" s="1262"/>
      <c r="BA77" s="1262"/>
      <c r="BB77" s="100"/>
      <c r="BC77" s="265" t="s">
        <v>476</v>
      </c>
    </row>
    <row r="78" spans="1:55" ht="41.25" customHeight="1">
      <c r="A78" s="1206" t="s">
        <v>510</v>
      </c>
      <c r="B78" s="3288" t="s">
        <v>511</v>
      </c>
      <c r="C78" s="3290"/>
      <c r="D78" s="21" t="s">
        <v>105</v>
      </c>
      <c r="E78" s="102" t="s">
        <v>512</v>
      </c>
      <c r="F78" s="1241"/>
      <c r="G78" s="1241"/>
      <c r="H78" s="3046">
        <v>43</v>
      </c>
      <c r="I78" s="3047"/>
      <c r="J78" s="3437"/>
      <c r="K78" s="3438">
        <v>34</v>
      </c>
      <c r="L78" s="3047"/>
      <c r="M78" s="1261"/>
      <c r="N78" s="3046"/>
      <c r="O78" s="3047"/>
      <c r="P78" s="3437"/>
      <c r="Q78" s="3438"/>
      <c r="R78" s="3048"/>
      <c r="S78" s="2405"/>
      <c r="T78" s="2774"/>
      <c r="U78" s="2774"/>
      <c r="V78" s="2774"/>
      <c r="W78" s="2774"/>
      <c r="X78" s="2774"/>
      <c r="Y78" s="2774"/>
      <c r="Z78" s="2774"/>
      <c r="AA78" s="2774"/>
      <c r="AB78" s="2774"/>
      <c r="AC78" s="2774"/>
      <c r="AD78" s="2774"/>
      <c r="AE78" s="2362"/>
      <c r="AF78" s="1262"/>
      <c r="AG78" s="1262"/>
      <c r="AH78" s="1262"/>
      <c r="AI78" s="1262"/>
      <c r="AJ78" s="100"/>
      <c r="AK78" s="100"/>
      <c r="AL78" s="1262"/>
      <c r="AM78" s="1262"/>
      <c r="AN78" s="1262"/>
      <c r="AO78" s="1262"/>
      <c r="AP78" s="2362"/>
      <c r="AQ78" s="100"/>
      <c r="AR78" s="1262"/>
      <c r="AS78" s="1262"/>
      <c r="AT78" s="1262"/>
      <c r="AU78" s="1262"/>
      <c r="AV78" s="100"/>
      <c r="AW78" s="100"/>
      <c r="AX78" s="1262"/>
      <c r="AY78" s="1262"/>
      <c r="AZ78" s="1262"/>
      <c r="BA78" s="1262"/>
      <c r="BB78" s="100"/>
      <c r="BC78" s="265" t="s">
        <v>476</v>
      </c>
    </row>
    <row r="79" spans="1:55" ht="41.25" customHeight="1">
      <c r="A79" s="1206" t="s">
        <v>513</v>
      </c>
      <c r="B79" s="3288" t="s">
        <v>514</v>
      </c>
      <c r="C79" s="3290"/>
      <c r="D79" s="21" t="s">
        <v>105</v>
      </c>
      <c r="E79" s="102" t="s">
        <v>515</v>
      </c>
      <c r="F79" s="1241"/>
      <c r="G79" s="1241"/>
      <c r="H79" s="3046">
        <v>33</v>
      </c>
      <c r="I79" s="3047"/>
      <c r="J79" s="3437"/>
      <c r="K79" s="3438">
        <v>29</v>
      </c>
      <c r="L79" s="3047"/>
      <c r="M79" s="1261"/>
      <c r="N79" s="3046"/>
      <c r="O79" s="3047"/>
      <c r="P79" s="3437"/>
      <c r="Q79" s="3438"/>
      <c r="R79" s="3048"/>
      <c r="S79" s="2405"/>
      <c r="T79" s="2774"/>
      <c r="U79" s="2774"/>
      <c r="V79" s="2774"/>
      <c r="W79" s="2774"/>
      <c r="X79" s="2774"/>
      <c r="Y79" s="2774"/>
      <c r="Z79" s="2774"/>
      <c r="AA79" s="2774"/>
      <c r="AB79" s="2774"/>
      <c r="AC79" s="2774"/>
      <c r="AD79" s="2774"/>
      <c r="AE79" s="2362"/>
      <c r="AF79" s="1262"/>
      <c r="AG79" s="1262"/>
      <c r="AH79" s="1262"/>
      <c r="AI79" s="1262"/>
      <c r="AJ79" s="100"/>
      <c r="AK79" s="100"/>
      <c r="AL79" s="1262"/>
      <c r="AM79" s="1262"/>
      <c r="AN79" s="1262"/>
      <c r="AO79" s="1262"/>
      <c r="AP79" s="2362"/>
      <c r="AQ79" s="100"/>
      <c r="AR79" s="1262"/>
      <c r="AS79" s="1262"/>
      <c r="AT79" s="1262"/>
      <c r="AU79" s="1262"/>
      <c r="AV79" s="100"/>
      <c r="AW79" s="100"/>
      <c r="AX79" s="1262"/>
      <c r="AY79" s="1262"/>
      <c r="AZ79" s="1262"/>
      <c r="BA79" s="1262"/>
      <c r="BB79" s="100"/>
      <c r="BC79" s="265" t="s">
        <v>476</v>
      </c>
    </row>
    <row r="80" spans="1:55" ht="41.25" hidden="1" customHeight="1">
      <c r="A80" s="1206" t="s">
        <v>516</v>
      </c>
      <c r="B80" s="3288" t="s">
        <v>517</v>
      </c>
      <c r="C80" s="3290"/>
      <c r="D80" s="21" t="s">
        <v>105</v>
      </c>
      <c r="E80" s="102" t="s">
        <v>515</v>
      </c>
      <c r="F80" s="1241"/>
      <c r="G80" s="1241"/>
      <c r="H80" s="3046"/>
      <c r="I80" s="3047"/>
      <c r="J80" s="3437"/>
      <c r="K80" s="3438"/>
      <c r="L80" s="3047"/>
      <c r="M80" s="1261"/>
      <c r="N80" s="3046"/>
      <c r="O80" s="3047"/>
      <c r="P80" s="3437"/>
      <c r="Q80" s="3438"/>
      <c r="R80" s="3048"/>
      <c r="S80" s="2405"/>
      <c r="T80" s="2774"/>
      <c r="U80" s="2774"/>
      <c r="V80" s="2774"/>
      <c r="W80" s="2774"/>
      <c r="X80" s="2774"/>
      <c r="Y80" s="2774"/>
      <c r="Z80" s="2774"/>
      <c r="AA80" s="2774"/>
      <c r="AB80" s="2774"/>
      <c r="AC80" s="2774"/>
      <c r="AD80" s="2774"/>
      <c r="AE80" s="2362"/>
      <c r="AF80" s="1262"/>
      <c r="AG80" s="1262"/>
      <c r="AH80" s="1262"/>
      <c r="AI80" s="1262"/>
      <c r="AJ80" s="100"/>
      <c r="AK80" s="100"/>
      <c r="AL80" s="1262"/>
      <c r="AM80" s="1262"/>
      <c r="AN80" s="1262"/>
      <c r="AO80" s="1262"/>
      <c r="AP80" s="2362"/>
      <c r="AQ80" s="100"/>
      <c r="AR80" s="1262"/>
      <c r="AS80" s="1262"/>
      <c r="AT80" s="1262"/>
      <c r="AU80" s="1262"/>
      <c r="AV80" s="100"/>
      <c r="AW80" s="100"/>
      <c r="AX80" s="1262"/>
      <c r="AY80" s="1262"/>
      <c r="AZ80" s="1262"/>
      <c r="BA80" s="1262"/>
      <c r="BB80" s="100"/>
      <c r="BC80" s="265" t="s">
        <v>476</v>
      </c>
    </row>
    <row r="81" spans="1:55" ht="38.25" customHeight="1">
      <c r="A81" s="1206" t="s">
        <v>518</v>
      </c>
      <c r="B81" s="3288" t="s">
        <v>519</v>
      </c>
      <c r="C81" s="3290"/>
      <c r="D81" s="21" t="s">
        <v>105</v>
      </c>
      <c r="E81" s="102" t="s">
        <v>520</v>
      </c>
      <c r="F81" s="1241"/>
      <c r="G81" s="1241"/>
      <c r="H81" s="3254" t="s">
        <v>47</v>
      </c>
      <c r="I81" s="3255"/>
      <c r="J81" s="3439"/>
      <c r="K81" s="3438">
        <v>181</v>
      </c>
      <c r="L81" s="3047"/>
      <c r="M81" s="1261"/>
      <c r="N81" s="3254" t="s">
        <v>47</v>
      </c>
      <c r="O81" s="3255"/>
      <c r="P81" s="3439"/>
      <c r="Q81" s="3438"/>
      <c r="R81" s="3048"/>
      <c r="S81" s="2405"/>
      <c r="T81" s="2774" t="s">
        <v>47</v>
      </c>
      <c r="U81" s="2774"/>
      <c r="V81" s="2774"/>
      <c r="W81" s="2774"/>
      <c r="X81" s="2774"/>
      <c r="Y81" s="2774"/>
      <c r="Z81" s="2774" t="s">
        <v>47</v>
      </c>
      <c r="AA81" s="2774"/>
      <c r="AB81" s="2774"/>
      <c r="AC81" s="2774"/>
      <c r="AD81" s="2774"/>
      <c r="AE81" s="2362"/>
      <c r="AF81" s="1263"/>
      <c r="AG81" s="1263"/>
      <c r="AH81" s="1263"/>
      <c r="AI81" s="1263"/>
      <c r="AJ81" s="100"/>
      <c r="AK81" s="100"/>
      <c r="AL81" s="1263"/>
      <c r="AM81" s="1263"/>
      <c r="AN81" s="1263"/>
      <c r="AO81" s="1263"/>
      <c r="AP81" s="2362"/>
      <c r="AQ81" s="100"/>
      <c r="AR81" s="1263"/>
      <c r="AS81" s="1263"/>
      <c r="AT81" s="1263"/>
      <c r="AU81" s="1263"/>
      <c r="AV81" s="100"/>
      <c r="AW81" s="100"/>
      <c r="AX81" s="1263"/>
      <c r="AY81" s="1263"/>
      <c r="AZ81" s="1263"/>
      <c r="BA81" s="1263"/>
      <c r="BB81" s="100"/>
      <c r="BC81" s="265" t="s">
        <v>476</v>
      </c>
    </row>
    <row r="82" spans="1:55" s="19" customFormat="1" ht="47.25" customHeight="1">
      <c r="A82" s="2777" t="s">
        <v>521</v>
      </c>
      <c r="B82" s="2779"/>
      <c r="C82" s="2780"/>
      <c r="D82" s="2780"/>
      <c r="E82" s="2780"/>
      <c r="F82" s="2780"/>
      <c r="G82" s="2780"/>
      <c r="H82" s="2778"/>
      <c r="I82" s="2780"/>
      <c r="J82" s="2780"/>
      <c r="K82" s="2780"/>
      <c r="L82" s="2780"/>
      <c r="M82" s="2780"/>
      <c r="N82" s="2780"/>
      <c r="O82" s="2780"/>
      <c r="P82" s="2780"/>
      <c r="Q82" s="2780"/>
      <c r="R82" s="2781"/>
      <c r="S82" s="1264"/>
      <c r="T82" s="1265"/>
      <c r="U82" s="1265"/>
      <c r="V82" s="1265"/>
      <c r="W82" s="1265"/>
      <c r="X82" s="1265"/>
      <c r="Y82" s="1265"/>
      <c r="Z82" s="1265"/>
      <c r="AA82" s="1265"/>
      <c r="AB82" s="1265"/>
      <c r="AC82" s="1265"/>
      <c r="AD82" s="1265"/>
      <c r="AE82" s="1268"/>
      <c r="AF82" s="1265"/>
      <c r="AG82" s="1265"/>
      <c r="AH82" s="1265"/>
      <c r="AI82" s="1265"/>
      <c r="AJ82" s="1265"/>
      <c r="AK82" s="1265"/>
      <c r="AL82" s="1268"/>
      <c r="AM82" s="1268"/>
      <c r="AN82" s="1268"/>
      <c r="AO82" s="1268"/>
      <c r="AP82" s="1268"/>
      <c r="AQ82" s="265" t="s">
        <v>476</v>
      </c>
      <c r="AR82" s="265"/>
    </row>
    <row r="83" spans="1:55" s="19" customFormat="1" ht="47.25" customHeight="1">
      <c r="A83" s="436"/>
      <c r="B83" s="3288" t="s">
        <v>521</v>
      </c>
      <c r="C83" s="3290"/>
      <c r="D83" s="2763" t="s">
        <v>522</v>
      </c>
      <c r="E83" s="102" t="s">
        <v>523</v>
      </c>
      <c r="F83" s="96"/>
      <c r="G83" s="96" t="s">
        <v>522</v>
      </c>
      <c r="H83" s="3046"/>
      <c r="I83" s="3047"/>
      <c r="J83" s="3047"/>
      <c r="K83" s="3047"/>
      <c r="L83" s="3048"/>
      <c r="M83" s="2761"/>
      <c r="N83" s="3046"/>
      <c r="O83" s="3047"/>
      <c r="P83" s="3047"/>
      <c r="Q83" s="3047"/>
      <c r="R83" s="3048"/>
      <c r="S83" s="1271"/>
      <c r="T83" s="3440"/>
      <c r="U83" s="3440"/>
      <c r="V83" s="3440"/>
      <c r="W83" s="3440"/>
      <c r="X83" s="3440"/>
      <c r="Y83" s="1262"/>
      <c r="Z83" s="3440"/>
      <c r="AA83" s="3440"/>
      <c r="AB83" s="3440"/>
      <c r="AC83" s="3440"/>
      <c r="AD83" s="3440"/>
      <c r="AE83" s="1262"/>
      <c r="AF83" s="3440"/>
      <c r="AG83" s="3440"/>
      <c r="AH83" s="3440"/>
      <c r="AI83" s="3440"/>
      <c r="AJ83" s="3440"/>
      <c r="AK83" s="1262"/>
      <c r="AL83" s="3440"/>
      <c r="AM83" s="3440"/>
      <c r="AN83" s="3440"/>
      <c r="AO83" s="3440"/>
      <c r="AP83" s="3440"/>
      <c r="AQ83" s="265" t="s">
        <v>476</v>
      </c>
      <c r="AR83" s="265"/>
    </row>
    <row r="84" spans="1:55" s="19" customFormat="1" ht="47.25" hidden="1" customHeight="1">
      <c r="A84" s="436"/>
      <c r="B84" s="3288" t="s">
        <v>524</v>
      </c>
      <c r="C84" s="3290"/>
      <c r="D84" s="2763" t="s">
        <v>522</v>
      </c>
      <c r="E84" s="102" t="s">
        <v>525</v>
      </c>
      <c r="F84" s="96"/>
      <c r="G84" s="96" t="s">
        <v>522</v>
      </c>
      <c r="H84" s="3046"/>
      <c r="I84" s="3047"/>
      <c r="J84" s="3047"/>
      <c r="K84" s="3047"/>
      <c r="L84" s="3047"/>
      <c r="M84" s="2761"/>
      <c r="N84" s="3046"/>
      <c r="O84" s="3047"/>
      <c r="P84" s="3047"/>
      <c r="Q84" s="3047"/>
      <c r="R84" s="3048"/>
      <c r="S84" s="1271"/>
      <c r="T84" s="3440"/>
      <c r="U84" s="3440"/>
      <c r="V84" s="3440"/>
      <c r="W84" s="3440"/>
      <c r="X84" s="3440"/>
      <c r="Y84" s="1262"/>
      <c r="Z84" s="3440"/>
      <c r="AA84" s="3440"/>
      <c r="AB84" s="3440"/>
      <c r="AC84" s="3440"/>
      <c r="AD84" s="3440"/>
      <c r="AE84" s="1262"/>
      <c r="AF84" s="3440"/>
      <c r="AG84" s="3440"/>
      <c r="AH84" s="3440"/>
      <c r="AI84" s="3440"/>
      <c r="AJ84" s="3440"/>
      <c r="AK84" s="1262"/>
      <c r="AL84" s="3440"/>
      <c r="AM84" s="3440"/>
      <c r="AN84" s="3440"/>
      <c r="AO84" s="3440"/>
      <c r="AP84" s="3440"/>
      <c r="AQ84" s="265" t="s">
        <v>476</v>
      </c>
      <c r="AR84" s="265"/>
    </row>
    <row r="85" spans="1:55" ht="23.25" customHeight="1">
      <c r="A85" s="1266"/>
      <c r="B85" s="1266"/>
      <c r="C85" s="1266"/>
      <c r="D85" s="1266"/>
      <c r="E85" s="1266"/>
      <c r="F85" s="1266"/>
      <c r="G85" s="1266"/>
      <c r="H85" s="1266"/>
      <c r="I85" s="1266"/>
      <c r="J85" s="1266"/>
      <c r="K85" s="1266"/>
      <c r="L85" s="1266"/>
      <c r="M85" s="1266"/>
      <c r="N85" s="1266"/>
      <c r="O85" s="1266"/>
      <c r="P85" s="1266"/>
      <c r="Q85" s="1266"/>
      <c r="R85" s="1266"/>
      <c r="S85" s="1267"/>
      <c r="T85" s="1268"/>
      <c r="U85" s="1268"/>
      <c r="V85" s="1268"/>
      <c r="W85" s="1268"/>
      <c r="X85" s="1268"/>
      <c r="Y85" s="1268"/>
      <c r="Z85" s="1268"/>
      <c r="AA85" s="1268"/>
      <c r="AB85" s="1268"/>
      <c r="AC85" s="1268"/>
      <c r="AD85" s="1268"/>
      <c r="AE85" s="1268"/>
      <c r="AF85" s="1268"/>
      <c r="AG85" s="1268"/>
      <c r="AH85" s="1268"/>
      <c r="AI85" s="1268"/>
      <c r="AJ85" s="1268"/>
      <c r="AK85" s="1268"/>
      <c r="AL85" s="1268"/>
      <c r="AM85" s="1268"/>
      <c r="AN85" s="1268"/>
      <c r="AO85" s="1268"/>
      <c r="AP85" s="1268"/>
    </row>
    <row r="86" spans="1:55" ht="40.5" customHeight="1">
      <c r="A86" s="1968" t="s">
        <v>526</v>
      </c>
      <c r="B86" s="1969"/>
      <c r="C86" s="1969"/>
      <c r="D86" s="1969"/>
      <c r="E86" s="1970"/>
      <c r="F86" s="1971"/>
      <c r="G86" s="1972"/>
      <c r="H86" s="1973" t="s">
        <v>72</v>
      </c>
      <c r="I86" s="1974"/>
      <c r="J86" s="1974"/>
      <c r="K86" s="1974"/>
      <c r="L86" s="1974"/>
      <c r="M86" s="1974"/>
      <c r="N86" s="1974"/>
      <c r="O86" s="1974"/>
      <c r="P86" s="1974"/>
      <c r="Q86" s="1974"/>
      <c r="R86" s="1975"/>
      <c r="S86" s="1244"/>
      <c r="AD86" s="265"/>
      <c r="AE86" s="41"/>
      <c r="AP86" s="265"/>
    </row>
    <row r="87" spans="1:55" ht="27.75" customHeight="1">
      <c r="A87" s="418"/>
      <c r="B87" s="3448" t="s">
        <v>76</v>
      </c>
      <c r="C87" s="3449"/>
      <c r="D87" s="3452" t="s">
        <v>124</v>
      </c>
      <c r="E87" s="3454" t="s">
        <v>64</v>
      </c>
      <c r="F87" s="1226"/>
      <c r="G87" s="83"/>
      <c r="H87" s="3456">
        <v>0.375</v>
      </c>
      <c r="I87" s="3456"/>
      <c r="J87" s="3456"/>
      <c r="K87" s="3456"/>
      <c r="L87" s="3456"/>
      <c r="M87" s="1227"/>
      <c r="N87" s="3456">
        <v>0.875</v>
      </c>
      <c r="O87" s="3456"/>
      <c r="P87" s="3456"/>
      <c r="Q87" s="3456"/>
      <c r="R87" s="3456"/>
      <c r="S87" s="1269"/>
      <c r="T87" s="41"/>
      <c r="AD87" s="265"/>
      <c r="AE87" s="1246"/>
      <c r="AF87" s="41"/>
      <c r="AP87" s="265"/>
    </row>
    <row r="88" spans="1:55" ht="43.5" customHeight="1">
      <c r="A88" s="1205" t="s">
        <v>238</v>
      </c>
      <c r="B88" s="3450"/>
      <c r="C88" s="3451"/>
      <c r="D88" s="3453"/>
      <c r="E88" s="3455"/>
      <c r="F88" s="1228" t="s">
        <v>422</v>
      </c>
      <c r="G88" s="1247"/>
      <c r="H88" s="1204" t="s">
        <v>129</v>
      </c>
      <c r="I88" s="34" t="s">
        <v>1</v>
      </c>
      <c r="J88" s="283" t="s">
        <v>1</v>
      </c>
      <c r="K88" s="283"/>
      <c r="L88" s="284"/>
      <c r="M88" s="85"/>
      <c r="N88" s="1204" t="s">
        <v>129</v>
      </c>
      <c r="O88" s="34" t="s">
        <v>1</v>
      </c>
      <c r="P88" s="283" t="s">
        <v>1</v>
      </c>
      <c r="Q88" s="283"/>
      <c r="R88" s="284"/>
      <c r="S88" s="439"/>
      <c r="T88" s="41"/>
      <c r="AD88" s="265"/>
      <c r="AE88" s="1249"/>
      <c r="AF88" s="41"/>
      <c r="AP88" s="265"/>
    </row>
    <row r="89" spans="1:55" ht="34.5" customHeight="1">
      <c r="A89" s="1206" t="s">
        <v>527</v>
      </c>
      <c r="B89" s="3442" t="s">
        <v>528</v>
      </c>
      <c r="C89" s="3443"/>
      <c r="D89" s="45" t="s">
        <v>4</v>
      </c>
      <c r="E89" s="1202" t="s">
        <v>529</v>
      </c>
      <c r="F89" s="1270">
        <v>25</v>
      </c>
      <c r="G89" s="1250">
        <f>R.HN!C51</f>
        <v>1.52</v>
      </c>
      <c r="H89" s="35">
        <f>G89*15.8</f>
        <v>24.016000000000002</v>
      </c>
      <c r="I89" s="35">
        <f>($F$89-H89)*1632/1000</f>
        <v>1.6058879999999971</v>
      </c>
      <c r="J89" s="36" t="s">
        <v>8</v>
      </c>
      <c r="K89" s="423">
        <f t="shared" ref="K89:K98" si="10">IF(I89&lt;0,0,I89)</f>
        <v>1.6058879999999971</v>
      </c>
      <c r="L89" s="212" t="s">
        <v>9</v>
      </c>
      <c r="M89" s="244">
        <f>R.HN!D51</f>
        <v>1.5</v>
      </c>
      <c r="N89" s="35">
        <v>25.3</v>
      </c>
      <c r="O89" s="35">
        <f>($F$89-N89)*1632/1000</f>
        <v>-0.48960000000000115</v>
      </c>
      <c r="P89" s="36" t="s">
        <v>8</v>
      </c>
      <c r="Q89" s="423">
        <f t="shared" ref="Q89:Q98" si="11">IF(O89&lt;0,0,O89)</f>
        <v>0</v>
      </c>
      <c r="R89" s="39" t="s">
        <v>9</v>
      </c>
      <c r="S89" s="442"/>
      <c r="T89" s="41"/>
      <c r="AD89" s="265"/>
      <c r="AE89" s="1255"/>
      <c r="AF89" s="41"/>
      <c r="AP89" s="265"/>
      <c r="AQ89" s="265" t="s">
        <v>530</v>
      </c>
    </row>
    <row r="90" spans="1:55" ht="34.5" customHeight="1">
      <c r="A90" s="1206" t="s">
        <v>531</v>
      </c>
      <c r="B90" s="3442" t="s">
        <v>532</v>
      </c>
      <c r="C90" s="3443"/>
      <c r="D90" s="45" t="s">
        <v>4</v>
      </c>
      <c r="E90" s="1202" t="s">
        <v>529</v>
      </c>
      <c r="F90" s="1270">
        <v>25</v>
      </c>
      <c r="G90" s="1250">
        <f>R.HN!C52</f>
        <v>1.62</v>
      </c>
      <c r="H90" s="35">
        <f>G90*15.8</f>
        <v>25.596000000000004</v>
      </c>
      <c r="I90" s="35">
        <f>($F$90-H90)*1632/1000</f>
        <v>-0.97267200000000598</v>
      </c>
      <c r="J90" s="36" t="s">
        <v>8</v>
      </c>
      <c r="K90" s="423">
        <f t="shared" si="10"/>
        <v>0</v>
      </c>
      <c r="L90" s="212" t="s">
        <v>9</v>
      </c>
      <c r="M90" s="244">
        <f>R.HN!D52</f>
        <v>1.68</v>
      </c>
      <c r="N90" s="35">
        <v>25.3</v>
      </c>
      <c r="O90" s="35">
        <f>($F$90-N90)*1632/1000</f>
        <v>-0.48960000000000115</v>
      </c>
      <c r="P90" s="36" t="s">
        <v>8</v>
      </c>
      <c r="Q90" s="423">
        <f t="shared" si="11"/>
        <v>0</v>
      </c>
      <c r="R90" s="39" t="s">
        <v>9</v>
      </c>
      <c r="S90" s="442"/>
      <c r="T90" s="41"/>
      <c r="AD90" s="265"/>
      <c r="AE90" s="1255"/>
      <c r="AF90" s="41"/>
      <c r="AP90" s="265"/>
      <c r="AQ90" s="265" t="s">
        <v>530</v>
      </c>
    </row>
    <row r="91" spans="1:55" ht="34.5" customHeight="1">
      <c r="A91" s="1206" t="s">
        <v>533</v>
      </c>
      <c r="B91" s="3442" t="s">
        <v>534</v>
      </c>
      <c r="C91" s="3443"/>
      <c r="D91" s="45" t="s">
        <v>55</v>
      </c>
      <c r="E91" s="1202" t="s">
        <v>535</v>
      </c>
      <c r="F91" s="1270">
        <v>250</v>
      </c>
      <c r="G91" s="1250">
        <f>R.HN!C53</f>
        <v>3.6</v>
      </c>
      <c r="H91" s="35">
        <v>248.5</v>
      </c>
      <c r="I91" s="35">
        <f>($F$91-H91)*1632/1000</f>
        <v>2.448</v>
      </c>
      <c r="J91" s="36" t="s">
        <v>8</v>
      </c>
      <c r="K91" s="423">
        <f t="shared" si="10"/>
        <v>2.448</v>
      </c>
      <c r="L91" s="212" t="s">
        <v>1157</v>
      </c>
      <c r="M91" s="244">
        <f>R.HN!D53</f>
        <v>3.5</v>
      </c>
      <c r="N91" s="35">
        <v>250</v>
      </c>
      <c r="O91" s="35">
        <f>($F$91-N91)*1632/1000</f>
        <v>0</v>
      </c>
      <c r="P91" s="36" t="s">
        <v>8</v>
      </c>
      <c r="Q91" s="423">
        <f t="shared" si="11"/>
        <v>0</v>
      </c>
      <c r="R91" s="39" t="s">
        <v>1157</v>
      </c>
      <c r="S91" s="442"/>
      <c r="T91" s="41"/>
      <c r="AD91" s="265"/>
      <c r="AE91" s="1255"/>
      <c r="AF91" s="41"/>
      <c r="AP91" s="265"/>
      <c r="AQ91" s="265" t="s">
        <v>530</v>
      </c>
    </row>
    <row r="92" spans="1:55" ht="34.5" customHeight="1">
      <c r="A92" s="1206" t="s">
        <v>536</v>
      </c>
      <c r="B92" s="3442" t="s">
        <v>1197</v>
      </c>
      <c r="C92" s="3443"/>
      <c r="D92" s="45" t="s">
        <v>4</v>
      </c>
      <c r="E92" s="1202" t="s">
        <v>537</v>
      </c>
      <c r="F92" s="1270">
        <v>130</v>
      </c>
      <c r="G92" s="1250">
        <f>R.HN!C54</f>
        <v>10</v>
      </c>
      <c r="H92" s="35">
        <f>G92*12.5</f>
        <v>125</v>
      </c>
      <c r="I92" s="35">
        <f>($F$92-H92)*1728/1000</f>
        <v>8.64</v>
      </c>
      <c r="J92" s="36" t="s">
        <v>8</v>
      </c>
      <c r="K92" s="423">
        <f t="shared" si="10"/>
        <v>8.64</v>
      </c>
      <c r="L92" s="212" t="s">
        <v>9</v>
      </c>
      <c r="M92" s="244">
        <f>R.HN!D54</f>
        <v>9.9</v>
      </c>
      <c r="N92" s="35">
        <v>127.3</v>
      </c>
      <c r="O92" s="35">
        <f>($F$92-N92)*1728/1000</f>
        <v>4.6656000000000049</v>
      </c>
      <c r="P92" s="36" t="s">
        <v>8</v>
      </c>
      <c r="Q92" s="423">
        <f t="shared" si="11"/>
        <v>4.6656000000000049</v>
      </c>
      <c r="R92" s="39" t="s">
        <v>9</v>
      </c>
      <c r="S92" s="442"/>
      <c r="T92" s="41"/>
      <c r="AD92" s="265"/>
      <c r="AE92" s="1255"/>
      <c r="AF92" s="41"/>
      <c r="AP92" s="265"/>
      <c r="AQ92" s="265" t="s">
        <v>530</v>
      </c>
    </row>
    <row r="93" spans="1:55" ht="34.5" customHeight="1">
      <c r="A93" s="1206" t="s">
        <v>538</v>
      </c>
      <c r="B93" s="3442" t="s">
        <v>1198</v>
      </c>
      <c r="C93" s="3443"/>
      <c r="D93" s="45" t="s">
        <v>4</v>
      </c>
      <c r="E93" s="1202" t="s">
        <v>539</v>
      </c>
      <c r="F93" s="86"/>
      <c r="G93" s="1250">
        <f>R.HN!C55</f>
        <v>9.1</v>
      </c>
      <c r="H93" s="35">
        <f>(G92-G93)*1.25</f>
        <v>1.1250000000000004</v>
      </c>
      <c r="I93" s="35" t="s">
        <v>434</v>
      </c>
      <c r="J93" s="36" t="s">
        <v>8</v>
      </c>
      <c r="K93" s="423" t="str">
        <f t="shared" si="10"/>
        <v>N/A</v>
      </c>
      <c r="L93" s="212" t="s">
        <v>9</v>
      </c>
      <c r="M93" s="244">
        <f>R.HN!D55</f>
        <v>8.8000000000000007</v>
      </c>
      <c r="N93" s="35">
        <f>(M92-M93)*1.25</f>
        <v>1.3749999999999996</v>
      </c>
      <c r="O93" s="35" t="s">
        <v>434</v>
      </c>
      <c r="P93" s="36" t="s">
        <v>8</v>
      </c>
      <c r="Q93" s="423" t="str">
        <f t="shared" si="11"/>
        <v>N/A</v>
      </c>
      <c r="R93" s="39" t="s">
        <v>9</v>
      </c>
      <c r="S93" s="442"/>
      <c r="T93" s="41"/>
      <c r="AD93" s="265"/>
      <c r="AE93" s="1255"/>
      <c r="AF93" s="41"/>
      <c r="AP93" s="265"/>
      <c r="AQ93" s="265" t="s">
        <v>530</v>
      </c>
    </row>
    <row r="94" spans="1:55" ht="34.5" customHeight="1">
      <c r="A94" s="1206" t="s">
        <v>540</v>
      </c>
      <c r="B94" s="3442" t="s">
        <v>1199</v>
      </c>
      <c r="C94" s="3443"/>
      <c r="D94" s="45" t="s">
        <v>4</v>
      </c>
      <c r="E94" s="1202" t="s">
        <v>537</v>
      </c>
      <c r="F94" s="86">
        <v>130</v>
      </c>
      <c r="G94" s="1250">
        <f>R.HN!C56</f>
        <v>10.1</v>
      </c>
      <c r="H94" s="35">
        <f>G94*12.5</f>
        <v>126.25</v>
      </c>
      <c r="I94" s="35">
        <f>($F$94-H94)*1728/1000</f>
        <v>6.48</v>
      </c>
      <c r="J94" s="36" t="s">
        <v>8</v>
      </c>
      <c r="K94" s="423">
        <f>IF(I94&lt;0,0,I94)</f>
        <v>6.48</v>
      </c>
      <c r="L94" s="212" t="s">
        <v>9</v>
      </c>
      <c r="M94" s="244">
        <f>R.HN!D56</f>
        <v>10</v>
      </c>
      <c r="N94" s="35">
        <v>128.19999999999999</v>
      </c>
      <c r="O94" s="35">
        <f>($F$92-N94)*1728/1000</f>
        <v>3.1104000000000198</v>
      </c>
      <c r="P94" s="36" t="s">
        <v>8</v>
      </c>
      <c r="Q94" s="423">
        <f>IF(O94&lt;0,0,O94)</f>
        <v>3.1104000000000198</v>
      </c>
      <c r="R94" s="39" t="s">
        <v>9</v>
      </c>
      <c r="S94" s="442"/>
      <c r="T94" s="41"/>
      <c r="AD94" s="265"/>
      <c r="AE94" s="1255"/>
      <c r="AF94" s="41"/>
      <c r="AP94" s="265"/>
      <c r="AQ94" s="265" t="s">
        <v>530</v>
      </c>
    </row>
    <row r="95" spans="1:55" ht="34.5" customHeight="1">
      <c r="A95" s="1206" t="s">
        <v>541</v>
      </c>
      <c r="B95" s="3442" t="s">
        <v>1200</v>
      </c>
      <c r="C95" s="3443"/>
      <c r="D95" s="45" t="s">
        <v>4</v>
      </c>
      <c r="E95" s="1202" t="s">
        <v>539</v>
      </c>
      <c r="F95" s="86"/>
      <c r="G95" s="1250">
        <f>R.HN!C57</f>
        <v>9.1</v>
      </c>
      <c r="H95" s="35">
        <f>(G94-G95)*1.25</f>
        <v>1.25</v>
      </c>
      <c r="I95" s="35" t="s">
        <v>434</v>
      </c>
      <c r="J95" s="36" t="s">
        <v>8</v>
      </c>
      <c r="K95" s="423" t="str">
        <f>IF(I95&lt;0,0,I95)</f>
        <v>N/A</v>
      </c>
      <c r="L95" s="212" t="s">
        <v>9</v>
      </c>
      <c r="M95" s="244">
        <f>R.HN!D57</f>
        <v>8.9</v>
      </c>
      <c r="N95" s="35">
        <f>(M94-M95)*1.25</f>
        <v>1.3749999999999996</v>
      </c>
      <c r="O95" s="35" t="s">
        <v>434</v>
      </c>
      <c r="P95" s="36" t="s">
        <v>8</v>
      </c>
      <c r="Q95" s="423" t="str">
        <f>IF(O95&lt;0,0,O95)</f>
        <v>N/A</v>
      </c>
      <c r="R95" s="39" t="s">
        <v>9</v>
      </c>
      <c r="S95" s="442"/>
      <c r="T95" s="41"/>
      <c r="AD95" s="265"/>
      <c r="AE95" s="1255"/>
      <c r="AF95" s="41"/>
      <c r="AP95" s="265"/>
      <c r="AQ95" s="265" t="s">
        <v>530</v>
      </c>
    </row>
    <row r="96" spans="1:55" ht="34.5" customHeight="1">
      <c r="A96" s="1206" t="s">
        <v>542</v>
      </c>
      <c r="B96" s="3442" t="s">
        <v>1201</v>
      </c>
      <c r="C96" s="3443"/>
      <c r="D96" s="45" t="s">
        <v>4</v>
      </c>
      <c r="E96" s="1202" t="s">
        <v>537</v>
      </c>
      <c r="F96" s="86">
        <v>130</v>
      </c>
      <c r="G96" s="1250">
        <f>R.HN!C58</f>
        <v>9.9</v>
      </c>
      <c r="H96" s="35">
        <f>G96*12.5</f>
        <v>123.75</v>
      </c>
      <c r="I96" s="35">
        <f>($F$96-H96)*1728/1000</f>
        <v>10.8</v>
      </c>
      <c r="J96" s="36" t="s">
        <v>8</v>
      </c>
      <c r="K96" s="423">
        <f>IF(I96&lt;0,0,I96)</f>
        <v>10.8</v>
      </c>
      <c r="L96" s="212" t="s">
        <v>9</v>
      </c>
      <c r="M96" s="244">
        <f>R.HN!D58</f>
        <v>9.9</v>
      </c>
      <c r="N96" s="35">
        <v>125.3</v>
      </c>
      <c r="O96" s="35">
        <f>($F$92-N96)*1728/1000</f>
        <v>8.1216000000000044</v>
      </c>
      <c r="P96" s="36" t="s">
        <v>8</v>
      </c>
      <c r="Q96" s="423">
        <f>IF(O96&lt;0,0,O96)</f>
        <v>8.1216000000000044</v>
      </c>
      <c r="R96" s="39" t="s">
        <v>9</v>
      </c>
      <c r="S96" s="442"/>
      <c r="T96" s="41"/>
      <c r="AD96" s="265"/>
      <c r="AE96" s="1255"/>
      <c r="AF96" s="41"/>
      <c r="AP96" s="265"/>
      <c r="AQ96" s="265" t="s">
        <v>530</v>
      </c>
    </row>
    <row r="97" spans="1:43" ht="34.5" customHeight="1">
      <c r="A97" s="1206" t="s">
        <v>543</v>
      </c>
      <c r="B97" s="3442" t="s">
        <v>1202</v>
      </c>
      <c r="C97" s="3443"/>
      <c r="D97" s="45" t="s">
        <v>4</v>
      </c>
      <c r="E97" s="1202" t="s">
        <v>539</v>
      </c>
      <c r="F97" s="86"/>
      <c r="G97" s="1250">
        <f>R.HN!C59</f>
        <v>9.3000000000000007</v>
      </c>
      <c r="H97" s="35">
        <v>1.2</v>
      </c>
      <c r="I97" s="35" t="s">
        <v>434</v>
      </c>
      <c r="J97" s="36" t="s">
        <v>8</v>
      </c>
      <c r="K97" s="423" t="str">
        <f>IF(I97&lt;0,0,I97)</f>
        <v>N/A</v>
      </c>
      <c r="L97" s="212" t="s">
        <v>9</v>
      </c>
      <c r="M97" s="244">
        <f>R.HN!D59</f>
        <v>8.8000000000000007</v>
      </c>
      <c r="N97" s="35">
        <f>(M96-M97)*1.25</f>
        <v>1.3749999999999996</v>
      </c>
      <c r="O97" s="35" t="s">
        <v>434</v>
      </c>
      <c r="P97" s="36" t="s">
        <v>8</v>
      </c>
      <c r="Q97" s="423" t="str">
        <f>IF(O97&lt;0,0,O97)</f>
        <v>N/A</v>
      </c>
      <c r="R97" s="39" t="s">
        <v>9</v>
      </c>
      <c r="S97" s="442"/>
      <c r="T97" s="41"/>
      <c r="AD97" s="265"/>
      <c r="AE97" s="1255"/>
      <c r="AF97" s="41"/>
      <c r="AP97" s="265"/>
      <c r="AQ97" s="265" t="s">
        <v>530</v>
      </c>
    </row>
    <row r="98" spans="1:43" ht="34.5" customHeight="1">
      <c r="A98" s="1206" t="s">
        <v>544</v>
      </c>
      <c r="B98" s="3444" t="s">
        <v>545</v>
      </c>
      <c r="C98" s="3445"/>
      <c r="D98" s="45" t="s">
        <v>4</v>
      </c>
      <c r="E98" s="1202" t="s">
        <v>546</v>
      </c>
      <c r="F98" s="97">
        <v>10</v>
      </c>
      <c r="G98" s="1250">
        <f>R.HN!C60</f>
        <v>5.4</v>
      </c>
      <c r="H98" s="35">
        <f>G98*2.08</f>
        <v>11.232000000000001</v>
      </c>
      <c r="I98" s="35">
        <f>($F$98-H98)*1728/1000</f>
        <v>-2.1288960000000019</v>
      </c>
      <c r="J98" s="36" t="s">
        <v>8</v>
      </c>
      <c r="K98" s="423">
        <f t="shared" si="10"/>
        <v>0</v>
      </c>
      <c r="L98" s="212" t="s">
        <v>9</v>
      </c>
      <c r="M98" s="244">
        <f>R.HN!D60</f>
        <v>5.3</v>
      </c>
      <c r="N98" s="35">
        <f>M98*2.08</f>
        <v>11.023999999999999</v>
      </c>
      <c r="O98" s="35">
        <f>($F$98-N98)*1728/1000</f>
        <v>-1.7694719999999984</v>
      </c>
      <c r="P98" s="36" t="s">
        <v>8</v>
      </c>
      <c r="Q98" s="423">
        <f t="shared" si="11"/>
        <v>0</v>
      </c>
      <c r="R98" s="39" t="s">
        <v>9</v>
      </c>
      <c r="S98" s="442"/>
      <c r="T98" s="41"/>
      <c r="AD98" s="265"/>
      <c r="AE98" s="1255"/>
      <c r="AF98" s="41"/>
      <c r="AP98" s="265"/>
      <c r="AQ98" s="265" t="s">
        <v>530</v>
      </c>
    </row>
    <row r="99" spans="1:43" ht="34.5" customHeight="1">
      <c r="A99" s="1206" t="s">
        <v>547</v>
      </c>
      <c r="B99" s="3446"/>
      <c r="C99" s="3447"/>
      <c r="D99" s="45" t="s">
        <v>5</v>
      </c>
      <c r="E99" s="1202" t="s">
        <v>548</v>
      </c>
      <c r="F99" s="97"/>
      <c r="G99" s="1250"/>
      <c r="H99" s="609">
        <v>6.6</v>
      </c>
      <c r="I99" s="1271"/>
      <c r="J99" s="1271"/>
      <c r="K99" s="1218"/>
      <c r="L99" s="1272"/>
      <c r="M99" s="244"/>
      <c r="N99" s="609">
        <v>6.6</v>
      </c>
      <c r="O99" s="1218"/>
      <c r="P99" s="1218"/>
      <c r="Q99" s="1218"/>
      <c r="R99" s="1272"/>
      <c r="S99" s="442"/>
      <c r="T99" s="41"/>
      <c r="AD99" s="265"/>
      <c r="AE99" s="1255"/>
      <c r="AF99" s="41"/>
      <c r="AP99" s="265"/>
      <c r="AQ99" s="265" t="s">
        <v>530</v>
      </c>
    </row>
    <row r="100" spans="1:43" ht="34.5" hidden="1" customHeight="1">
      <c r="A100" s="1206" t="s">
        <v>549</v>
      </c>
      <c r="B100" s="3442" t="s">
        <v>550</v>
      </c>
      <c r="C100" s="3443"/>
      <c r="D100" s="1273" t="s">
        <v>5</v>
      </c>
      <c r="E100" s="48" t="s">
        <v>1412</v>
      </c>
      <c r="F100" s="1273"/>
      <c r="G100" s="1274"/>
      <c r="H100" s="609"/>
      <c r="I100" s="1218"/>
      <c r="J100" s="1218"/>
      <c r="K100" s="1218"/>
      <c r="L100" s="1272"/>
      <c r="M100" s="244"/>
      <c r="N100" s="609"/>
      <c r="O100" s="1218"/>
      <c r="P100" s="1218"/>
      <c r="Q100" s="1218"/>
      <c r="R100" s="1272"/>
      <c r="S100" s="445"/>
      <c r="T100" s="41"/>
      <c r="AD100" s="265"/>
      <c r="AE100" s="1255"/>
      <c r="AF100" s="41"/>
      <c r="AP100" s="265"/>
      <c r="AQ100" s="265" t="s">
        <v>530</v>
      </c>
    </row>
    <row r="101" spans="1:43" ht="34.5" hidden="1" customHeight="1">
      <c r="A101" s="1206" t="s">
        <v>551</v>
      </c>
      <c r="B101" s="3442" t="s">
        <v>552</v>
      </c>
      <c r="C101" s="3443"/>
      <c r="D101" s="1273" t="s">
        <v>5</v>
      </c>
      <c r="E101" s="48" t="s">
        <v>1412</v>
      </c>
      <c r="F101" s="1273"/>
      <c r="G101" s="1274"/>
      <c r="H101" s="609"/>
      <c r="I101" s="1218"/>
      <c r="J101" s="1218"/>
      <c r="K101" s="1218"/>
      <c r="L101" s="1272"/>
      <c r="M101" s="244"/>
      <c r="N101" s="609"/>
      <c r="O101" s="1218"/>
      <c r="P101" s="1218"/>
      <c r="Q101" s="1218"/>
      <c r="R101" s="1272"/>
      <c r="S101" s="445"/>
      <c r="T101" s="41"/>
      <c r="AD101" s="265"/>
      <c r="AE101" s="1255"/>
      <c r="AF101" s="41"/>
      <c r="AP101" s="265"/>
      <c r="AQ101" s="265" t="s">
        <v>530</v>
      </c>
    </row>
    <row r="102" spans="1:43" ht="34.5" customHeight="1">
      <c r="A102" s="1206" t="s">
        <v>553</v>
      </c>
      <c r="B102" s="3442" t="s">
        <v>554</v>
      </c>
      <c r="C102" s="3443"/>
      <c r="D102" s="1275" t="s">
        <v>5</v>
      </c>
      <c r="E102" s="48" t="s">
        <v>1412</v>
      </c>
      <c r="F102" s="1275"/>
      <c r="G102" s="1276"/>
      <c r="H102" s="609">
        <v>5.8</v>
      </c>
      <c r="I102" s="1218"/>
      <c r="J102" s="1218"/>
      <c r="K102" s="1218"/>
      <c r="L102" s="1272"/>
      <c r="M102" s="1277"/>
      <c r="N102" s="609">
        <v>5.7</v>
      </c>
      <c r="O102" s="1218"/>
      <c r="P102" s="1218"/>
      <c r="Q102" s="1218"/>
      <c r="R102" s="1272"/>
      <c r="S102" s="445"/>
      <c r="T102" s="41"/>
      <c r="AD102" s="265"/>
      <c r="AE102" s="1255"/>
      <c r="AF102" s="41"/>
      <c r="AP102" s="265"/>
      <c r="AQ102" s="265" t="s">
        <v>530</v>
      </c>
    </row>
    <row r="103" spans="1:43" ht="42" customHeight="1">
      <c r="A103" s="285" t="s">
        <v>73</v>
      </c>
      <c r="B103" s="286"/>
      <c r="C103" s="286"/>
      <c r="D103" s="286"/>
      <c r="E103" s="283"/>
      <c r="F103" s="286"/>
      <c r="G103" s="286"/>
      <c r="H103" s="286"/>
      <c r="I103" s="286"/>
      <c r="J103" s="286"/>
      <c r="K103" s="286"/>
      <c r="L103" s="286"/>
      <c r="M103" s="286"/>
      <c r="N103" s="287"/>
      <c r="O103" s="286"/>
      <c r="P103" s="286"/>
      <c r="Q103" s="286"/>
      <c r="R103" s="287"/>
      <c r="S103" s="286"/>
      <c r="T103" s="41"/>
      <c r="AD103" s="265"/>
      <c r="AE103" s="1255"/>
      <c r="AF103" s="41"/>
      <c r="AP103" s="265"/>
    </row>
    <row r="104" spans="1:43" ht="37.5" customHeight="1">
      <c r="A104" s="1205" t="s">
        <v>238</v>
      </c>
      <c r="B104" s="3288" t="s">
        <v>61</v>
      </c>
      <c r="C104" s="3443"/>
      <c r="D104" s="278" t="s">
        <v>63</v>
      </c>
      <c r="E104" s="278" t="s">
        <v>64</v>
      </c>
      <c r="F104" s="102"/>
      <c r="G104" s="102"/>
      <c r="H104" s="280" t="s">
        <v>45</v>
      </c>
      <c r="I104" s="281"/>
      <c r="J104" s="281"/>
      <c r="K104" s="280" t="s">
        <v>62</v>
      </c>
      <c r="L104" s="294"/>
      <c r="M104" s="278"/>
      <c r="N104" s="280" t="s">
        <v>45</v>
      </c>
      <c r="O104" s="281"/>
      <c r="P104" s="281"/>
      <c r="Q104" s="280" t="s">
        <v>62</v>
      </c>
      <c r="R104" s="294"/>
      <c r="S104" s="446"/>
      <c r="T104" s="41"/>
      <c r="AD104" s="265"/>
      <c r="AE104" s="1255"/>
      <c r="AF104" s="41"/>
      <c r="AP104" s="265"/>
      <c r="AQ104" s="265" t="s">
        <v>530</v>
      </c>
    </row>
    <row r="105" spans="1:43" ht="38.25" customHeight="1">
      <c r="A105" s="1206" t="s">
        <v>555</v>
      </c>
      <c r="B105" s="3442" t="s">
        <v>528</v>
      </c>
      <c r="C105" s="3443"/>
      <c r="D105" s="95" t="s">
        <v>105</v>
      </c>
      <c r="E105" s="14" t="s">
        <v>1099</v>
      </c>
      <c r="F105" s="42"/>
      <c r="G105" s="42"/>
      <c r="H105" s="3127">
        <v>61</v>
      </c>
      <c r="I105" s="3127"/>
      <c r="J105" s="3127"/>
      <c r="K105" s="3127">
        <v>64</v>
      </c>
      <c r="L105" s="3127"/>
      <c r="M105" s="1278"/>
      <c r="N105" s="3127">
        <v>60</v>
      </c>
      <c r="O105" s="3127"/>
      <c r="P105" s="3127"/>
      <c r="Q105" s="3127">
        <v>63</v>
      </c>
      <c r="R105" s="3127"/>
      <c r="S105" s="447"/>
      <c r="T105" s="41"/>
      <c r="AD105" s="265"/>
      <c r="AE105" s="1255"/>
      <c r="AF105" s="41"/>
      <c r="AP105" s="265"/>
      <c r="AQ105" s="265" t="s">
        <v>530</v>
      </c>
    </row>
    <row r="106" spans="1:43" ht="38.25" customHeight="1">
      <c r="A106" s="1206" t="s">
        <v>556</v>
      </c>
      <c r="B106" s="3442" t="s">
        <v>532</v>
      </c>
      <c r="C106" s="3443"/>
      <c r="D106" s="95" t="s">
        <v>105</v>
      </c>
      <c r="E106" s="14" t="s">
        <v>1099</v>
      </c>
      <c r="F106" s="42"/>
      <c r="G106" s="42"/>
      <c r="H106" s="3127">
        <v>55</v>
      </c>
      <c r="I106" s="3127"/>
      <c r="J106" s="3127"/>
      <c r="K106" s="3127">
        <v>61</v>
      </c>
      <c r="L106" s="3127"/>
      <c r="M106" s="1279"/>
      <c r="N106" s="3127">
        <v>54</v>
      </c>
      <c r="O106" s="3127"/>
      <c r="P106" s="3127"/>
      <c r="Q106" s="3127">
        <v>60</v>
      </c>
      <c r="R106" s="3127"/>
      <c r="S106" s="447"/>
      <c r="T106" s="41"/>
      <c r="AD106" s="265"/>
      <c r="AE106" s="1255"/>
      <c r="AF106" s="41"/>
      <c r="AP106" s="265"/>
      <c r="AQ106" s="265" t="s">
        <v>530</v>
      </c>
    </row>
    <row r="107" spans="1:43" ht="38.25" customHeight="1">
      <c r="A107" s="1206" t="s">
        <v>557</v>
      </c>
      <c r="B107" s="3442" t="s">
        <v>1203</v>
      </c>
      <c r="C107" s="3443"/>
      <c r="D107" s="95" t="s">
        <v>105</v>
      </c>
      <c r="E107" s="14" t="s">
        <v>1101</v>
      </c>
      <c r="F107" s="42"/>
      <c r="G107" s="42"/>
      <c r="H107" s="3127">
        <v>23</v>
      </c>
      <c r="I107" s="3127"/>
      <c r="J107" s="3127"/>
      <c r="K107" s="3127">
        <v>20</v>
      </c>
      <c r="L107" s="3127"/>
      <c r="M107" s="3127"/>
      <c r="N107" s="3127">
        <v>25</v>
      </c>
      <c r="O107" s="3127"/>
      <c r="P107" s="3127"/>
      <c r="Q107" s="3127">
        <v>23</v>
      </c>
      <c r="R107" s="3127"/>
      <c r="S107" s="447"/>
      <c r="T107" s="41"/>
      <c r="AD107" s="265"/>
      <c r="AE107" s="1255"/>
      <c r="AF107" s="41"/>
      <c r="AP107" s="265"/>
      <c r="AQ107" s="265" t="s">
        <v>530</v>
      </c>
    </row>
    <row r="108" spans="1:43" ht="38.25" customHeight="1">
      <c r="A108" s="1206" t="s">
        <v>558</v>
      </c>
      <c r="B108" s="3442" t="s">
        <v>1204</v>
      </c>
      <c r="C108" s="3443"/>
      <c r="D108" s="95" t="s">
        <v>105</v>
      </c>
      <c r="E108" s="14" t="s">
        <v>1101</v>
      </c>
      <c r="F108" s="42"/>
      <c r="G108" s="42"/>
      <c r="H108" s="3127">
        <v>23</v>
      </c>
      <c r="I108" s="3127"/>
      <c r="J108" s="3127"/>
      <c r="K108" s="3127">
        <v>22</v>
      </c>
      <c r="L108" s="3127"/>
      <c r="M108" s="3127"/>
      <c r="N108" s="3127">
        <v>23</v>
      </c>
      <c r="O108" s="3127"/>
      <c r="P108" s="3127"/>
      <c r="Q108" s="3127">
        <v>21</v>
      </c>
      <c r="R108" s="3127"/>
      <c r="S108" s="447"/>
      <c r="T108" s="41"/>
      <c r="AD108" s="265"/>
      <c r="AE108" s="1255"/>
      <c r="AF108" s="41"/>
      <c r="AP108" s="265"/>
      <c r="AQ108" s="265" t="s">
        <v>530</v>
      </c>
    </row>
    <row r="109" spans="1:43" ht="38.25" customHeight="1">
      <c r="A109" s="1206" t="s">
        <v>559</v>
      </c>
      <c r="B109" s="3442" t="s">
        <v>1205</v>
      </c>
      <c r="C109" s="3443"/>
      <c r="D109" s="95" t="s">
        <v>105</v>
      </c>
      <c r="E109" s="14" t="s">
        <v>1101</v>
      </c>
      <c r="F109" s="42"/>
      <c r="G109" s="42"/>
      <c r="H109" s="3127">
        <v>22</v>
      </c>
      <c r="I109" s="3127"/>
      <c r="J109" s="3127"/>
      <c r="K109" s="3127">
        <v>19</v>
      </c>
      <c r="L109" s="3127"/>
      <c r="M109" s="3127"/>
      <c r="N109" s="3127">
        <v>22</v>
      </c>
      <c r="O109" s="3127"/>
      <c r="P109" s="3127"/>
      <c r="Q109" s="3127">
        <v>20</v>
      </c>
      <c r="R109" s="3127"/>
      <c r="S109" s="447"/>
      <c r="T109" s="41"/>
      <c r="AD109" s="265"/>
      <c r="AE109" s="1255"/>
      <c r="AF109" s="41"/>
      <c r="AP109" s="265"/>
      <c r="AQ109" s="265" t="s">
        <v>530</v>
      </c>
    </row>
    <row r="110" spans="1:43" ht="38.25" customHeight="1">
      <c r="A110" s="1206" t="s">
        <v>560</v>
      </c>
      <c r="B110" s="3442" t="s">
        <v>561</v>
      </c>
      <c r="C110" s="3443"/>
      <c r="D110" s="95" t="s">
        <v>105</v>
      </c>
      <c r="E110" s="14" t="s">
        <v>1413</v>
      </c>
      <c r="F110" s="42"/>
      <c r="G110" s="42"/>
      <c r="H110" s="3127">
        <v>30</v>
      </c>
      <c r="I110" s="3127"/>
      <c r="J110" s="3127"/>
      <c r="K110" s="3127">
        <v>32</v>
      </c>
      <c r="L110" s="3127"/>
      <c r="M110" s="3127"/>
      <c r="N110" s="3127">
        <v>31</v>
      </c>
      <c r="O110" s="3127"/>
      <c r="P110" s="3127"/>
      <c r="Q110" s="3127">
        <v>32</v>
      </c>
      <c r="R110" s="3127"/>
      <c r="S110" s="447"/>
      <c r="T110" s="41"/>
      <c r="AD110" s="265"/>
      <c r="AE110" s="1255"/>
      <c r="AF110" s="41"/>
      <c r="AP110" s="265"/>
      <c r="AQ110" s="265" t="s">
        <v>530</v>
      </c>
    </row>
    <row r="111" spans="1:43" ht="38.25" hidden="1" customHeight="1">
      <c r="A111" s="1206" t="s">
        <v>562</v>
      </c>
      <c r="B111" s="3442" t="s">
        <v>550</v>
      </c>
      <c r="C111" s="3443"/>
      <c r="D111" s="95" t="s">
        <v>105</v>
      </c>
      <c r="E111" s="14" t="s">
        <v>1454</v>
      </c>
      <c r="F111" s="45"/>
      <c r="G111" s="45"/>
      <c r="H111" s="3127"/>
      <c r="I111" s="3127"/>
      <c r="J111" s="3127"/>
      <c r="K111" s="3127"/>
      <c r="L111" s="3127"/>
      <c r="M111" s="278"/>
      <c r="N111" s="3127"/>
      <c r="O111" s="3127"/>
      <c r="P111" s="3127"/>
      <c r="Q111" s="3127"/>
      <c r="R111" s="3127"/>
      <c r="S111" s="448"/>
      <c r="T111" s="41"/>
      <c r="AD111" s="265"/>
      <c r="AE111" s="1255"/>
      <c r="AF111" s="41"/>
      <c r="AP111" s="265"/>
      <c r="AQ111" s="265" t="s">
        <v>530</v>
      </c>
    </row>
    <row r="112" spans="1:43" ht="38.25" hidden="1" customHeight="1">
      <c r="A112" s="1206" t="s">
        <v>563</v>
      </c>
      <c r="B112" s="3442" t="s">
        <v>552</v>
      </c>
      <c r="C112" s="3443"/>
      <c r="D112" s="95" t="s">
        <v>105</v>
      </c>
      <c r="E112" s="14" t="s">
        <v>1455</v>
      </c>
      <c r="F112" s="45"/>
      <c r="G112" s="45"/>
      <c r="H112" s="3127"/>
      <c r="I112" s="3127"/>
      <c r="J112" s="3127"/>
      <c r="K112" s="3127"/>
      <c r="L112" s="3127"/>
      <c r="M112" s="1279"/>
      <c r="N112" s="3127"/>
      <c r="O112" s="3127"/>
      <c r="P112" s="3127"/>
      <c r="Q112" s="3127"/>
      <c r="R112" s="3127"/>
      <c r="S112" s="448"/>
      <c r="T112" s="41"/>
      <c r="AD112" s="265"/>
      <c r="AE112" s="1255"/>
      <c r="AF112" s="41"/>
      <c r="AP112" s="265"/>
      <c r="AQ112" s="265" t="s">
        <v>530</v>
      </c>
    </row>
    <row r="113" spans="1:43" ht="38.25" customHeight="1">
      <c r="A113" s="1206" t="s">
        <v>564</v>
      </c>
      <c r="B113" s="3442" t="s">
        <v>554</v>
      </c>
      <c r="C113" s="3443"/>
      <c r="D113" s="95" t="s">
        <v>105</v>
      </c>
      <c r="E113" s="14" t="s">
        <v>1454</v>
      </c>
      <c r="F113" s="45"/>
      <c r="G113" s="45"/>
      <c r="H113" s="3127">
        <v>62</v>
      </c>
      <c r="I113" s="3127"/>
      <c r="J113" s="3127"/>
      <c r="K113" s="3127">
        <v>61</v>
      </c>
      <c r="L113" s="3127"/>
      <c r="M113" s="278"/>
      <c r="N113" s="3127">
        <v>64</v>
      </c>
      <c r="O113" s="3127"/>
      <c r="P113" s="3127"/>
      <c r="Q113" s="3127">
        <v>60</v>
      </c>
      <c r="R113" s="3127"/>
      <c r="S113" s="448"/>
      <c r="T113" s="41"/>
      <c r="AD113" s="265"/>
      <c r="AE113" s="41"/>
      <c r="AF113" s="41"/>
      <c r="AP113" s="265"/>
      <c r="AQ113" s="265" t="s">
        <v>530</v>
      </c>
    </row>
    <row r="114" spans="1:43" ht="38.25" customHeight="1">
      <c r="A114" s="1206" t="s">
        <v>565</v>
      </c>
      <c r="B114" s="3442" t="s">
        <v>566</v>
      </c>
      <c r="C114" s="3443"/>
      <c r="D114" s="95" t="s">
        <v>105</v>
      </c>
      <c r="E114" s="14" t="s">
        <v>1105</v>
      </c>
      <c r="F114" s="45"/>
      <c r="G114" s="45"/>
      <c r="H114" s="3042" t="s">
        <v>47</v>
      </c>
      <c r="I114" s="3042"/>
      <c r="J114" s="3042"/>
      <c r="K114" s="3127">
        <v>109</v>
      </c>
      <c r="L114" s="3127"/>
      <c r="M114" s="1279"/>
      <c r="N114" s="3042" t="s">
        <v>47</v>
      </c>
      <c r="O114" s="3042"/>
      <c r="P114" s="3042"/>
      <c r="Q114" s="3127">
        <v>109</v>
      </c>
      <c r="R114" s="3127"/>
      <c r="S114" s="448"/>
      <c r="T114" s="41"/>
      <c r="AD114" s="265"/>
      <c r="AE114" s="41"/>
      <c r="AF114" s="41"/>
      <c r="AP114" s="265"/>
      <c r="AQ114" s="265" t="s">
        <v>530</v>
      </c>
    </row>
    <row r="115" spans="1:43" ht="38.25" customHeight="1">
      <c r="AE115" s="41"/>
    </row>
    <row r="116" spans="1:43">
      <c r="AE116" s="41"/>
    </row>
    <row r="117" spans="1:43">
      <c r="AE117" s="41"/>
    </row>
    <row r="118" spans="1:43">
      <c r="AE118" s="41"/>
    </row>
    <row r="119" spans="1:43">
      <c r="AE119" s="41"/>
    </row>
  </sheetData>
  <sheetProtection formatCells="0" formatColumns="0" formatRows="0" insertColumns="0" insertRows="0" insertHyperlinks="0" deleteColumns="0" deleteRows="0" selectLockedCells="1" sort="0" autoFilter="0" pivotTables="0"/>
  <mergeCells count="306">
    <mergeCell ref="B43:C45"/>
    <mergeCell ref="B27:C29"/>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 ref="B42:C42"/>
    <mergeCell ref="D43:D45"/>
    <mergeCell ref="N39:R39"/>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26:C26"/>
    <mergeCell ref="D27:D29"/>
    <mergeCell ref="B30:C31"/>
    <mergeCell ref="B33:C33"/>
    <mergeCell ref="B34:C34"/>
    <mergeCell ref="T36:V36"/>
    <mergeCell ref="W36:X36"/>
    <mergeCell ref="H34:J34"/>
    <mergeCell ref="K34:L34"/>
    <mergeCell ref="N34:P34"/>
    <mergeCell ref="Q34:R34"/>
    <mergeCell ref="T34:V34"/>
    <mergeCell ref="W34:X34"/>
    <mergeCell ref="AL39:AP39"/>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B65:C65"/>
    <mergeCell ref="B66:C66"/>
    <mergeCell ref="B67:C67"/>
    <mergeCell ref="B68:C68"/>
    <mergeCell ref="B69:C69"/>
    <mergeCell ref="B70:C70"/>
    <mergeCell ref="B59:C59"/>
    <mergeCell ref="B60:C60"/>
    <mergeCell ref="B61:C61"/>
    <mergeCell ref="B62:C62"/>
    <mergeCell ref="B63:C63"/>
    <mergeCell ref="B64:C6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AL84:AP84"/>
    <mergeCell ref="B87:C88"/>
    <mergeCell ref="D87:D88"/>
    <mergeCell ref="E87:E88"/>
    <mergeCell ref="H87:L87"/>
    <mergeCell ref="N87:R87"/>
    <mergeCell ref="N83:R83"/>
    <mergeCell ref="T83:X83"/>
    <mergeCell ref="Z83:AD83"/>
    <mergeCell ref="AF83:AJ83"/>
    <mergeCell ref="AL83:AP83"/>
    <mergeCell ref="B84:C84"/>
    <mergeCell ref="H84:L84"/>
    <mergeCell ref="N84:R84"/>
    <mergeCell ref="T84:X84"/>
    <mergeCell ref="Z84:AD84"/>
    <mergeCell ref="B111:C111"/>
    <mergeCell ref="B112:C112"/>
    <mergeCell ref="B113:C113"/>
    <mergeCell ref="B114:C114"/>
    <mergeCell ref="B102:C102"/>
    <mergeCell ref="B104:C104"/>
    <mergeCell ref="B105:C105"/>
    <mergeCell ref="B106:C106"/>
    <mergeCell ref="B107:C107"/>
    <mergeCell ref="B108:C108"/>
    <mergeCell ref="B109:C109"/>
    <mergeCell ref="B110:C110"/>
    <mergeCell ref="B95:C95"/>
    <mergeCell ref="B96:C96"/>
    <mergeCell ref="B97:C97"/>
    <mergeCell ref="B98:C99"/>
    <mergeCell ref="B100:C100"/>
    <mergeCell ref="B101:C101"/>
    <mergeCell ref="B89:C89"/>
    <mergeCell ref="B90:C90"/>
    <mergeCell ref="B91:C91"/>
    <mergeCell ref="B92:C92"/>
    <mergeCell ref="B93:C93"/>
    <mergeCell ref="B94:C94"/>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N18:P18"/>
    <mergeCell ref="Q18:R18"/>
    <mergeCell ref="T35:V35"/>
    <mergeCell ref="W35:X35"/>
    <mergeCell ref="Z34:AB34"/>
    <mergeCell ref="AC34:AD34"/>
    <mergeCell ref="Z35:AB35"/>
    <mergeCell ref="AC35:AD35"/>
    <mergeCell ref="H108:J108"/>
    <mergeCell ref="T39:X39"/>
    <mergeCell ref="H109:J109"/>
    <mergeCell ref="H110:J110"/>
    <mergeCell ref="N113:P113"/>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Q110:R110"/>
    <mergeCell ref="N111:P111"/>
    <mergeCell ref="Q111:R111"/>
    <mergeCell ref="N75:P75"/>
    <mergeCell ref="Q75:R75"/>
    <mergeCell ref="N76:P76"/>
    <mergeCell ref="Q76:R76"/>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K110:M110"/>
    <mergeCell ref="Q112:R112"/>
    <mergeCell ref="N77:P77"/>
    <mergeCell ref="Q77:R77"/>
    <mergeCell ref="N78:P78"/>
    <mergeCell ref="Q78:R78"/>
    <mergeCell ref="K108:M108"/>
    <mergeCell ref="K109:M109"/>
    <mergeCell ref="H106:J106"/>
    <mergeCell ref="K106:L106"/>
    <mergeCell ref="H107:J107"/>
    <mergeCell ref="N81:P81"/>
    <mergeCell ref="Q81:R81"/>
    <mergeCell ref="N79:P79"/>
    <mergeCell ref="Q79:R79"/>
    <mergeCell ref="H80:J80"/>
    <mergeCell ref="K80:L80"/>
    <mergeCell ref="N80:P80"/>
    <mergeCell ref="Q80:R80"/>
    <mergeCell ref="H105:J105"/>
    <mergeCell ref="K105:L105"/>
    <mergeCell ref="K107:M107"/>
    <mergeCell ref="N109:P109"/>
    <mergeCell ref="Q109:R109"/>
  </mergeCells>
  <phoneticPr fontId="7" type="noConversion"/>
  <conditionalFormatting sqref="H6:H7 H26 AL6:AL7 AF6:AF7 Z6:Z7 T6:T7 N6:N7 N26 T26 Z26 AF26 AL26 H42 N42 T42 Z42 AF42 AL42">
    <cfRule type="expression" dxfId="1487" priority="826">
      <formula>H6&lt;10</formula>
    </cfRule>
    <cfRule type="expression" dxfId="1486" priority="827">
      <formula>H6&gt;15</formula>
    </cfRule>
  </conditionalFormatting>
  <conditionalFormatting sqref="H27 AL8 AL11 AF8 AF11 Z8 Z11 T8 T11 N8 N11 H8 H11 N27 T27 Z27 AF27 AL27 H43 N43 T43 Z43 AF43 AL43">
    <cfRule type="expression" dxfId="1485" priority="824">
      <formula>H8&lt;40</formula>
    </cfRule>
    <cfRule type="expression" dxfId="1484" priority="825">
      <formula>H8&gt;60</formula>
    </cfRule>
  </conditionalFormatting>
  <conditionalFormatting sqref="H28 AL9 AL12 AF9 AF12 Z9 Z12 T9 T12 N9 N12 H9 H12 N28 T28 Z28 AF28 AL28 H44 N44 T44 Z44 AF44 AL44">
    <cfRule type="expression" dxfId="1483" priority="822">
      <formula>H9&lt;5.2</formula>
    </cfRule>
    <cfRule type="expression" dxfId="1482" priority="823">
      <formula>H9&gt;7.8</formula>
    </cfRule>
  </conditionalFormatting>
  <conditionalFormatting sqref="H29 AL10 AL13 AF10 AF13 Z10 Z13 T10 T13 N10 N13 H10 H13 N29 T29 Z29 AF29 AL29 H45 N45 T45 Z45 AF45 AL45">
    <cfRule type="expression" dxfId="1481" priority="821">
      <formula>H10&gt;0.4</formula>
    </cfRule>
  </conditionalFormatting>
  <conditionalFormatting sqref="H30 AL14 AF14 Z14 T14 N14 H14 N30 T30 Z30 AF30 AL30 H46 N46 T46 Z46 AF46 AL46">
    <cfRule type="expression" dxfId="1480" priority="819">
      <formula>H14&lt;0.8</formula>
    </cfRule>
    <cfRule type="expression" dxfId="1479" priority="820">
      <formula>H14&gt;1.2</formula>
    </cfRule>
  </conditionalFormatting>
  <conditionalFormatting sqref="AL47 AF47 Z47 T47 N47 H47 AL31 AF31 Z31 T31 N31 AL15 AF15 Z15 T15 N15 H15">
    <cfRule type="expression" dxfId="1478" priority="817">
      <formula>H15&lt;8</formula>
    </cfRule>
    <cfRule type="expression" dxfId="1477" priority="818">
      <formula>H15&gt;10</formula>
    </cfRule>
  </conditionalFormatting>
  <conditionalFormatting sqref="H25 N25 T25 Z25 AF25 AL25 H41 N41 T41 Z41 AF41 AL41">
    <cfRule type="expression" dxfId="1476" priority="815">
      <formula>H25&lt;30</formula>
    </cfRule>
    <cfRule type="expression" dxfId="1475" priority="816">
      <formula>H25&gt;50</formula>
    </cfRule>
  </conditionalFormatting>
  <conditionalFormatting sqref="N57:N59 H57:H59">
    <cfRule type="expression" dxfId="1474" priority="813">
      <formula>H57&lt;10</formula>
    </cfRule>
    <cfRule type="expression" dxfId="1473" priority="814">
      <formula>H57&gt;20</formula>
    </cfRule>
  </conditionalFormatting>
  <conditionalFormatting sqref="N60 H60">
    <cfRule type="expression" dxfId="1472" priority="811">
      <formula>H60&lt;5</formula>
    </cfRule>
    <cfRule type="expression" dxfId="1471" priority="812">
      <formula>H60&gt;15</formula>
    </cfRule>
  </conditionalFormatting>
  <conditionalFormatting sqref="N61 H61">
    <cfRule type="expression" dxfId="1470" priority="810">
      <formula>H61&gt;1.5</formula>
    </cfRule>
  </conditionalFormatting>
  <conditionalFormatting sqref="N62 H62">
    <cfRule type="expression" dxfId="1469" priority="808">
      <formula>H62&lt;20</formula>
    </cfRule>
    <cfRule type="expression" dxfId="1468" priority="809">
      <formula>H62&gt;25</formula>
    </cfRule>
  </conditionalFormatting>
  <conditionalFormatting sqref="N63 H63">
    <cfRule type="expression" dxfId="1467" priority="806">
      <formula>H63&lt;6</formula>
    </cfRule>
    <cfRule type="expression" dxfId="1466" priority="807">
      <formula>H63&gt;9</formula>
    </cfRule>
  </conditionalFormatting>
  <conditionalFormatting sqref="N64 H64">
    <cfRule type="expression" dxfId="1465" priority="804">
      <formula>H64&lt;7</formula>
    </cfRule>
    <cfRule type="expression" dxfId="1464" priority="805">
      <formula>H64&gt;10</formula>
    </cfRule>
  </conditionalFormatting>
  <conditionalFormatting sqref="N65:N66 H65:H66">
    <cfRule type="expression" dxfId="1463" priority="802">
      <formula>H65&lt;5.3</formula>
    </cfRule>
    <cfRule type="expression" dxfId="1462" priority="803">
      <formula>H65&gt;6</formula>
    </cfRule>
  </conditionalFormatting>
  <conditionalFormatting sqref="N89:N90 H89:H90">
    <cfRule type="expression" dxfId="1461" priority="800">
      <formula>H89&lt;20</formula>
    </cfRule>
    <cfRule type="expression" dxfId="1460" priority="801">
      <formula>H89&gt;30</formula>
    </cfRule>
  </conditionalFormatting>
  <conditionalFormatting sqref="N91 H91">
    <cfRule type="expression" dxfId="1459" priority="798">
      <formula>H91&lt;210</formula>
    </cfRule>
    <cfRule type="expression" dxfId="1458" priority="799">
      <formula>H91&gt;290</formula>
    </cfRule>
  </conditionalFormatting>
  <conditionalFormatting sqref="N92 N94 N96 H92 H94 H96">
    <cfRule type="expression" dxfId="1457" priority="796">
      <formula>H92&lt;120</formula>
    </cfRule>
    <cfRule type="expression" dxfId="1456" priority="797">
      <formula>H92&gt;150</formula>
    </cfRule>
  </conditionalFormatting>
  <conditionalFormatting sqref="N93 N95 N97 H93 H95 H97">
    <cfRule type="expression" dxfId="1455" priority="794">
      <formula>H93&lt;1</formula>
    </cfRule>
    <cfRule type="expression" dxfId="1454" priority="795">
      <formula>H93&gt;5</formula>
    </cfRule>
  </conditionalFormatting>
  <conditionalFormatting sqref="N98 H98">
    <cfRule type="expression" dxfId="1453" priority="792">
      <formula>H98&lt;8</formula>
    </cfRule>
    <cfRule type="expression" dxfId="1452" priority="793">
      <formula>H98&gt;12</formula>
    </cfRule>
  </conditionalFormatting>
  <conditionalFormatting sqref="N9 N12 H9 H12 H28 AL9 AL12 AF9 AF12 Z9 Z12 T9 T12 N28 T28 Z28 AF28 AL28 H44 N44 T44 Z44 AF44 AL44 K75:K81 Q75:Q81 H75:H80 N75:N80">
    <cfRule type="expression" dxfId="1451" priority="791">
      <formula>H9&lt;1</formula>
    </cfRule>
  </conditionalFormatting>
  <conditionalFormatting sqref="H67 H69">
    <cfRule type="expression" dxfId="1450" priority="789">
      <formula>H67&lt;12</formula>
    </cfRule>
    <cfRule type="expression" dxfId="1449" priority="790">
      <formula>H67&gt;18</formula>
    </cfRule>
  </conditionalFormatting>
  <conditionalFormatting sqref="H68 H70">
    <cfRule type="expression" dxfId="1448" priority="787">
      <formula>H68&lt;8</formula>
    </cfRule>
    <cfRule type="expression" dxfId="1447" priority="788">
      <formula>H68&gt;16</formula>
    </cfRule>
  </conditionalFormatting>
  <conditionalFormatting sqref="H18:L19 N18:R19 T18:X19 Z18:AD19 AF18:AJ19 AL18:AP19 H35:L35 N35:R35 T35:X35 Z35:AD35 AF35:AJ35 AL35:AP35 K51:L52 Q51:R52 W51:X52 AC51:AD52 AI51:AJ52 AO51:AP52 H51:AQ51">
    <cfRule type="expression" dxfId="1446" priority="785">
      <formula>H18&lt;65</formula>
    </cfRule>
    <cfRule type="expression" dxfId="1445" priority="786">
      <formula>H18&gt;85</formula>
    </cfRule>
  </conditionalFormatting>
  <conditionalFormatting sqref="H20:L20 N20:R20 T20:X20 Z20:AD20 AF20:AJ20 AL20:AP20 H36:L36 N36:R36 T36:X36 Z36:AD36 AF36:AJ36 AL36:AP36 H52:AQ52">
    <cfRule type="expression" dxfId="1444" priority="783">
      <formula>H20&lt;80</formula>
    </cfRule>
    <cfRule type="expression" dxfId="1443" priority="784">
      <formula>H20&gt;90</formula>
    </cfRule>
  </conditionalFormatting>
  <conditionalFormatting sqref="H34 K34 N34 Q34 T34 W34 Z34 AC34 AF34 AI34 AL34 AO34 H50 K50 N50 Q50 T50 W50 Z50 AC50 AF50 AI50 AL50 AO50 H111 H113 K111 K113 N111 N113 Q111 Q113">
    <cfRule type="expression" dxfId="1442" priority="685">
      <formula>H34&lt;55</formula>
    </cfRule>
    <cfRule type="expression" dxfId="1441" priority="686">
      <formula>H34&gt;65</formula>
    </cfRule>
  </conditionalFormatting>
  <conditionalFormatting sqref="K75:K77 Q75:Q77 H75:H77 N75:N77">
    <cfRule type="expression" dxfId="1440" priority="617">
      <formula>H75&lt;51</formula>
    </cfRule>
    <cfRule type="expression" dxfId="1439" priority="618">
      <formula>H75&gt;59</formula>
    </cfRule>
  </conditionalFormatting>
  <conditionalFormatting sqref="K78 Q78 H78 N78">
    <cfRule type="expression" dxfId="1438" priority="611">
      <formula>H78&lt;30</formula>
    </cfRule>
    <cfRule type="expression" dxfId="1437" priority="612">
      <formula>H78&gt;40</formula>
    </cfRule>
  </conditionalFormatting>
  <conditionalFormatting sqref="K79:K80 Q79:Q80 H79:H80 N79:N80">
    <cfRule type="expression" dxfId="1436" priority="608">
      <formula>H79&lt;26</formula>
    </cfRule>
    <cfRule type="expression" dxfId="1435" priority="609">
      <formula>H79&gt;32</formula>
    </cfRule>
  </conditionalFormatting>
  <conditionalFormatting sqref="K81 Q81">
    <cfRule type="expression" dxfId="1434" priority="587">
      <formula>K81&lt;170</formula>
    </cfRule>
    <cfRule type="expression" dxfId="1433" priority="588">
      <formula>K81&gt;220</formula>
    </cfRule>
  </conditionalFormatting>
  <conditionalFormatting sqref="H105:H106 K105:K106 N105:N106 Q105:Q106">
    <cfRule type="expression" dxfId="1432" priority="299">
      <formula>H105&lt;45</formula>
    </cfRule>
    <cfRule type="expression" dxfId="1431" priority="300">
      <formula>H105&gt;65</formula>
    </cfRule>
  </conditionalFormatting>
  <conditionalFormatting sqref="H99 N99">
    <cfRule type="expression" dxfId="1430" priority="297">
      <formula>H99&lt;6</formula>
    </cfRule>
    <cfRule type="expression" dxfId="1429" priority="298">
      <formula>H99&gt;8</formula>
    </cfRule>
  </conditionalFormatting>
  <conditionalFormatting sqref="K114 Q114">
    <cfRule type="expression" dxfId="1428" priority="287">
      <formula>K114&lt;100</formula>
    </cfRule>
    <cfRule type="expression" dxfId="1427" priority="288">
      <formula>K114&gt;110</formula>
    </cfRule>
  </conditionalFormatting>
  <conditionalFormatting sqref="H107:H109 K107:K109 N107:N109 Q107:Q109">
    <cfRule type="expression" dxfId="1426" priority="255">
      <formula>H107&lt;18</formula>
    </cfRule>
    <cfRule type="expression" dxfId="1425" priority="256">
      <formula>H107&gt;25</formula>
    </cfRule>
  </conditionalFormatting>
  <conditionalFormatting sqref="H100:H102 N100:N102">
    <cfRule type="expression" dxfId="1424" priority="247">
      <formula>H100&lt;5.5</formula>
    </cfRule>
    <cfRule type="expression" dxfId="1423" priority="248">
      <formula>H100&gt;6</formula>
    </cfRule>
  </conditionalFormatting>
  <conditionalFormatting sqref="H112 K112 N112 Q112">
    <cfRule type="expression" dxfId="1422" priority="233">
      <formula>H112&lt;42</formula>
    </cfRule>
    <cfRule type="expression" dxfId="1421" priority="234">
      <formula>H112&gt;47</formula>
    </cfRule>
  </conditionalFormatting>
  <conditionalFormatting sqref="H110 K110 N110 Q110">
    <cfRule type="expression" dxfId="1420" priority="199">
      <formula>H110&lt;45</formula>
    </cfRule>
    <cfRule type="expression" dxfId="1419" priority="200">
      <formula>H110&gt;60</formula>
    </cfRule>
  </conditionalFormatting>
  <conditionalFormatting sqref="H83">
    <cfRule type="expression" dxfId="1418" priority="3">
      <formula>H83&lt;800</formula>
    </cfRule>
    <cfRule type="expression" dxfId="1417" priority="4">
      <formula>H83&gt;1600</formula>
    </cfRule>
  </conditionalFormatting>
  <conditionalFormatting sqref="N83">
    <cfRule type="expression" dxfId="1416" priority="1">
      <formula>N83&lt;800</formula>
    </cfRule>
    <cfRule type="expression" dxfId="1415" priority="2">
      <formula>N83&gt;1600</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4" max="1048575" man="1"/>
  </colBreaks>
  <drawing r:id="rId2"/>
</worksheet>
</file>

<file path=xl/worksheets/sheet31.xml><?xml version="1.0" encoding="utf-8"?>
<worksheet xmlns="http://schemas.openxmlformats.org/spreadsheetml/2006/main" xmlns:r="http://schemas.openxmlformats.org/officeDocument/2006/relationships">
  <sheetPr codeName="Sheet22">
    <tabColor rgb="FFFFC000"/>
  </sheetPr>
  <dimension ref="A1:AK34"/>
  <sheetViews>
    <sheetView topLeftCell="A7" zoomScale="55" zoomScaleNormal="55" workbookViewId="0">
      <selection activeCell="L22" sqref="L22:O22"/>
    </sheetView>
  </sheetViews>
  <sheetFormatPr defaultRowHeight="15"/>
  <cols>
    <col min="1" max="1" width="5.75" style="2401" customWidth="1"/>
    <col min="2" max="2" width="8.875" style="32" customWidth="1"/>
    <col min="3" max="3" width="6.125" style="32" customWidth="1"/>
    <col min="4" max="4" width="2.875" style="32" customWidth="1"/>
    <col min="5" max="5" width="7.125" style="32" customWidth="1"/>
    <col min="6" max="6" width="9.25" style="19" customWidth="1"/>
    <col min="7" max="7" width="17.5" style="33" customWidth="1"/>
    <col min="8" max="8" width="12" style="19" customWidth="1"/>
    <col min="9" max="9" width="3.75" style="19" customWidth="1"/>
    <col min="10" max="10" width="6.875" style="19" customWidth="1"/>
    <col min="11" max="11" width="3.75" style="19" customWidth="1"/>
    <col min="12" max="12" width="11.5" style="19" customWidth="1"/>
    <col min="13" max="13" width="5" style="19" customWidth="1"/>
    <col min="14" max="14" width="5.375" style="19" customWidth="1"/>
    <col min="15" max="15" width="5.25" style="19" customWidth="1"/>
    <col min="16" max="19" width="8.875" style="19" customWidth="1"/>
    <col min="20" max="20" width="11.125" style="19" customWidth="1"/>
    <col min="21" max="21" width="5.5" style="19" customWidth="1"/>
    <col min="22" max="22" width="7" style="19" hidden="1" customWidth="1"/>
    <col min="23" max="23" width="0" style="19" hidden="1" customWidth="1"/>
    <col min="24" max="24" width="7.375" style="19" hidden="1" customWidth="1"/>
    <col min="25" max="25" width="9.5" style="19" hidden="1" customWidth="1"/>
    <col min="26" max="26" width="2.625" style="19" hidden="1" customWidth="1"/>
    <col min="27" max="27" width="10.625" style="19" hidden="1" customWidth="1"/>
    <col min="28" max="28" width="12.625" style="19" hidden="1" customWidth="1"/>
    <col min="29" max="29" width="13.75" style="19" hidden="1" customWidth="1"/>
    <col min="30" max="30" width="4" style="19" hidden="1" customWidth="1"/>
    <col min="31" max="31" width="7.125" style="19" hidden="1" customWidth="1"/>
    <col min="32" max="32" width="6" style="19" hidden="1" customWidth="1"/>
    <col min="33" max="33" width="15.875" style="19" hidden="1" customWidth="1"/>
    <col min="34" max="34" width="5.125" style="19" hidden="1" customWidth="1"/>
    <col min="35" max="35" width="6.75" style="19" hidden="1" customWidth="1"/>
    <col min="36" max="36" width="5.875" style="19" hidden="1" customWidth="1"/>
    <col min="37" max="37" width="11.625" style="19" hidden="1" customWidth="1"/>
    <col min="38" max="16384" width="9" style="19"/>
  </cols>
  <sheetData>
    <row r="1" spans="1:37" ht="36" customHeight="1">
      <c r="A1" s="3517" t="s">
        <v>567</v>
      </c>
      <c r="B1" s="3517"/>
      <c r="C1" s="3517"/>
      <c r="D1" s="3517"/>
      <c r="E1" s="3517"/>
      <c r="F1" s="3517"/>
      <c r="G1" s="3517"/>
      <c r="H1" s="3517"/>
      <c r="I1" s="3517"/>
      <c r="J1" s="3517"/>
      <c r="K1" s="3517"/>
      <c r="L1" s="3517"/>
      <c r="M1" s="3517"/>
      <c r="N1" s="3517"/>
      <c r="O1" s="3517"/>
      <c r="P1" s="3517"/>
      <c r="Q1" s="3517"/>
      <c r="R1" s="449"/>
      <c r="S1" s="449"/>
      <c r="T1" s="450">
        <f>'1. XL-1E kh'!$AG$1</f>
        <v>0</v>
      </c>
      <c r="V1" s="3517" t="s">
        <v>567</v>
      </c>
      <c r="W1" s="3517"/>
      <c r="X1" s="3517"/>
      <c r="Y1" s="3517"/>
      <c r="Z1" s="3517"/>
      <c r="AA1" s="3517"/>
      <c r="AB1" s="3517"/>
      <c r="AC1" s="3517"/>
      <c r="AD1" s="3517"/>
      <c r="AE1" s="3517"/>
      <c r="AF1" s="449"/>
      <c r="AG1" s="2363"/>
      <c r="AH1" s="2363"/>
      <c r="AI1" s="449"/>
      <c r="AJ1" s="449"/>
      <c r="AK1" s="450">
        <f>'1. XL-1E kh'!$AG$1</f>
        <v>0</v>
      </c>
    </row>
    <row r="2" spans="1:37" ht="51" customHeight="1">
      <c r="A2" s="3515" t="s">
        <v>568</v>
      </c>
      <c r="B2" s="3515"/>
      <c r="C2" s="3515"/>
      <c r="D2" s="3515"/>
      <c r="E2" s="3515"/>
      <c r="F2" s="3515"/>
      <c r="G2" s="3515"/>
      <c r="H2" s="3515"/>
      <c r="I2" s="3515"/>
      <c r="J2" s="3515"/>
      <c r="K2" s="3515"/>
      <c r="L2" s="3515"/>
      <c r="M2" s="3515"/>
      <c r="N2" s="3515"/>
      <c r="O2" s="3515"/>
      <c r="P2" s="3515"/>
      <c r="Q2" s="3516"/>
      <c r="R2" s="3285" t="s">
        <v>88</v>
      </c>
      <c r="S2" s="3063"/>
      <c r="T2" s="320" t="s">
        <v>89</v>
      </c>
      <c r="V2" s="3515" t="s">
        <v>568</v>
      </c>
      <c r="W2" s="3515"/>
      <c r="X2" s="3515"/>
      <c r="Y2" s="3515"/>
      <c r="Z2" s="3515"/>
      <c r="AA2" s="3515"/>
      <c r="AB2" s="3515"/>
      <c r="AC2" s="3515"/>
      <c r="AD2" s="3515"/>
      <c r="AE2" s="3515"/>
      <c r="AF2" s="3515"/>
      <c r="AG2" s="3515"/>
      <c r="AH2" s="3515"/>
      <c r="AI2" s="3285" t="s">
        <v>88</v>
      </c>
      <c r="AJ2" s="3063"/>
      <c r="AK2" s="2359" t="s">
        <v>89</v>
      </c>
    </row>
    <row r="3" spans="1:37" ht="43.5" customHeight="1">
      <c r="A3" s="2397"/>
      <c r="B3" s="451"/>
      <c r="C3" s="24"/>
      <c r="D3" s="24"/>
      <c r="E3" s="2403"/>
      <c r="F3" s="1998" t="str">
        <f>MENU!$AC$9</f>
        <v>Thứ 4,</v>
      </c>
      <c r="G3" s="1992" t="str">
        <f>MENU!$AD$9</f>
        <v>2024/05/22</v>
      </c>
      <c r="H3" s="452"/>
      <c r="I3" s="452"/>
      <c r="J3" s="452"/>
      <c r="K3" s="452"/>
      <c r="L3" s="452"/>
      <c r="M3" s="452"/>
      <c r="R3" s="3484" t="str">
        <f>'1. XL-1E kh'!$AD$3</f>
        <v>Mi</v>
      </c>
      <c r="S3" s="3485"/>
      <c r="T3" s="3" t="s">
        <v>11</v>
      </c>
      <c r="V3" s="2397"/>
      <c r="W3" s="451"/>
      <c r="X3" s="24"/>
      <c r="Y3" s="2403" t="s">
        <v>1588</v>
      </c>
      <c r="Z3" s="25"/>
      <c r="AA3" s="1998" t="str">
        <f>MENU!$AC$9</f>
        <v>Thứ 4,</v>
      </c>
      <c r="AB3" s="2360" t="str">
        <f>MENU!$AD$9</f>
        <v>2024/05/22</v>
      </c>
      <c r="AC3" s="452"/>
      <c r="AD3" s="452"/>
      <c r="AE3" s="452"/>
      <c r="AF3" s="452"/>
      <c r="AG3" s="452"/>
      <c r="AH3" s="452"/>
      <c r="AI3" s="3484" t="str">
        <f>MENU!$AE$7</f>
        <v>L.Yen</v>
      </c>
      <c r="AJ3" s="3485"/>
      <c r="AK3" s="3" t="s">
        <v>11</v>
      </c>
    </row>
    <row r="4" spans="1:37" s="458" customFormat="1" ht="42.75" customHeight="1">
      <c r="A4" s="3513" t="s">
        <v>7</v>
      </c>
      <c r="B4" s="3083" t="s">
        <v>76</v>
      </c>
      <c r="C4" s="3084"/>
      <c r="D4" s="3084"/>
      <c r="E4" s="3085"/>
      <c r="F4" s="3278" t="s">
        <v>93</v>
      </c>
      <c r="G4" s="3498" t="s">
        <v>64</v>
      </c>
      <c r="H4" s="3510" t="s">
        <v>569</v>
      </c>
      <c r="I4" s="3511"/>
      <c r="J4" s="3511"/>
      <c r="K4" s="3511"/>
      <c r="L4" s="3511"/>
      <c r="M4" s="3511"/>
      <c r="N4" s="3511"/>
      <c r="O4" s="3512"/>
      <c r="P4" s="3505" t="s">
        <v>701</v>
      </c>
      <c r="Q4" s="3506"/>
      <c r="R4" s="3506"/>
      <c r="S4" s="3507"/>
      <c r="T4" s="3501" t="s">
        <v>90</v>
      </c>
      <c r="V4" s="3486" t="s">
        <v>7</v>
      </c>
      <c r="W4" s="3487" t="s">
        <v>76</v>
      </c>
      <c r="X4" s="3488"/>
      <c r="Y4" s="3488"/>
      <c r="Z4" s="3489"/>
      <c r="AA4" s="3496" t="s">
        <v>93</v>
      </c>
      <c r="AB4" s="3498" t="s">
        <v>64</v>
      </c>
      <c r="AC4" s="453"/>
      <c r="AD4" s="454" t="s">
        <v>569</v>
      </c>
      <c r="AE4" s="455"/>
      <c r="AF4" s="455"/>
      <c r="AG4" s="455"/>
      <c r="AH4" s="455"/>
      <c r="AI4" s="456"/>
      <c r="AJ4" s="457"/>
      <c r="AK4" s="3501" t="s">
        <v>90</v>
      </c>
    </row>
    <row r="5" spans="1:37" s="458" customFormat="1" ht="31.5" customHeight="1">
      <c r="A5" s="3513"/>
      <c r="B5" s="3382"/>
      <c r="C5" s="3379"/>
      <c r="D5" s="3379"/>
      <c r="E5" s="3514"/>
      <c r="F5" s="3278"/>
      <c r="G5" s="3499"/>
      <c r="H5" s="3503">
        <v>0.375</v>
      </c>
      <c r="I5" s="3504"/>
      <c r="J5" s="3504"/>
      <c r="K5" s="3504"/>
      <c r="L5" s="3503">
        <v>0.875</v>
      </c>
      <c r="M5" s="3504"/>
      <c r="N5" s="3504"/>
      <c r="O5" s="3504"/>
      <c r="P5" s="3508">
        <v>0.375</v>
      </c>
      <c r="Q5" s="3318"/>
      <c r="R5" s="3509">
        <v>0.875</v>
      </c>
      <c r="S5" s="3507"/>
      <c r="T5" s="3502"/>
      <c r="V5" s="3486"/>
      <c r="W5" s="3490"/>
      <c r="X5" s="3491"/>
      <c r="Y5" s="3491"/>
      <c r="Z5" s="3492"/>
      <c r="AA5" s="3496"/>
      <c r="AB5" s="3499"/>
      <c r="AC5" s="3518">
        <v>0.875</v>
      </c>
      <c r="AD5" s="3519"/>
      <c r="AE5" s="3519"/>
      <c r="AF5" s="3519"/>
      <c r="AG5" s="3518">
        <v>0.125</v>
      </c>
      <c r="AH5" s="3519"/>
      <c r="AI5" s="3519"/>
      <c r="AJ5" s="3519"/>
      <c r="AK5" s="3502"/>
    </row>
    <row r="6" spans="1:37" s="458" customFormat="1" ht="37.5" customHeight="1">
      <c r="A6" s="3513"/>
      <c r="B6" s="3086"/>
      <c r="C6" s="3087"/>
      <c r="D6" s="3087"/>
      <c r="E6" s="3088"/>
      <c r="F6" s="3279"/>
      <c r="G6" s="3500"/>
      <c r="H6" s="1682" t="s">
        <v>570</v>
      </c>
      <c r="I6" s="3278" t="s">
        <v>1</v>
      </c>
      <c r="J6" s="3278"/>
      <c r="K6" s="3278"/>
      <c r="L6" s="1682" t="s">
        <v>570</v>
      </c>
      <c r="M6" s="3278" t="s">
        <v>1</v>
      </c>
      <c r="N6" s="3278"/>
      <c r="O6" s="3278"/>
      <c r="P6" s="2054" t="s">
        <v>704</v>
      </c>
      <c r="Q6" s="2055" t="s">
        <v>705</v>
      </c>
      <c r="R6" s="2054" t="s">
        <v>704</v>
      </c>
      <c r="S6" s="2055" t="s">
        <v>705</v>
      </c>
      <c r="T6" s="3149"/>
      <c r="V6" s="3486"/>
      <c r="W6" s="3493"/>
      <c r="X6" s="3494"/>
      <c r="Y6" s="3494"/>
      <c r="Z6" s="3495"/>
      <c r="AA6" s="3497"/>
      <c r="AB6" s="3500"/>
      <c r="AC6" s="459" t="s">
        <v>570</v>
      </c>
      <c r="AD6" s="3496" t="s">
        <v>1</v>
      </c>
      <c r="AE6" s="3496"/>
      <c r="AF6" s="3496"/>
      <c r="AG6" s="459" t="s">
        <v>570</v>
      </c>
      <c r="AH6" s="3496" t="s">
        <v>1</v>
      </c>
      <c r="AI6" s="3496"/>
      <c r="AJ6" s="3496"/>
      <c r="AK6" s="3149"/>
    </row>
    <row r="7" spans="1:37" ht="42" customHeight="1">
      <c r="A7" s="2398">
        <v>1</v>
      </c>
      <c r="B7" s="3251" t="s">
        <v>571</v>
      </c>
      <c r="C7" s="3252"/>
      <c r="D7" s="3252" t="s">
        <v>100</v>
      </c>
      <c r="E7" s="3253"/>
      <c r="F7" s="45" t="s">
        <v>431</v>
      </c>
      <c r="G7" s="102" t="s">
        <v>475</v>
      </c>
      <c r="H7" s="1488">
        <f>'R.FILE GOC'!H57</f>
        <v>15.4</v>
      </c>
      <c r="I7" s="1059" t="s">
        <v>8</v>
      </c>
      <c r="J7" s="56">
        <f>'R.FILE GOC'!K57</f>
        <v>0</v>
      </c>
      <c r="K7" s="57" t="s">
        <v>9</v>
      </c>
      <c r="L7" s="1488"/>
      <c r="M7" s="55"/>
      <c r="N7" s="56"/>
      <c r="O7" s="57"/>
      <c r="P7" s="564"/>
      <c r="Q7" s="565"/>
      <c r="R7" s="564"/>
      <c r="S7" s="565"/>
      <c r="T7" s="271"/>
      <c r="V7" s="2398">
        <v>1</v>
      </c>
      <c r="W7" s="3251" t="s">
        <v>571</v>
      </c>
      <c r="X7" s="3252"/>
      <c r="Y7" s="3252" t="s">
        <v>100</v>
      </c>
      <c r="Z7" s="3253"/>
      <c r="AA7" s="2358" t="s">
        <v>431</v>
      </c>
      <c r="AB7" s="102" t="s">
        <v>475</v>
      </c>
      <c r="AC7" s="1488">
        <f>'R.FILE GOC'!T57</f>
        <v>0</v>
      </c>
      <c r="AD7" s="1059" t="s">
        <v>8</v>
      </c>
      <c r="AE7" s="56">
        <f>'R.FILE GOC'!W57</f>
        <v>108.21599999999999</v>
      </c>
      <c r="AF7" s="57" t="s">
        <v>9</v>
      </c>
      <c r="AG7" s="1488">
        <f>'R.FILE GOC'!Z57</f>
        <v>0</v>
      </c>
      <c r="AH7" s="55" t="s">
        <v>8</v>
      </c>
      <c r="AI7" s="56">
        <f>'R.FILE GOC'!AC57</f>
        <v>108.21599999999999</v>
      </c>
      <c r="AJ7" s="57" t="s">
        <v>9</v>
      </c>
      <c r="AK7" s="271"/>
    </row>
    <row r="8" spans="1:37" ht="42" customHeight="1">
      <c r="A8" s="2398">
        <v>2</v>
      </c>
      <c r="B8" s="3251" t="s">
        <v>572</v>
      </c>
      <c r="C8" s="3252" t="s">
        <v>478</v>
      </c>
      <c r="D8" s="3252" t="s">
        <v>478</v>
      </c>
      <c r="E8" s="3253" t="s">
        <v>478</v>
      </c>
      <c r="F8" s="45" t="s">
        <v>431</v>
      </c>
      <c r="G8" s="102" t="s">
        <v>475</v>
      </c>
      <c r="H8" s="1488">
        <f>'R.FILE GOC'!H58</f>
        <v>15.3</v>
      </c>
      <c r="I8" s="1059" t="s">
        <v>8</v>
      </c>
      <c r="J8" s="56">
        <f>'R.FILE GOC'!K58</f>
        <v>0</v>
      </c>
      <c r="K8" s="57" t="s">
        <v>9</v>
      </c>
      <c r="L8" s="1488"/>
      <c r="M8" s="55"/>
      <c r="N8" s="56"/>
      <c r="O8" s="57"/>
      <c r="P8" s="564"/>
      <c r="Q8" s="565"/>
      <c r="R8" s="564"/>
      <c r="S8" s="565"/>
      <c r="T8" s="20"/>
      <c r="V8" s="2398">
        <v>2</v>
      </c>
      <c r="W8" s="3251" t="s">
        <v>572</v>
      </c>
      <c r="X8" s="3252" t="s">
        <v>478</v>
      </c>
      <c r="Y8" s="3252" t="s">
        <v>478</v>
      </c>
      <c r="Z8" s="3253" t="s">
        <v>478</v>
      </c>
      <c r="AA8" s="2358" t="s">
        <v>431</v>
      </c>
      <c r="AB8" s="102" t="s">
        <v>475</v>
      </c>
      <c r="AC8" s="1488">
        <f>'R.FILE GOC'!T58</f>
        <v>0</v>
      </c>
      <c r="AD8" s="1059" t="s">
        <v>8</v>
      </c>
      <c r="AE8" s="56">
        <f>'R.FILE GOC'!W58</f>
        <v>108.21599999999999</v>
      </c>
      <c r="AF8" s="57" t="s">
        <v>9</v>
      </c>
      <c r="AG8" s="1488">
        <f>'R.FILE GOC'!Z58</f>
        <v>0</v>
      </c>
      <c r="AH8" s="55" t="s">
        <v>8</v>
      </c>
      <c r="AI8" s="56">
        <f>'R.FILE GOC'!AC58</f>
        <v>108.21599999999999</v>
      </c>
      <c r="AJ8" s="57" t="s">
        <v>9</v>
      </c>
      <c r="AK8" s="20"/>
    </row>
    <row r="9" spans="1:37" ht="42" customHeight="1">
      <c r="A9" s="2398">
        <v>3</v>
      </c>
      <c r="B9" s="3251" t="s">
        <v>573</v>
      </c>
      <c r="C9" s="3252" t="s">
        <v>574</v>
      </c>
      <c r="D9" s="3252" t="s">
        <v>574</v>
      </c>
      <c r="E9" s="3253" t="s">
        <v>574</v>
      </c>
      <c r="F9" s="45" t="s">
        <v>431</v>
      </c>
      <c r="G9" s="102" t="s">
        <v>475</v>
      </c>
      <c r="H9" s="1488">
        <f>'R.FILE GOC'!H59</f>
        <v>15</v>
      </c>
      <c r="I9" s="1059" t="s">
        <v>8</v>
      </c>
      <c r="J9" s="56">
        <f>'R.FILE GOC'!K59</f>
        <v>0</v>
      </c>
      <c r="K9" s="57" t="s">
        <v>10</v>
      </c>
      <c r="L9" s="1488"/>
      <c r="M9" s="55"/>
      <c r="N9" s="56"/>
      <c r="O9" s="57"/>
      <c r="P9" s="564"/>
      <c r="Q9" s="565"/>
      <c r="R9" s="564"/>
      <c r="S9" s="565"/>
      <c r="T9" s="20"/>
      <c r="V9" s="2398">
        <v>3</v>
      </c>
      <c r="W9" s="3251" t="s">
        <v>573</v>
      </c>
      <c r="X9" s="3252" t="s">
        <v>574</v>
      </c>
      <c r="Y9" s="3252" t="s">
        <v>574</v>
      </c>
      <c r="Z9" s="3253" t="s">
        <v>574</v>
      </c>
      <c r="AA9" s="2358" t="s">
        <v>431</v>
      </c>
      <c r="AB9" s="102" t="s">
        <v>475</v>
      </c>
      <c r="AC9" s="1488">
        <f>'R.FILE GOC'!T59</f>
        <v>0</v>
      </c>
      <c r="AD9" s="1059" t="s">
        <v>8</v>
      </c>
      <c r="AE9" s="56">
        <f>'R.FILE GOC'!W59</f>
        <v>134.86500000000001</v>
      </c>
      <c r="AF9" s="57" t="s">
        <v>10</v>
      </c>
      <c r="AG9" s="1488">
        <f>'R.FILE GOC'!Z59</f>
        <v>0</v>
      </c>
      <c r="AH9" s="55" t="s">
        <v>8</v>
      </c>
      <c r="AI9" s="56">
        <f>'R.FILE GOC'!AC59</f>
        <v>134.86500000000001</v>
      </c>
      <c r="AJ9" s="57" t="s">
        <v>10</v>
      </c>
      <c r="AK9" s="20"/>
    </row>
    <row r="10" spans="1:37" ht="42" customHeight="1">
      <c r="A10" s="2398">
        <v>4</v>
      </c>
      <c r="B10" s="3251" t="s">
        <v>575</v>
      </c>
      <c r="C10" s="3252" t="s">
        <v>576</v>
      </c>
      <c r="D10" s="3252" t="s">
        <v>576</v>
      </c>
      <c r="E10" s="3253" t="s">
        <v>576</v>
      </c>
      <c r="F10" s="45" t="s">
        <v>431</v>
      </c>
      <c r="G10" s="102" t="s">
        <v>975</v>
      </c>
      <c r="H10" s="301">
        <f>'R.FILE GOC'!H60</f>
        <v>10</v>
      </c>
      <c r="I10" s="55" t="s">
        <v>8</v>
      </c>
      <c r="J10" s="56">
        <f>'R.FILE GOC'!K60</f>
        <v>0</v>
      </c>
      <c r="K10" s="57" t="s">
        <v>9</v>
      </c>
      <c r="L10" s="301"/>
      <c r="M10" s="55"/>
      <c r="N10" s="56"/>
      <c r="O10" s="57"/>
      <c r="P10" s="564"/>
      <c r="Q10" s="565"/>
      <c r="R10" s="564"/>
      <c r="S10" s="565"/>
      <c r="T10" s="271"/>
      <c r="V10" s="2398">
        <v>4</v>
      </c>
      <c r="W10" s="3251" t="s">
        <v>575</v>
      </c>
      <c r="X10" s="3252" t="s">
        <v>576</v>
      </c>
      <c r="Y10" s="3252" t="s">
        <v>576</v>
      </c>
      <c r="Z10" s="3253" t="s">
        <v>576</v>
      </c>
      <c r="AA10" s="2358" t="s">
        <v>431</v>
      </c>
      <c r="AB10" s="102" t="s">
        <v>975</v>
      </c>
      <c r="AC10" s="301">
        <f>'R.FILE GOC'!T60</f>
        <v>0</v>
      </c>
      <c r="AD10" s="55" t="s">
        <v>8</v>
      </c>
      <c r="AE10" s="56">
        <f>'R.FILE GOC'!W60</f>
        <v>124.63199999999999</v>
      </c>
      <c r="AF10" s="57" t="s">
        <v>9</v>
      </c>
      <c r="AG10" s="301">
        <f>'R.FILE GOC'!Z60</f>
        <v>0</v>
      </c>
      <c r="AH10" s="55" t="s">
        <v>8</v>
      </c>
      <c r="AI10" s="56">
        <f>'R.FILE GOC'!AC60</f>
        <v>124.63199999999999</v>
      </c>
      <c r="AJ10" s="57" t="s">
        <v>9</v>
      </c>
      <c r="AK10" s="271"/>
    </row>
    <row r="11" spans="1:37" ht="42" customHeight="1">
      <c r="A11" s="2398">
        <v>5</v>
      </c>
      <c r="B11" s="3478" t="s">
        <v>577</v>
      </c>
      <c r="C11" s="3479" t="s">
        <v>578</v>
      </c>
      <c r="D11" s="3479" t="s">
        <v>578</v>
      </c>
      <c r="E11" s="3480" t="s">
        <v>578</v>
      </c>
      <c r="F11" s="45" t="s">
        <v>431</v>
      </c>
      <c r="G11" s="102" t="s">
        <v>485</v>
      </c>
      <c r="H11" s="413">
        <f>'R.FILE GOC'!H61</f>
        <v>1.1399999999999999</v>
      </c>
      <c r="I11" s="55" t="s">
        <v>8</v>
      </c>
      <c r="J11" s="56">
        <f>'R.FILE GOC'!K61</f>
        <v>0</v>
      </c>
      <c r="K11" s="57" t="s">
        <v>9</v>
      </c>
      <c r="L11" s="413"/>
      <c r="M11" s="55"/>
      <c r="N11" s="56"/>
      <c r="O11" s="57"/>
      <c r="P11" s="564"/>
      <c r="Q11" s="565"/>
      <c r="R11" s="564"/>
      <c r="S11" s="565"/>
      <c r="T11" s="20"/>
      <c r="V11" s="2398">
        <v>5</v>
      </c>
      <c r="W11" s="3478" t="s">
        <v>577</v>
      </c>
      <c r="X11" s="3479" t="s">
        <v>578</v>
      </c>
      <c r="Y11" s="3479" t="s">
        <v>578</v>
      </c>
      <c r="Z11" s="3480" t="s">
        <v>578</v>
      </c>
      <c r="AA11" s="2358" t="s">
        <v>431</v>
      </c>
      <c r="AB11" s="102" t="s">
        <v>485</v>
      </c>
      <c r="AC11" s="413">
        <f>'R.FILE GOC'!T61</f>
        <v>0</v>
      </c>
      <c r="AD11" s="55" t="s">
        <v>8</v>
      </c>
      <c r="AE11" s="56">
        <f>'R.FILE GOC'!W61</f>
        <v>0</v>
      </c>
      <c r="AF11" s="57" t="s">
        <v>9</v>
      </c>
      <c r="AG11" s="413">
        <f>'R.FILE GOC'!Z61</f>
        <v>0</v>
      </c>
      <c r="AH11" s="55" t="s">
        <v>8</v>
      </c>
      <c r="AI11" s="56">
        <f>'R.FILE GOC'!AC61</f>
        <v>0</v>
      </c>
      <c r="AJ11" s="57" t="s">
        <v>9</v>
      </c>
      <c r="AK11" s="20"/>
    </row>
    <row r="12" spans="1:37" ht="42" customHeight="1">
      <c r="A12" s="2398">
        <v>6</v>
      </c>
      <c r="B12" s="3478" t="s">
        <v>579</v>
      </c>
      <c r="C12" s="3479" t="s">
        <v>580</v>
      </c>
      <c r="D12" s="3479" t="s">
        <v>580</v>
      </c>
      <c r="E12" s="3480" t="s">
        <v>580</v>
      </c>
      <c r="F12" s="45" t="s">
        <v>431</v>
      </c>
      <c r="G12" s="102" t="s">
        <v>488</v>
      </c>
      <c r="H12" s="301">
        <f>'R.FILE GOC'!H62</f>
        <v>23.5</v>
      </c>
      <c r="I12" s="55" t="s">
        <v>8</v>
      </c>
      <c r="J12" s="56">
        <f>'R.FILE GOC'!K62</f>
        <v>0</v>
      </c>
      <c r="K12" s="57" t="s">
        <v>9</v>
      </c>
      <c r="L12" s="301"/>
      <c r="M12" s="55"/>
      <c r="N12" s="56"/>
      <c r="O12" s="57"/>
      <c r="P12" s="564"/>
      <c r="Q12" s="565"/>
      <c r="R12" s="564"/>
      <c r="S12" s="565"/>
      <c r="T12" s="271"/>
      <c r="V12" s="2398">
        <v>6</v>
      </c>
      <c r="W12" s="3478" t="s">
        <v>579</v>
      </c>
      <c r="X12" s="3479" t="s">
        <v>580</v>
      </c>
      <c r="Y12" s="3479" t="s">
        <v>580</v>
      </c>
      <c r="Z12" s="3480" t="s">
        <v>580</v>
      </c>
      <c r="AA12" s="2358" t="s">
        <v>431</v>
      </c>
      <c r="AB12" s="102" t="s">
        <v>488</v>
      </c>
      <c r="AC12" s="301">
        <f>'R.FILE GOC'!T62</f>
        <v>0</v>
      </c>
      <c r="AD12" s="55" t="s">
        <v>8</v>
      </c>
      <c r="AE12" s="56">
        <f>'R.FILE GOC'!W62</f>
        <v>213.84</v>
      </c>
      <c r="AF12" s="57" t="s">
        <v>9</v>
      </c>
      <c r="AG12" s="301">
        <f>'R.FILE GOC'!Z62</f>
        <v>0</v>
      </c>
      <c r="AH12" s="55" t="s">
        <v>8</v>
      </c>
      <c r="AI12" s="56">
        <f>'R.FILE GOC'!AC62</f>
        <v>213.84</v>
      </c>
      <c r="AJ12" s="57" t="s">
        <v>9</v>
      </c>
      <c r="AK12" s="271"/>
    </row>
    <row r="13" spans="1:37" ht="42" customHeight="1">
      <c r="A13" s="2398">
        <v>7</v>
      </c>
      <c r="B13" s="3478" t="s">
        <v>581</v>
      </c>
      <c r="C13" s="3479" t="s">
        <v>582</v>
      </c>
      <c r="D13" s="3479" t="s">
        <v>582</v>
      </c>
      <c r="E13" s="3480" t="s">
        <v>582</v>
      </c>
      <c r="F13" s="45" t="s">
        <v>431</v>
      </c>
      <c r="G13" s="102" t="s">
        <v>491</v>
      </c>
      <c r="H13" s="301">
        <f>'R.FILE GOC'!H63</f>
        <v>8.3000000000000007</v>
      </c>
      <c r="I13" s="55" t="s">
        <v>8</v>
      </c>
      <c r="J13" s="56">
        <f>'R.FILE GOC'!K63</f>
        <v>0</v>
      </c>
      <c r="K13" s="57" t="s">
        <v>9</v>
      </c>
      <c r="L13" s="301"/>
      <c r="M13" s="55"/>
      <c r="N13" s="56"/>
      <c r="O13" s="57"/>
      <c r="P13" s="564"/>
      <c r="Q13" s="565"/>
      <c r="R13" s="564"/>
      <c r="S13" s="565"/>
      <c r="T13" s="20"/>
      <c r="V13" s="2398">
        <v>7</v>
      </c>
      <c r="W13" s="3478" t="s">
        <v>581</v>
      </c>
      <c r="X13" s="3479" t="s">
        <v>582</v>
      </c>
      <c r="Y13" s="3479" t="s">
        <v>582</v>
      </c>
      <c r="Z13" s="3480" t="s">
        <v>582</v>
      </c>
      <c r="AA13" s="2358" t="s">
        <v>431</v>
      </c>
      <c r="AB13" s="102" t="s">
        <v>491</v>
      </c>
      <c r="AC13" s="301">
        <f>'R.FILE GOC'!T63</f>
        <v>0</v>
      </c>
      <c r="AD13" s="55" t="s">
        <v>8</v>
      </c>
      <c r="AE13" s="56">
        <f>'R.FILE GOC'!W63</f>
        <v>7.8367500000000003</v>
      </c>
      <c r="AF13" s="57" t="s">
        <v>9</v>
      </c>
      <c r="AG13" s="301">
        <f>'R.FILE GOC'!Z63</f>
        <v>0</v>
      </c>
      <c r="AH13" s="55" t="s">
        <v>8</v>
      </c>
      <c r="AI13" s="56">
        <f>'R.FILE GOC'!AC63</f>
        <v>7.8367500000000003</v>
      </c>
      <c r="AJ13" s="57" t="s">
        <v>9</v>
      </c>
      <c r="AK13" s="20"/>
    </row>
    <row r="14" spans="1:37" ht="42" customHeight="1">
      <c r="A14" s="2398">
        <v>8</v>
      </c>
      <c r="B14" s="3251" t="s">
        <v>583</v>
      </c>
      <c r="C14" s="3252" t="s">
        <v>493</v>
      </c>
      <c r="D14" s="3252" t="s">
        <v>493</v>
      </c>
      <c r="E14" s="3253" t="s">
        <v>493</v>
      </c>
      <c r="F14" s="45" t="s">
        <v>5</v>
      </c>
      <c r="G14" s="102" t="s">
        <v>494</v>
      </c>
      <c r="H14" s="301">
        <f>'R.FILE GOC'!H64</f>
        <v>7.3</v>
      </c>
      <c r="I14" s="55"/>
      <c r="J14" s="56"/>
      <c r="K14" s="57"/>
      <c r="L14" s="301"/>
      <c r="M14" s="55"/>
      <c r="N14" s="56"/>
      <c r="O14" s="57"/>
      <c r="P14" s="564"/>
      <c r="Q14" s="565"/>
      <c r="R14" s="564"/>
      <c r="S14" s="565"/>
      <c r="T14" s="20"/>
      <c r="V14" s="2398">
        <v>8</v>
      </c>
      <c r="W14" s="3251" t="s">
        <v>583</v>
      </c>
      <c r="X14" s="3252" t="s">
        <v>493</v>
      </c>
      <c r="Y14" s="3252" t="s">
        <v>493</v>
      </c>
      <c r="Z14" s="3253" t="s">
        <v>493</v>
      </c>
      <c r="AA14" s="2358" t="s">
        <v>5</v>
      </c>
      <c r="AB14" s="102" t="s">
        <v>494</v>
      </c>
      <c r="AC14" s="301">
        <f>'R.FILE GOC'!T64</f>
        <v>0</v>
      </c>
      <c r="AD14" s="55"/>
      <c r="AE14" s="56">
        <f>'R.FILE GOC'!W64</f>
        <v>0</v>
      </c>
      <c r="AF14" s="57"/>
      <c r="AG14" s="301">
        <f>'R.FILE GOC'!Z64</f>
        <v>0</v>
      </c>
      <c r="AH14" s="55"/>
      <c r="AI14" s="56">
        <f>'R.FILE GOC'!AC64</f>
        <v>0</v>
      </c>
      <c r="AJ14" s="57"/>
      <c r="AK14" s="20"/>
    </row>
    <row r="15" spans="1:37" ht="42" customHeight="1">
      <c r="A15" s="2398">
        <v>9</v>
      </c>
      <c r="B15" s="3478" t="s">
        <v>584</v>
      </c>
      <c r="C15" s="3479" t="s">
        <v>582</v>
      </c>
      <c r="D15" s="3479" t="s">
        <v>582</v>
      </c>
      <c r="E15" s="3480" t="s">
        <v>582</v>
      </c>
      <c r="F15" s="45" t="s">
        <v>5</v>
      </c>
      <c r="G15" s="102" t="s">
        <v>497</v>
      </c>
      <c r="H15" s="460">
        <f>'R.FILE GOC'!H65</f>
        <v>5.4</v>
      </c>
      <c r="I15" s="55"/>
      <c r="J15" s="56"/>
      <c r="K15" s="57"/>
      <c r="L15" s="460"/>
      <c r="M15" s="55"/>
      <c r="N15" s="56"/>
      <c r="O15" s="57"/>
      <c r="P15" s="564"/>
      <c r="Q15" s="565"/>
      <c r="R15" s="564"/>
      <c r="S15" s="565"/>
      <c r="T15" s="20"/>
      <c r="V15" s="2398">
        <v>9</v>
      </c>
      <c r="W15" s="3478" t="s">
        <v>584</v>
      </c>
      <c r="X15" s="3479" t="s">
        <v>582</v>
      </c>
      <c r="Y15" s="3479" t="s">
        <v>582</v>
      </c>
      <c r="Z15" s="3480" t="s">
        <v>582</v>
      </c>
      <c r="AA15" s="2358" t="s">
        <v>5</v>
      </c>
      <c r="AB15" s="102" t="s">
        <v>497</v>
      </c>
      <c r="AC15" s="460">
        <f>'R.FILE GOC'!T65</f>
        <v>0</v>
      </c>
      <c r="AD15" s="55"/>
      <c r="AE15" s="56">
        <f>'R.FILE GOC'!W65</f>
        <v>0</v>
      </c>
      <c r="AF15" s="57"/>
      <c r="AG15" s="460">
        <f>'R.FILE GOC'!Z65</f>
        <v>0</v>
      </c>
      <c r="AH15" s="55"/>
      <c r="AI15" s="56"/>
      <c r="AJ15" s="57"/>
      <c r="AK15" s="20"/>
    </row>
    <row r="16" spans="1:37" ht="36.75" hidden="1" customHeight="1">
      <c r="A16" s="2398">
        <v>10</v>
      </c>
      <c r="B16" s="3478" t="s">
        <v>585</v>
      </c>
      <c r="C16" s="3479" t="s">
        <v>582</v>
      </c>
      <c r="D16" s="3479" t="s">
        <v>582</v>
      </c>
      <c r="E16" s="3480" t="s">
        <v>582</v>
      </c>
      <c r="F16" s="45" t="s">
        <v>5</v>
      </c>
      <c r="G16" s="102" t="s">
        <v>497</v>
      </c>
      <c r="H16" s="461">
        <f>'R.FILE GOC'!H66</f>
        <v>0</v>
      </c>
      <c r="I16" s="55"/>
      <c r="J16" s="56"/>
      <c r="K16" s="57"/>
      <c r="L16" s="461"/>
      <c r="M16" s="55"/>
      <c r="N16" s="56"/>
      <c r="O16" s="57"/>
      <c r="P16" s="564"/>
      <c r="Q16" s="565"/>
      <c r="R16" s="564"/>
      <c r="S16" s="565"/>
      <c r="T16" s="20"/>
      <c r="V16" s="2398">
        <v>10</v>
      </c>
      <c r="W16" s="3478" t="s">
        <v>585</v>
      </c>
      <c r="X16" s="3479" t="s">
        <v>582</v>
      </c>
      <c r="Y16" s="3479" t="s">
        <v>582</v>
      </c>
      <c r="Z16" s="3480" t="s">
        <v>582</v>
      </c>
      <c r="AA16" s="2358" t="s">
        <v>5</v>
      </c>
      <c r="AB16" s="102" t="s">
        <v>497</v>
      </c>
      <c r="AC16" s="461">
        <f>'R.FILE GOC'!Y66</f>
        <v>0</v>
      </c>
      <c r="AD16" s="55"/>
      <c r="AE16" s="56"/>
      <c r="AF16" s="57"/>
      <c r="AG16" s="461">
        <f>'R.FILE GOC'!AE66</f>
        <v>0</v>
      </c>
      <c r="AH16" s="55"/>
      <c r="AI16" s="56"/>
      <c r="AJ16" s="57"/>
      <c r="AK16" s="20"/>
    </row>
    <row r="17" spans="1:37" ht="39.75" customHeight="1">
      <c r="A17" s="2398">
        <v>11</v>
      </c>
      <c r="B17" s="3478" t="s">
        <v>373</v>
      </c>
      <c r="C17" s="3479"/>
      <c r="D17" s="3479"/>
      <c r="E17" s="3480"/>
      <c r="F17" s="45" t="s">
        <v>3</v>
      </c>
      <c r="G17" s="429" t="s">
        <v>374</v>
      </c>
      <c r="H17" s="430">
        <f>'R.FILE GOC'!H67</f>
        <v>15.457983884229568</v>
      </c>
      <c r="I17" s="55" t="s">
        <v>8</v>
      </c>
      <c r="J17" s="56">
        <f>'R.FILE GOC'!K67</f>
        <v>0</v>
      </c>
      <c r="K17" s="57" t="s">
        <v>10</v>
      </c>
      <c r="L17" s="989"/>
      <c r="M17" s="55"/>
      <c r="N17" s="56"/>
      <c r="O17" s="57"/>
      <c r="P17" s="2775" t="s">
        <v>976</v>
      </c>
      <c r="Q17" s="2776"/>
      <c r="R17" s="2775" t="s">
        <v>976</v>
      </c>
      <c r="S17" s="565"/>
      <c r="T17" s="989"/>
      <c r="V17" s="2398">
        <v>11</v>
      </c>
      <c r="W17" s="3478" t="s">
        <v>373</v>
      </c>
      <c r="X17" s="3479"/>
      <c r="Y17" s="3479"/>
      <c r="Z17" s="3480"/>
      <c r="AA17" s="2358" t="s">
        <v>3</v>
      </c>
      <c r="AB17" s="429" t="s">
        <v>374</v>
      </c>
      <c r="AC17" s="989" t="s">
        <v>976</v>
      </c>
      <c r="AD17" s="55" t="s">
        <v>8</v>
      </c>
      <c r="AE17" s="56">
        <f>'R.FILE GOC'!AB67</f>
        <v>0</v>
      </c>
      <c r="AF17" s="57" t="s">
        <v>10</v>
      </c>
      <c r="AG17" s="989" t="s">
        <v>976</v>
      </c>
      <c r="AH17" s="55"/>
      <c r="AI17" s="56"/>
      <c r="AJ17" s="57"/>
      <c r="AK17" s="989"/>
    </row>
    <row r="18" spans="1:37" ht="39.75" customHeight="1">
      <c r="A18" s="2398">
        <v>12</v>
      </c>
      <c r="B18" s="3478" t="s">
        <v>375</v>
      </c>
      <c r="C18" s="3479"/>
      <c r="D18" s="3479"/>
      <c r="E18" s="3480"/>
      <c r="F18" s="45" t="s">
        <v>3</v>
      </c>
      <c r="G18" s="429" t="s">
        <v>376</v>
      </c>
      <c r="H18" s="430">
        <f>'R.FILE GOC'!H68</f>
        <v>12</v>
      </c>
      <c r="I18" s="55" t="s">
        <v>8</v>
      </c>
      <c r="J18" s="56">
        <f>'R.FILE GOC'!K68</f>
        <v>0</v>
      </c>
      <c r="K18" s="57" t="s">
        <v>10</v>
      </c>
      <c r="L18" s="989"/>
      <c r="M18" s="55"/>
      <c r="N18" s="56"/>
      <c r="O18" s="57"/>
      <c r="P18" s="2775" t="s">
        <v>977</v>
      </c>
      <c r="Q18" s="2776"/>
      <c r="R18" s="2775" t="s">
        <v>977</v>
      </c>
      <c r="S18" s="565"/>
      <c r="T18" s="20"/>
      <c r="V18" s="2398">
        <v>12</v>
      </c>
      <c r="W18" s="3478" t="s">
        <v>375</v>
      </c>
      <c r="X18" s="3479"/>
      <c r="Y18" s="3479"/>
      <c r="Z18" s="3480"/>
      <c r="AA18" s="2358" t="s">
        <v>3</v>
      </c>
      <c r="AB18" s="429" t="s">
        <v>376</v>
      </c>
      <c r="AC18" s="989" t="s">
        <v>977</v>
      </c>
      <c r="AD18" s="55" t="s">
        <v>8</v>
      </c>
      <c r="AE18" s="56">
        <f>'R.FILE GOC'!AB68</f>
        <v>0</v>
      </c>
      <c r="AF18" s="57" t="s">
        <v>10</v>
      </c>
      <c r="AG18" s="989" t="s">
        <v>977</v>
      </c>
      <c r="AH18" s="55"/>
      <c r="AI18" s="56"/>
      <c r="AJ18" s="57"/>
      <c r="AK18" s="20"/>
    </row>
    <row r="19" spans="1:37" ht="36.75" hidden="1" customHeight="1">
      <c r="A19" s="2398">
        <v>13</v>
      </c>
      <c r="B19" s="3478" t="s">
        <v>377</v>
      </c>
      <c r="C19" s="3479"/>
      <c r="D19" s="3479"/>
      <c r="E19" s="3480"/>
      <c r="F19" s="45" t="s">
        <v>3</v>
      </c>
      <c r="G19" s="429" t="s">
        <v>374</v>
      </c>
      <c r="H19" s="431" t="str">
        <f>'R.FILE GOC'!H69</f>
        <v/>
      </c>
      <c r="I19" s="55"/>
      <c r="J19" s="56" t="str">
        <f>'R.FILE GOC'!K69</f>
        <v/>
      </c>
      <c r="K19" s="57"/>
      <c r="L19" s="989"/>
      <c r="M19" s="55"/>
      <c r="N19" s="56"/>
      <c r="O19" s="57"/>
      <c r="P19" s="2775"/>
      <c r="Q19" s="2776"/>
      <c r="R19" s="2775"/>
      <c r="S19" s="565"/>
      <c r="T19" s="20"/>
      <c r="V19" s="2398">
        <v>13</v>
      </c>
      <c r="W19" s="3478" t="s">
        <v>377</v>
      </c>
      <c r="X19" s="3479"/>
      <c r="Y19" s="3479"/>
      <c r="Z19" s="3480"/>
      <c r="AA19" s="2358" t="s">
        <v>3</v>
      </c>
      <c r="AB19" s="429" t="s">
        <v>374</v>
      </c>
      <c r="AC19" s="989"/>
      <c r="AD19" s="55"/>
      <c r="AE19" s="56">
        <f>'R.FILE GOC'!AB69</f>
        <v>0</v>
      </c>
      <c r="AF19" s="57"/>
      <c r="AG19" s="989"/>
      <c r="AH19" s="55"/>
      <c r="AI19" s="56"/>
      <c r="AJ19" s="57"/>
      <c r="AK19" s="20"/>
    </row>
    <row r="20" spans="1:37" ht="36.75" hidden="1" customHeight="1">
      <c r="A20" s="2398">
        <v>14</v>
      </c>
      <c r="B20" s="3478" t="s">
        <v>378</v>
      </c>
      <c r="C20" s="3479"/>
      <c r="D20" s="3479"/>
      <c r="E20" s="3480"/>
      <c r="F20" s="45" t="s">
        <v>3</v>
      </c>
      <c r="G20" s="429" t="s">
        <v>376</v>
      </c>
      <c r="H20" s="431" t="str">
        <f>'R.FILE GOC'!H70</f>
        <v/>
      </c>
      <c r="I20" s="55"/>
      <c r="J20" s="56" t="str">
        <f>'R.FILE GOC'!K70</f>
        <v/>
      </c>
      <c r="K20" s="57"/>
      <c r="L20" s="989"/>
      <c r="M20" s="55"/>
      <c r="N20" s="56"/>
      <c r="O20" s="57"/>
      <c r="P20" s="2775"/>
      <c r="Q20" s="2776"/>
      <c r="R20" s="2775"/>
      <c r="S20" s="565"/>
      <c r="T20" s="20"/>
      <c r="V20" s="2398">
        <v>14</v>
      </c>
      <c r="W20" s="3478" t="s">
        <v>378</v>
      </c>
      <c r="X20" s="3479"/>
      <c r="Y20" s="3479"/>
      <c r="Z20" s="3480"/>
      <c r="AA20" s="2358" t="s">
        <v>3</v>
      </c>
      <c r="AB20" s="429" t="s">
        <v>376</v>
      </c>
      <c r="AC20" s="989"/>
      <c r="AD20" s="55"/>
      <c r="AE20" s="56">
        <f>'R.FILE GOC'!AB70</f>
        <v>0</v>
      </c>
      <c r="AF20" s="57"/>
      <c r="AG20" s="989"/>
      <c r="AH20" s="55"/>
      <c r="AI20" s="56"/>
      <c r="AJ20" s="57"/>
      <c r="AK20" s="20"/>
    </row>
    <row r="21" spans="1:37" ht="41.25" customHeight="1">
      <c r="A21" s="2398">
        <v>15</v>
      </c>
      <c r="B21" s="3478" t="s">
        <v>379</v>
      </c>
      <c r="C21" s="3479" t="s">
        <v>379</v>
      </c>
      <c r="D21" s="3479" t="s">
        <v>379</v>
      </c>
      <c r="E21" s="3480" t="s">
        <v>379</v>
      </c>
      <c r="F21" s="45" t="s">
        <v>3</v>
      </c>
      <c r="G21" s="102" t="s">
        <v>380</v>
      </c>
      <c r="H21" s="60">
        <f>'R.FILE GOC'!H71</f>
        <v>0.84937712344280936</v>
      </c>
      <c r="I21" s="55"/>
      <c r="J21" s="56"/>
      <c r="K21" s="57"/>
      <c r="L21" s="989"/>
      <c r="M21" s="55"/>
      <c r="N21" s="56"/>
      <c r="O21" s="57"/>
      <c r="P21" s="2775" t="s">
        <v>976</v>
      </c>
      <c r="Q21" s="2776"/>
      <c r="R21" s="2775" t="s">
        <v>976</v>
      </c>
      <c r="S21" s="565"/>
      <c r="T21" s="20"/>
      <c r="V21" s="2398">
        <v>15</v>
      </c>
      <c r="W21" s="3478" t="s">
        <v>379</v>
      </c>
      <c r="X21" s="3479" t="s">
        <v>379</v>
      </c>
      <c r="Y21" s="3479" t="s">
        <v>379</v>
      </c>
      <c r="Z21" s="3480" t="s">
        <v>379</v>
      </c>
      <c r="AA21" s="2358" t="s">
        <v>3</v>
      </c>
      <c r="AB21" s="102" t="s">
        <v>380</v>
      </c>
      <c r="AC21" s="989" t="s">
        <v>976</v>
      </c>
      <c r="AD21" s="55"/>
      <c r="AE21" s="56"/>
      <c r="AF21" s="57"/>
      <c r="AG21" s="989" t="s">
        <v>976</v>
      </c>
      <c r="AH21" s="55"/>
      <c r="AI21" s="56"/>
      <c r="AJ21" s="57"/>
      <c r="AK21" s="20"/>
    </row>
    <row r="22" spans="1:37" ht="41.25" customHeight="1">
      <c r="A22" s="2398">
        <v>16</v>
      </c>
      <c r="B22" s="3478" t="s">
        <v>382</v>
      </c>
      <c r="C22" s="3479" t="s">
        <v>382</v>
      </c>
      <c r="D22" s="3479" t="s">
        <v>382</v>
      </c>
      <c r="E22" s="3480" t="s">
        <v>382</v>
      </c>
      <c r="F22" s="45" t="s">
        <v>3</v>
      </c>
      <c r="G22" s="102" t="s">
        <v>383</v>
      </c>
      <c r="H22" s="60">
        <f>'R.FILE GOC'!H72</f>
        <v>0.50395968322534201</v>
      </c>
      <c r="I22" s="55"/>
      <c r="J22" s="56"/>
      <c r="K22" s="57"/>
      <c r="L22" s="989"/>
      <c r="M22" s="55"/>
      <c r="N22" s="56"/>
      <c r="O22" s="57"/>
      <c r="P22" s="2775" t="s">
        <v>976</v>
      </c>
      <c r="Q22" s="2776"/>
      <c r="R22" s="2775" t="s">
        <v>976</v>
      </c>
      <c r="S22" s="565"/>
      <c r="T22" s="20"/>
      <c r="V22" s="2398">
        <v>16</v>
      </c>
      <c r="W22" s="3478" t="s">
        <v>382</v>
      </c>
      <c r="X22" s="3479" t="s">
        <v>382</v>
      </c>
      <c r="Y22" s="3479" t="s">
        <v>382</v>
      </c>
      <c r="Z22" s="3480" t="s">
        <v>382</v>
      </c>
      <c r="AA22" s="2358" t="s">
        <v>3</v>
      </c>
      <c r="AB22" s="102" t="s">
        <v>383</v>
      </c>
      <c r="AC22" s="989" t="s">
        <v>976</v>
      </c>
      <c r="AD22" s="55"/>
      <c r="AE22" s="56"/>
      <c r="AF22" s="57"/>
      <c r="AG22" s="989" t="s">
        <v>976</v>
      </c>
      <c r="AH22" s="55"/>
      <c r="AI22" s="56"/>
      <c r="AJ22" s="57"/>
      <c r="AK22" s="20"/>
    </row>
    <row r="23" spans="1:37" ht="47.25" customHeight="1">
      <c r="A23" s="2399"/>
      <c r="B23" s="462"/>
      <c r="C23" s="463"/>
      <c r="D23" s="463"/>
      <c r="E23" s="463"/>
      <c r="F23" s="463"/>
      <c r="G23" s="463"/>
      <c r="H23" s="464" t="s">
        <v>109</v>
      </c>
      <c r="I23" s="463"/>
      <c r="J23" s="463"/>
      <c r="K23" s="463"/>
      <c r="L23" s="463"/>
      <c r="M23" s="463"/>
      <c r="N23" s="463"/>
      <c r="O23" s="463"/>
      <c r="P23" s="463"/>
      <c r="Q23" s="463"/>
      <c r="R23" s="463"/>
      <c r="S23" s="463"/>
      <c r="T23" s="465"/>
      <c r="V23" s="2399"/>
      <c r="W23" s="462"/>
      <c r="X23" s="463"/>
      <c r="Y23" s="463"/>
      <c r="Z23" s="463"/>
      <c r="AA23" s="463"/>
      <c r="AB23" s="463"/>
      <c r="AC23" s="464" t="s">
        <v>109</v>
      </c>
      <c r="AD23" s="463"/>
      <c r="AE23" s="463"/>
      <c r="AF23" s="463"/>
      <c r="AG23" s="463"/>
      <c r="AH23" s="463"/>
      <c r="AI23" s="463"/>
      <c r="AJ23" s="463"/>
      <c r="AK23" s="465"/>
    </row>
    <row r="24" spans="1:37" ht="59.25" customHeight="1">
      <c r="A24" s="2400" t="s">
        <v>7</v>
      </c>
      <c r="B24" s="3481" t="s">
        <v>61</v>
      </c>
      <c r="C24" s="3482"/>
      <c r="D24" s="3482"/>
      <c r="E24" s="3483"/>
      <c r="F24" s="467" t="s">
        <v>63</v>
      </c>
      <c r="G24" s="322" t="s">
        <v>64</v>
      </c>
      <c r="H24" s="383" t="s">
        <v>45</v>
      </c>
      <c r="I24" s="3297" t="s">
        <v>62</v>
      </c>
      <c r="J24" s="3300"/>
      <c r="K24" s="3300"/>
      <c r="L24" s="383" t="s">
        <v>45</v>
      </c>
      <c r="M24" s="3297" t="s">
        <v>62</v>
      </c>
      <c r="N24" s="3300"/>
      <c r="O24" s="3300"/>
      <c r="P24" s="564"/>
      <c r="Q24" s="565"/>
      <c r="R24" s="564"/>
      <c r="S24" s="565"/>
      <c r="T24" s="326" t="s">
        <v>90</v>
      </c>
      <c r="V24" s="2400" t="s">
        <v>7</v>
      </c>
      <c r="W24" s="3481" t="s">
        <v>61</v>
      </c>
      <c r="X24" s="3482"/>
      <c r="Y24" s="3482"/>
      <c r="Z24" s="3483"/>
      <c r="AA24" s="467" t="s">
        <v>63</v>
      </c>
      <c r="AB24" s="2354" t="s">
        <v>64</v>
      </c>
      <c r="AC24" s="383" t="s">
        <v>45</v>
      </c>
      <c r="AD24" s="3297" t="s">
        <v>62</v>
      </c>
      <c r="AE24" s="3300"/>
      <c r="AF24" s="3300"/>
      <c r="AG24" s="383" t="s">
        <v>45</v>
      </c>
      <c r="AH24" s="3297" t="s">
        <v>62</v>
      </c>
      <c r="AI24" s="3300"/>
      <c r="AJ24" s="3300"/>
      <c r="AK24" s="326" t="s">
        <v>90</v>
      </c>
    </row>
    <row r="25" spans="1:37" ht="51" customHeight="1">
      <c r="A25" s="2400">
        <v>1</v>
      </c>
      <c r="B25" s="3288" t="s">
        <v>474</v>
      </c>
      <c r="C25" s="3289"/>
      <c r="D25" s="3289"/>
      <c r="E25" s="3290"/>
      <c r="F25" s="21" t="s">
        <v>105</v>
      </c>
      <c r="G25" s="102" t="s">
        <v>507</v>
      </c>
      <c r="H25" s="2367">
        <f>'R.FILE GOC'!H75</f>
        <v>58</v>
      </c>
      <c r="I25" s="3475">
        <v>58</v>
      </c>
      <c r="J25" s="3476"/>
      <c r="K25" s="3477"/>
      <c r="L25" s="2367"/>
      <c r="M25" s="3475"/>
      <c r="N25" s="3476"/>
      <c r="O25" s="3477"/>
      <c r="P25" s="564"/>
      <c r="Q25" s="565"/>
      <c r="R25" s="564"/>
      <c r="S25" s="565"/>
      <c r="T25" s="20"/>
      <c r="V25" s="2400">
        <v>1</v>
      </c>
      <c r="W25" s="3288" t="s">
        <v>474</v>
      </c>
      <c r="X25" s="3289"/>
      <c r="Y25" s="3289"/>
      <c r="Z25" s="3290"/>
      <c r="AA25" s="21" t="s">
        <v>105</v>
      </c>
      <c r="AB25" s="102" t="s">
        <v>507</v>
      </c>
      <c r="AC25" s="2367">
        <f>'R.FILE GOC'!T75</f>
        <v>0</v>
      </c>
      <c r="AD25" s="3475">
        <f>'R.FILE GOC'!W75</f>
        <v>0</v>
      </c>
      <c r="AE25" s="3476"/>
      <c r="AF25" s="3477"/>
      <c r="AG25" s="2367">
        <f>'R.FILE GOC'!Z75</f>
        <v>0</v>
      </c>
      <c r="AH25" s="3475">
        <f>'R.FILE GOC'!AC75</f>
        <v>0</v>
      </c>
      <c r="AI25" s="3476"/>
      <c r="AJ25" s="3477"/>
      <c r="AK25" s="20"/>
    </row>
    <row r="26" spans="1:37" ht="51" customHeight="1">
      <c r="A26" s="2400">
        <v>2</v>
      </c>
      <c r="B26" s="3288" t="s">
        <v>478</v>
      </c>
      <c r="C26" s="3289" t="s">
        <v>478</v>
      </c>
      <c r="D26" s="3289" t="s">
        <v>478</v>
      </c>
      <c r="E26" s="3290" t="s">
        <v>478</v>
      </c>
      <c r="F26" s="21" t="s">
        <v>105</v>
      </c>
      <c r="G26" s="102" t="s">
        <v>507</v>
      </c>
      <c r="H26" s="2367">
        <f>'R.FILE GOC'!H76</f>
        <v>58</v>
      </c>
      <c r="I26" s="3475">
        <f>'R.FILE GOC'!K76</f>
        <v>57</v>
      </c>
      <c r="J26" s="3476"/>
      <c r="K26" s="3477"/>
      <c r="L26" s="2367"/>
      <c r="M26" s="3475"/>
      <c r="N26" s="3476"/>
      <c r="O26" s="3477"/>
      <c r="P26" s="564"/>
      <c r="Q26" s="565"/>
      <c r="R26" s="564"/>
      <c r="S26" s="565"/>
      <c r="T26" s="20"/>
      <c r="V26" s="2400">
        <v>2</v>
      </c>
      <c r="W26" s="3288" t="s">
        <v>478</v>
      </c>
      <c r="X26" s="3289" t="s">
        <v>478</v>
      </c>
      <c r="Y26" s="3289" t="s">
        <v>478</v>
      </c>
      <c r="Z26" s="3290" t="s">
        <v>478</v>
      </c>
      <c r="AA26" s="21" t="s">
        <v>105</v>
      </c>
      <c r="AB26" s="102" t="s">
        <v>507</v>
      </c>
      <c r="AC26" s="2367">
        <f>'R.FILE GOC'!T76</f>
        <v>0</v>
      </c>
      <c r="AD26" s="3475">
        <f>'R.FILE GOC'!W76</f>
        <v>0</v>
      </c>
      <c r="AE26" s="3476"/>
      <c r="AF26" s="3477"/>
      <c r="AG26" s="2367">
        <f>'R.FILE GOC'!Z76</f>
        <v>0</v>
      </c>
      <c r="AH26" s="3475">
        <f>'R.FILE GOC'!AC76</f>
        <v>0</v>
      </c>
      <c r="AI26" s="3476"/>
      <c r="AJ26" s="3477"/>
      <c r="AK26" s="20"/>
    </row>
    <row r="27" spans="1:37" ht="51" customHeight="1">
      <c r="A27" s="2400">
        <v>3</v>
      </c>
      <c r="B27" s="3288" t="s">
        <v>480</v>
      </c>
      <c r="C27" s="3289" t="s">
        <v>480</v>
      </c>
      <c r="D27" s="3289" t="s">
        <v>480</v>
      </c>
      <c r="E27" s="3290" t="s">
        <v>480</v>
      </c>
      <c r="F27" s="21" t="s">
        <v>105</v>
      </c>
      <c r="G27" s="102" t="s">
        <v>507</v>
      </c>
      <c r="H27" s="2367">
        <f>'R.FILE GOC'!H77</f>
        <v>58</v>
      </c>
      <c r="I27" s="3475">
        <f>'R.FILE GOC'!K77</f>
        <v>58</v>
      </c>
      <c r="J27" s="3476"/>
      <c r="K27" s="3477"/>
      <c r="L27" s="2367"/>
      <c r="M27" s="3475"/>
      <c r="N27" s="3476"/>
      <c r="O27" s="3477"/>
      <c r="P27" s="564"/>
      <c r="Q27" s="565"/>
      <c r="R27" s="564"/>
      <c r="S27" s="565"/>
      <c r="T27" s="20"/>
      <c r="V27" s="2400">
        <v>3</v>
      </c>
      <c r="W27" s="3288" t="s">
        <v>480</v>
      </c>
      <c r="X27" s="3289" t="s">
        <v>480</v>
      </c>
      <c r="Y27" s="3289" t="s">
        <v>480</v>
      </c>
      <c r="Z27" s="3290" t="s">
        <v>480</v>
      </c>
      <c r="AA27" s="21" t="s">
        <v>105</v>
      </c>
      <c r="AB27" s="102" t="s">
        <v>507</v>
      </c>
      <c r="AC27" s="2367">
        <f>'R.FILE GOC'!T77</f>
        <v>0</v>
      </c>
      <c r="AD27" s="3475">
        <f>'R.FILE GOC'!W77</f>
        <v>0</v>
      </c>
      <c r="AE27" s="3476"/>
      <c r="AF27" s="3477"/>
      <c r="AG27" s="2367">
        <f>'R.FILE GOC'!Z77</f>
        <v>0</v>
      </c>
      <c r="AH27" s="3475">
        <f>'R.FILE GOC'!AC77</f>
        <v>0</v>
      </c>
      <c r="AI27" s="3476"/>
      <c r="AJ27" s="3477"/>
      <c r="AK27" s="20"/>
    </row>
    <row r="28" spans="1:37" ht="51" customHeight="1">
      <c r="A28" s="2400">
        <v>4</v>
      </c>
      <c r="B28" s="3288" t="s">
        <v>973</v>
      </c>
      <c r="C28" s="3289" t="s">
        <v>511</v>
      </c>
      <c r="D28" s="3289" t="s">
        <v>511</v>
      </c>
      <c r="E28" s="3290" t="s">
        <v>511</v>
      </c>
      <c r="F28" s="21" t="s">
        <v>105</v>
      </c>
      <c r="G28" s="102" t="s">
        <v>512</v>
      </c>
      <c r="H28" s="2367">
        <v>33</v>
      </c>
      <c r="I28" s="3475">
        <f>'R.FILE GOC'!K78</f>
        <v>34</v>
      </c>
      <c r="J28" s="3476"/>
      <c r="K28" s="3477"/>
      <c r="L28" s="2367"/>
      <c r="M28" s="3475"/>
      <c r="N28" s="3476"/>
      <c r="O28" s="3477"/>
      <c r="P28" s="564"/>
      <c r="Q28" s="565"/>
      <c r="R28" s="564"/>
      <c r="S28" s="565"/>
      <c r="T28" s="20"/>
      <c r="V28" s="2400">
        <v>4</v>
      </c>
      <c r="W28" s="3288" t="s">
        <v>973</v>
      </c>
      <c r="X28" s="3289" t="s">
        <v>511</v>
      </c>
      <c r="Y28" s="3289" t="s">
        <v>511</v>
      </c>
      <c r="Z28" s="3290" t="s">
        <v>511</v>
      </c>
      <c r="AA28" s="21" t="s">
        <v>105</v>
      </c>
      <c r="AB28" s="102" t="s">
        <v>512</v>
      </c>
      <c r="AC28" s="2367">
        <f>'R.FILE GOC'!T78</f>
        <v>0</v>
      </c>
      <c r="AD28" s="3475">
        <f>'R.FILE GOC'!W78</f>
        <v>0</v>
      </c>
      <c r="AE28" s="3476"/>
      <c r="AF28" s="3477"/>
      <c r="AG28" s="2367">
        <f>'R.FILE GOC'!Z78</f>
        <v>0</v>
      </c>
      <c r="AH28" s="3475">
        <f>'R.FILE GOC'!AC78</f>
        <v>0</v>
      </c>
      <c r="AI28" s="3476"/>
      <c r="AJ28" s="3477"/>
      <c r="AK28" s="20"/>
    </row>
    <row r="29" spans="1:37" ht="51" customHeight="1">
      <c r="A29" s="2400">
        <v>5</v>
      </c>
      <c r="B29" s="3288" t="s">
        <v>586</v>
      </c>
      <c r="C29" s="3289"/>
      <c r="D29" s="3289"/>
      <c r="E29" s="3290"/>
      <c r="F29" s="21" t="s">
        <v>105</v>
      </c>
      <c r="G29" s="102" t="s">
        <v>515</v>
      </c>
      <c r="H29" s="2367">
        <v>30</v>
      </c>
      <c r="I29" s="3475">
        <f>'R.FILE GOC'!K79</f>
        <v>29</v>
      </c>
      <c r="J29" s="3476"/>
      <c r="K29" s="3477"/>
      <c r="L29" s="2367"/>
      <c r="M29" s="3475"/>
      <c r="N29" s="3476"/>
      <c r="O29" s="3477"/>
      <c r="P29" s="564"/>
      <c r="Q29" s="565"/>
      <c r="R29" s="564"/>
      <c r="S29" s="565"/>
      <c r="T29" s="20"/>
      <c r="V29" s="2400">
        <v>5</v>
      </c>
      <c r="W29" s="3288" t="s">
        <v>586</v>
      </c>
      <c r="X29" s="3289"/>
      <c r="Y29" s="3289"/>
      <c r="Z29" s="3290"/>
      <c r="AA29" s="21" t="s">
        <v>105</v>
      </c>
      <c r="AB29" s="102" t="s">
        <v>515</v>
      </c>
      <c r="AC29" s="2367">
        <f>'R.FILE GOC'!T79</f>
        <v>0</v>
      </c>
      <c r="AD29" s="3475">
        <f>'R.FILE GOC'!W79</f>
        <v>0</v>
      </c>
      <c r="AE29" s="3476"/>
      <c r="AF29" s="3477"/>
      <c r="AG29" s="2367">
        <f>'R.FILE GOC'!Z79</f>
        <v>0</v>
      </c>
      <c r="AH29" s="3475">
        <f>'R.FILE GOC'!AC79</f>
        <v>0</v>
      </c>
      <c r="AI29" s="3476"/>
      <c r="AJ29" s="3477"/>
      <c r="AK29" s="20"/>
    </row>
    <row r="30" spans="1:37" ht="43.5" hidden="1" customHeight="1">
      <c r="A30" s="2400">
        <v>6</v>
      </c>
      <c r="B30" s="3288" t="s">
        <v>587</v>
      </c>
      <c r="C30" s="3289"/>
      <c r="D30" s="3289"/>
      <c r="E30" s="3290"/>
      <c r="F30" s="21" t="s">
        <v>105</v>
      </c>
      <c r="G30" s="102" t="s">
        <v>515</v>
      </c>
      <c r="H30" s="2367">
        <f>'R.FILE GOC'!H80</f>
        <v>0</v>
      </c>
      <c r="I30" s="3475">
        <f>'R.FILE GOC'!K80</f>
        <v>0</v>
      </c>
      <c r="J30" s="3476"/>
      <c r="K30" s="3477"/>
      <c r="L30" s="2367"/>
      <c r="M30" s="3475"/>
      <c r="N30" s="3476"/>
      <c r="O30" s="3477"/>
      <c r="P30" s="564"/>
      <c r="Q30" s="565"/>
      <c r="R30" s="564"/>
      <c r="S30" s="565"/>
      <c r="T30" s="20"/>
      <c r="V30" s="2400">
        <v>6</v>
      </c>
      <c r="W30" s="3288" t="s">
        <v>587</v>
      </c>
      <c r="X30" s="3289"/>
      <c r="Y30" s="3289"/>
      <c r="Z30" s="3290"/>
      <c r="AA30" s="21" t="s">
        <v>105</v>
      </c>
      <c r="AB30" s="102" t="s">
        <v>515</v>
      </c>
      <c r="AC30" s="2367">
        <f>'R.FILE GOC'!T80</f>
        <v>0</v>
      </c>
      <c r="AD30" s="3475">
        <f>'R.FILE GOC'!W80</f>
        <v>0</v>
      </c>
      <c r="AE30" s="3476"/>
      <c r="AF30" s="3477"/>
      <c r="AG30" s="2367">
        <f>'R.FILE GOC'!Z80</f>
        <v>0</v>
      </c>
      <c r="AH30" s="3475">
        <f>'R.FILE GOC'!AC80</f>
        <v>0</v>
      </c>
      <c r="AI30" s="3476"/>
      <c r="AJ30" s="3477"/>
      <c r="AK30" s="20"/>
    </row>
    <row r="31" spans="1:37" ht="50.25" customHeight="1">
      <c r="A31" s="2400">
        <v>7</v>
      </c>
      <c r="B31" s="3288" t="s">
        <v>519</v>
      </c>
      <c r="C31" s="3289" t="s">
        <v>519</v>
      </c>
      <c r="D31" s="3289" t="s">
        <v>519</v>
      </c>
      <c r="E31" s="3290" t="s">
        <v>519</v>
      </c>
      <c r="F31" s="21" t="s">
        <v>105</v>
      </c>
      <c r="G31" s="102" t="s">
        <v>520</v>
      </c>
      <c r="H31" s="2366" t="str">
        <f>'R.FILE GOC'!H81</f>
        <v>\</v>
      </c>
      <c r="I31" s="3475">
        <v>190</v>
      </c>
      <c r="J31" s="3476"/>
      <c r="K31" s="3476"/>
      <c r="L31" s="2366"/>
      <c r="M31" s="3475"/>
      <c r="N31" s="3476"/>
      <c r="O31" s="3476"/>
      <c r="P31" s="564"/>
      <c r="Q31" s="565"/>
      <c r="R31" s="564"/>
      <c r="S31" s="565"/>
      <c r="T31" s="20"/>
      <c r="V31" s="2400">
        <v>7</v>
      </c>
      <c r="W31" s="3288" t="s">
        <v>519</v>
      </c>
      <c r="X31" s="3289" t="s">
        <v>519</v>
      </c>
      <c r="Y31" s="3289" t="s">
        <v>519</v>
      </c>
      <c r="Z31" s="3290" t="s">
        <v>519</v>
      </c>
      <c r="AA31" s="21" t="s">
        <v>105</v>
      </c>
      <c r="AB31" s="102" t="s">
        <v>520</v>
      </c>
      <c r="AC31" s="2366" t="str">
        <f>'R.FILE GOC'!T81</f>
        <v>\</v>
      </c>
      <c r="AD31" s="3475">
        <f>'R.FILE GOC'!W81</f>
        <v>0</v>
      </c>
      <c r="AE31" s="3476"/>
      <c r="AF31" s="3476"/>
      <c r="AG31" s="2366" t="str">
        <f>'R.FILE GOC'!Z81</f>
        <v>\</v>
      </c>
      <c r="AH31" s="3475">
        <f>'R.FILE GOC'!AC81</f>
        <v>0</v>
      </c>
      <c r="AI31" s="3476"/>
      <c r="AJ31" s="3476"/>
      <c r="AK31" s="20"/>
    </row>
    <row r="32" spans="1:37" ht="42.75" customHeight="1">
      <c r="A32" s="2399"/>
      <c r="B32" s="468"/>
      <c r="C32" s="469"/>
      <c r="D32" s="469"/>
      <c r="E32" s="469"/>
      <c r="F32" s="469"/>
      <c r="G32" s="469"/>
      <c r="H32" s="470" t="s">
        <v>521</v>
      </c>
      <c r="I32" s="469"/>
      <c r="J32" s="469"/>
      <c r="K32" s="469"/>
      <c r="L32" s="469"/>
      <c r="M32" s="469"/>
      <c r="N32" s="469"/>
      <c r="O32" s="469"/>
      <c r="P32" s="469"/>
      <c r="Q32" s="469"/>
      <c r="R32" s="469"/>
      <c r="S32" s="469"/>
      <c r="T32" s="471"/>
    </row>
    <row r="33" spans="1:20" ht="52.5" customHeight="1">
      <c r="A33" s="2400">
        <v>1</v>
      </c>
      <c r="B33" s="3251" t="s">
        <v>521</v>
      </c>
      <c r="C33" s="3252"/>
      <c r="D33" s="3252"/>
      <c r="E33" s="3253"/>
      <c r="F33" s="322" t="s">
        <v>522</v>
      </c>
      <c r="G33" s="322" t="s">
        <v>523</v>
      </c>
      <c r="H33" s="3297">
        <v>906</v>
      </c>
      <c r="I33" s="3300"/>
      <c r="J33" s="3300"/>
      <c r="K33" s="3300"/>
      <c r="L33" s="3297">
        <f>'R.FILE GOC'!N83</f>
        <v>0</v>
      </c>
      <c r="M33" s="3300"/>
      <c r="N33" s="3300"/>
      <c r="O33" s="3300"/>
      <c r="P33" s="564"/>
      <c r="Q33" s="565"/>
      <c r="R33" s="564"/>
      <c r="S33" s="565"/>
      <c r="T33" s="326"/>
    </row>
    <row r="34" spans="1:20" ht="52.5" hidden="1" customHeight="1">
      <c r="A34" s="2400">
        <v>2</v>
      </c>
      <c r="B34" s="3288" t="s">
        <v>524</v>
      </c>
      <c r="C34" s="3289"/>
      <c r="D34" s="3289"/>
      <c r="E34" s="3290"/>
      <c r="F34" s="322" t="s">
        <v>522</v>
      </c>
      <c r="G34" s="102" t="s">
        <v>525</v>
      </c>
      <c r="H34" s="3297">
        <f>'R.FILE GOC'!H84</f>
        <v>0</v>
      </c>
      <c r="I34" s="3300"/>
      <c r="J34" s="3300"/>
      <c r="K34" s="3300"/>
      <c r="L34" s="3297">
        <f>'R.FILE GOC'!N84</f>
        <v>0</v>
      </c>
      <c r="M34" s="3300"/>
      <c r="N34" s="3300"/>
      <c r="O34" s="3300"/>
      <c r="P34" s="2762"/>
      <c r="Q34" s="2762"/>
      <c r="R34" s="2762"/>
      <c r="S34" s="2762"/>
      <c r="T34" s="20"/>
    </row>
  </sheetData>
  <sheetProtection formatCells="0" formatColumns="0" formatRows="0" insertColumns="0" insertRows="0" insertHyperlinks="0" deleteColumns="0" deleteRows="0" selectLockedCells="1" sort="0" autoFilter="0" pivotTables="0"/>
  <mergeCells count="116">
    <mergeCell ref="W30:Z30"/>
    <mergeCell ref="AD30:AF30"/>
    <mergeCell ref="AH30:AJ30"/>
    <mergeCell ref="W31:Z31"/>
    <mergeCell ref="AD31:AF31"/>
    <mergeCell ref="AH31:AJ31"/>
    <mergeCell ref="W28:Z28"/>
    <mergeCell ref="AD28:AF28"/>
    <mergeCell ref="AH28:AJ28"/>
    <mergeCell ref="W29:Z29"/>
    <mergeCell ref="AD29:AF29"/>
    <mergeCell ref="AH29:AJ29"/>
    <mergeCell ref="AD26:AF26"/>
    <mergeCell ref="AH26:AJ26"/>
    <mergeCell ref="W27:Z27"/>
    <mergeCell ref="AD27:AF27"/>
    <mergeCell ref="AH27:AJ27"/>
    <mergeCell ref="W22:Z22"/>
    <mergeCell ref="W24:Z24"/>
    <mergeCell ref="AD24:AF24"/>
    <mergeCell ref="AH24:AJ24"/>
    <mergeCell ref="W25:Z25"/>
    <mergeCell ref="AD25:AF25"/>
    <mergeCell ref="AH25:AJ25"/>
    <mergeCell ref="W19:Z19"/>
    <mergeCell ref="W20:Z20"/>
    <mergeCell ref="W21:Z21"/>
    <mergeCell ref="W12:Z12"/>
    <mergeCell ref="W13:Z13"/>
    <mergeCell ref="W14:Z14"/>
    <mergeCell ref="W15:Z15"/>
    <mergeCell ref="W16:Z16"/>
    <mergeCell ref="W26:Z26"/>
    <mergeCell ref="W10:Z10"/>
    <mergeCell ref="W11:Z11"/>
    <mergeCell ref="AK4:AK6"/>
    <mergeCell ref="AC5:AF5"/>
    <mergeCell ref="AG5:AJ5"/>
    <mergeCell ref="AD6:AF6"/>
    <mergeCell ref="AH6:AJ6"/>
    <mergeCell ref="W17:Z17"/>
    <mergeCell ref="W18:Z18"/>
    <mergeCell ref="A4:A6"/>
    <mergeCell ref="B4:E6"/>
    <mergeCell ref="F4:F6"/>
    <mergeCell ref="G4:G6"/>
    <mergeCell ref="A2:Q2"/>
    <mergeCell ref="A1:Q1"/>
    <mergeCell ref="W7:Z7"/>
    <mergeCell ref="W8:Z8"/>
    <mergeCell ref="W9:Z9"/>
    <mergeCell ref="V1:AE1"/>
    <mergeCell ref="V2:AH2"/>
    <mergeCell ref="AI2:AJ2"/>
    <mergeCell ref="AI3:AJ3"/>
    <mergeCell ref="V4:V6"/>
    <mergeCell ref="W4:Z6"/>
    <mergeCell ref="AA4:AA6"/>
    <mergeCell ref="AB4:AB6"/>
    <mergeCell ref="R2:S2"/>
    <mergeCell ref="R3:S3"/>
    <mergeCell ref="B13:E13"/>
    <mergeCell ref="T4:T6"/>
    <mergeCell ref="H5:K5"/>
    <mergeCell ref="L5:O5"/>
    <mergeCell ref="I6:K6"/>
    <mergeCell ref="M6:O6"/>
    <mergeCell ref="B7:E7"/>
    <mergeCell ref="B8:E8"/>
    <mergeCell ref="B9:E9"/>
    <mergeCell ref="B10:E10"/>
    <mergeCell ref="B11:E11"/>
    <mergeCell ref="B12:E12"/>
    <mergeCell ref="P4:S4"/>
    <mergeCell ref="P5:Q5"/>
    <mergeCell ref="R5:S5"/>
    <mergeCell ref="H4:O4"/>
    <mergeCell ref="M24:O24"/>
    <mergeCell ref="B14:E14"/>
    <mergeCell ref="B15:E15"/>
    <mergeCell ref="B16:E16"/>
    <mergeCell ref="B17:E17"/>
    <mergeCell ref="B18:E18"/>
    <mergeCell ref="B19:E19"/>
    <mergeCell ref="B20:E20"/>
    <mergeCell ref="B21:E21"/>
    <mergeCell ref="B22:E22"/>
    <mergeCell ref="B24:E24"/>
    <mergeCell ref="I24:K24"/>
    <mergeCell ref="B25:E25"/>
    <mergeCell ref="I25:K25"/>
    <mergeCell ref="M25:O25"/>
    <mergeCell ref="B26:E26"/>
    <mergeCell ref="I26:K26"/>
    <mergeCell ref="M26:O26"/>
    <mergeCell ref="B27:E27"/>
    <mergeCell ref="I27:K27"/>
    <mergeCell ref="M27:O27"/>
    <mergeCell ref="B28:E28"/>
    <mergeCell ref="I28:K28"/>
    <mergeCell ref="M28:O28"/>
    <mergeCell ref="B29:E29"/>
    <mergeCell ref="I29:K29"/>
    <mergeCell ref="M29:O29"/>
    <mergeCell ref="B30:E30"/>
    <mergeCell ref="I30:K30"/>
    <mergeCell ref="M30:O30"/>
    <mergeCell ref="B34:E34"/>
    <mergeCell ref="H34:K34"/>
    <mergeCell ref="L34:O34"/>
    <mergeCell ref="B31:E31"/>
    <mergeCell ref="I31:K31"/>
    <mergeCell ref="M31:O31"/>
    <mergeCell ref="B33:E33"/>
    <mergeCell ref="H33:K33"/>
    <mergeCell ref="L33:O33"/>
  </mergeCells>
  <phoneticPr fontId="7" type="noConversion"/>
  <conditionalFormatting sqref="H10 L10 AC10 AG10">
    <cfRule type="expression" dxfId="1414" priority="198">
      <formula>H10&lt;5</formula>
    </cfRule>
    <cfRule type="expression" dxfId="1413" priority="199">
      <formula>H10&gt;15</formula>
    </cfRule>
  </conditionalFormatting>
  <conditionalFormatting sqref="H11 L11 AC11 AG11">
    <cfRule type="expression" dxfId="1412" priority="197">
      <formula>H11&gt;1.5</formula>
    </cfRule>
  </conditionalFormatting>
  <conditionalFormatting sqref="H12 L12 AC12 AG12">
    <cfRule type="expression" dxfId="1411" priority="195">
      <formula>H12&lt;20</formula>
    </cfRule>
    <cfRule type="expression" dxfId="1410" priority="196">
      <formula>H12&gt;25</formula>
    </cfRule>
  </conditionalFormatting>
  <conditionalFormatting sqref="H13 L13 AC13 AG13">
    <cfRule type="expression" dxfId="1409" priority="193">
      <formula>H13&lt;6</formula>
    </cfRule>
    <cfRule type="expression" dxfId="1408" priority="194">
      <formula>H13&gt;9</formula>
    </cfRule>
  </conditionalFormatting>
  <conditionalFormatting sqref="H14 L14 AC14 AG14">
    <cfRule type="expression" dxfId="1407" priority="191">
      <formula>H14&lt;7</formula>
    </cfRule>
    <cfRule type="expression" dxfId="1406" priority="192">
      <formula>H14&gt;10</formula>
    </cfRule>
  </conditionalFormatting>
  <conditionalFormatting sqref="H15:H16 L15:L16 AC15:AC16 AG15:AG16">
    <cfRule type="expression" dxfId="1405" priority="189">
      <formula>H15&lt;5.3</formula>
    </cfRule>
    <cfRule type="expression" dxfId="1404" priority="190">
      <formula>H15&gt;6</formula>
    </cfRule>
  </conditionalFormatting>
  <conditionalFormatting sqref="H17 H19">
    <cfRule type="expression" dxfId="1403" priority="185">
      <formula>H17&lt;12</formula>
    </cfRule>
    <cfRule type="expression" dxfId="1402" priority="186">
      <formula>H17&gt;18</formula>
    </cfRule>
  </conditionalFormatting>
  <conditionalFormatting sqref="H18 H20">
    <cfRule type="expression" dxfId="1401" priority="181">
      <formula>H18&lt;8</formula>
    </cfRule>
    <cfRule type="expression" dxfId="1400" priority="182">
      <formula>H18&gt;16</formula>
    </cfRule>
  </conditionalFormatting>
  <conditionalFormatting sqref="AC25:AJ27 H25:O27">
    <cfRule type="expression" dxfId="1399" priority="150">
      <formula>H25&lt;51</formula>
    </cfRule>
    <cfRule type="expression" dxfId="1398" priority="151">
      <formula>H25&gt;59</formula>
    </cfRule>
  </conditionalFormatting>
  <conditionalFormatting sqref="AH31 I31 M31 AC25:AJ30 AD31 H25:O30">
    <cfRule type="expression" dxfId="1397" priority="149">
      <formula>H25&lt;1</formula>
    </cfRule>
  </conditionalFormatting>
  <conditionalFormatting sqref="AC28:AJ28 H28:O28">
    <cfRule type="expression" dxfId="1396" priority="144">
      <formula>H28&lt;30</formula>
    </cfRule>
    <cfRule type="expression" dxfId="1395" priority="145">
      <formula>H28&gt;40</formula>
    </cfRule>
  </conditionalFormatting>
  <conditionalFormatting sqref="AC29:AJ30 H29:O30">
    <cfRule type="expression" dxfId="1394" priority="141">
      <formula>H29&lt;26</formula>
    </cfRule>
    <cfRule type="expression" dxfId="1393" priority="142">
      <formula>H29&gt;32</formula>
    </cfRule>
  </conditionalFormatting>
  <conditionalFormatting sqref="I31 M31 AD31 AH31">
    <cfRule type="expression" dxfId="1392" priority="90">
      <formula>I31&lt;170</formula>
    </cfRule>
    <cfRule type="expression" dxfId="1391" priority="91">
      <formula>I31&gt;220</formula>
    </cfRule>
  </conditionalFormatting>
  <pageMargins left="0.56999999999999995" right="0.23622047244094499" top="0.26" bottom="0.34" header="0.118110236220472" footer="0.19"/>
  <pageSetup paperSize="9" scale="60" orientation="portrait" verticalDpi="300" r:id="rId1"/>
  <headerFooter alignWithMargins="0">
    <oddFooter>&amp;L&amp;10DCC No.：      Q4-CXVN-PC01-IS10-02&amp;C&amp;10Ver.： 01&amp;R&amp;10保存期限： 1 年</oddFooter>
  </headerFooter>
  <drawing r:id="rId2"/>
</worksheet>
</file>

<file path=xl/worksheets/sheet32.xml><?xml version="1.0" encoding="utf-8"?>
<worksheet xmlns="http://schemas.openxmlformats.org/spreadsheetml/2006/main" xmlns:r="http://schemas.openxmlformats.org/officeDocument/2006/relationships">
  <sheetPr codeName="Sheet23">
    <tabColor rgb="FFFFC000"/>
  </sheetPr>
  <dimension ref="A1:S44"/>
  <sheetViews>
    <sheetView zoomScale="70" zoomScaleNormal="70" workbookViewId="0">
      <selection activeCell="D3" sqref="D3:E3"/>
    </sheetView>
  </sheetViews>
  <sheetFormatPr defaultRowHeight="13.5"/>
  <cols>
    <col min="1" max="1" width="3.875" style="474" customWidth="1"/>
    <col min="2" max="2" width="21.625" style="524" customWidth="1"/>
    <col min="3" max="3" width="21.625" style="524" hidden="1" customWidth="1"/>
    <col min="4" max="4" width="7.625" style="474" customWidth="1"/>
    <col min="5" max="5" width="14.375" style="474" customWidth="1"/>
    <col min="6" max="6" width="8.75" style="474" customWidth="1"/>
    <col min="7" max="7" width="2.375" style="474" customWidth="1"/>
    <col min="8" max="8" width="6.5" style="525" customWidth="1"/>
    <col min="9" max="9" width="3.125" style="525" customWidth="1"/>
    <col min="10" max="10" width="8.125" style="525" customWidth="1"/>
    <col min="11" max="11" width="2.5" style="525" customWidth="1"/>
    <col min="12" max="12" width="6.5" style="525" customWidth="1"/>
    <col min="13" max="13" width="3.75" style="525" customWidth="1"/>
    <col min="14" max="14" width="8.125" style="525" customWidth="1"/>
    <col min="15" max="15" width="2.5" style="525" customWidth="1"/>
    <col min="16" max="16" width="6.5" style="525" customWidth="1"/>
    <col min="17" max="17" width="3.75" style="525" customWidth="1"/>
    <col min="18" max="18" width="7.375" style="473" customWidth="1"/>
    <col min="19" max="19" width="5.75" style="473" customWidth="1"/>
    <col min="20" max="16384" width="9" style="474"/>
  </cols>
  <sheetData>
    <row r="1" spans="1:19" ht="33" customHeight="1">
      <c r="A1" s="3560" t="s">
        <v>588</v>
      </c>
      <c r="B1" s="3560"/>
      <c r="C1" s="3560"/>
      <c r="D1" s="3560"/>
      <c r="E1" s="3560"/>
      <c r="F1" s="3560"/>
      <c r="G1" s="3560"/>
      <c r="H1" s="3560"/>
      <c r="I1" s="3560"/>
      <c r="J1" s="3560"/>
      <c r="K1" s="3560"/>
      <c r="L1" s="3560"/>
      <c r="M1" s="3560"/>
      <c r="N1" s="472"/>
      <c r="O1" s="472"/>
      <c r="P1" s="472"/>
      <c r="Q1" s="472"/>
    </row>
    <row r="2" spans="1:19" ht="39.75" customHeight="1">
      <c r="A2" s="3557" t="s">
        <v>918</v>
      </c>
      <c r="B2" s="3557"/>
      <c r="C2" s="3557"/>
      <c r="D2" s="3557"/>
      <c r="E2" s="3557"/>
      <c r="F2" s="3557"/>
      <c r="G2" s="3557"/>
      <c r="H2" s="3557"/>
      <c r="I2" s="3557"/>
      <c r="J2" s="3557"/>
      <c r="K2" s="3557"/>
      <c r="L2" s="3557"/>
      <c r="M2" s="3557"/>
      <c r="N2" s="475"/>
      <c r="O2" s="475"/>
      <c r="P2" s="3561" t="s">
        <v>589</v>
      </c>
      <c r="Q2" s="3562"/>
      <c r="R2" s="3563" t="s">
        <v>590</v>
      </c>
      <c r="S2" s="3564"/>
    </row>
    <row r="3" spans="1:19" ht="22.5" customHeight="1">
      <c r="A3" s="476"/>
      <c r="B3" s="477" t="s">
        <v>591</v>
      </c>
      <c r="C3" s="477"/>
      <c r="D3" s="1999" t="str">
        <f>MENU!$AC$9</f>
        <v>Thứ 4,</v>
      </c>
      <c r="E3" s="1822" t="str">
        <f>MENU!$AD$9</f>
        <v>2024/05/22</v>
      </c>
      <c r="F3" s="476"/>
      <c r="G3" s="476"/>
      <c r="H3" s="476"/>
      <c r="I3" s="476"/>
      <c r="J3" s="480"/>
      <c r="K3" s="480"/>
      <c r="L3" s="480"/>
      <c r="M3" s="480"/>
      <c r="N3" s="480"/>
      <c r="O3" s="480"/>
      <c r="P3" s="3565" t="str">
        <f>'1.xi den'!$R$3</f>
        <v>Mi</v>
      </c>
      <c r="Q3" s="3566"/>
      <c r="R3" s="3567" t="s">
        <v>592</v>
      </c>
      <c r="S3" s="3568"/>
    </row>
    <row r="4" spans="1:19" s="482" customFormat="1" ht="33" customHeight="1">
      <c r="A4" s="3559" t="s">
        <v>593</v>
      </c>
      <c r="B4" s="3530" t="s">
        <v>594</v>
      </c>
      <c r="C4" s="481"/>
      <c r="D4" s="3530" t="s">
        <v>124</v>
      </c>
      <c r="E4" s="3540" t="s">
        <v>595</v>
      </c>
      <c r="F4" s="3522" t="s">
        <v>922</v>
      </c>
      <c r="G4" s="3523"/>
      <c r="H4" s="3523"/>
      <c r="I4" s="3523"/>
      <c r="J4" s="3523"/>
      <c r="K4" s="3523"/>
      <c r="L4" s="3523"/>
      <c r="M4" s="3523"/>
      <c r="N4" s="3523"/>
      <c r="O4" s="3523"/>
      <c r="P4" s="3523"/>
      <c r="Q4" s="3524"/>
      <c r="R4" s="3546" t="s">
        <v>597</v>
      </c>
      <c r="S4" s="3546"/>
    </row>
    <row r="5" spans="1:19" s="482" customFormat="1" ht="15.75" customHeight="1">
      <c r="A5" s="3535"/>
      <c r="B5" s="3530"/>
      <c r="C5" s="481"/>
      <c r="D5" s="3530"/>
      <c r="E5" s="3540"/>
      <c r="F5" s="3547">
        <v>0.375</v>
      </c>
      <c r="G5" s="3538"/>
      <c r="H5" s="3538"/>
      <c r="I5" s="3538"/>
      <c r="J5" s="3548">
        <v>0.5625</v>
      </c>
      <c r="K5" s="3549"/>
      <c r="L5" s="3549"/>
      <c r="M5" s="3550"/>
      <c r="N5" s="3548">
        <v>0.72916666666666663</v>
      </c>
      <c r="O5" s="3549"/>
      <c r="P5" s="3549"/>
      <c r="Q5" s="3550"/>
      <c r="R5" s="3546"/>
      <c r="S5" s="3546"/>
    </row>
    <row r="6" spans="1:19" s="482" customFormat="1" ht="44.25" customHeight="1">
      <c r="A6" s="3536"/>
      <c r="B6" s="3538"/>
      <c r="C6" s="483"/>
      <c r="D6" s="3538"/>
      <c r="E6" s="3541"/>
      <c r="F6" s="484" t="s">
        <v>598</v>
      </c>
      <c r="G6" s="3551" t="s">
        <v>599</v>
      </c>
      <c r="H6" s="3552"/>
      <c r="I6" s="3553"/>
      <c r="J6" s="484" t="s">
        <v>598</v>
      </c>
      <c r="K6" s="3542" t="s">
        <v>599</v>
      </c>
      <c r="L6" s="3543"/>
      <c r="M6" s="3544"/>
      <c r="N6" s="484" t="s">
        <v>598</v>
      </c>
      <c r="O6" s="3542" t="s">
        <v>599</v>
      </c>
      <c r="P6" s="3543"/>
      <c r="Q6" s="3544"/>
      <c r="R6" s="3554" t="s">
        <v>600</v>
      </c>
      <c r="S6" s="3554"/>
    </row>
    <row r="7" spans="1:19" ht="29.25" customHeight="1">
      <c r="A7" s="483">
        <v>1</v>
      </c>
      <c r="B7" s="485" t="s">
        <v>601</v>
      </c>
      <c r="C7" s="485"/>
      <c r="D7" s="486" t="s">
        <v>602</v>
      </c>
      <c r="E7" s="487" t="s">
        <v>603</v>
      </c>
      <c r="F7" s="488">
        <f>'R.FILE GOC'!H6</f>
        <v>0</v>
      </c>
      <c r="G7" s="489" t="s">
        <v>604</v>
      </c>
      <c r="H7" s="490">
        <f>'R.FILE GOC'!K6</f>
        <v>292.1875</v>
      </c>
      <c r="I7" s="483" t="s">
        <v>10</v>
      </c>
      <c r="J7" s="488">
        <f>'R.FILE GOC'!N6</f>
        <v>0</v>
      </c>
      <c r="K7" s="489" t="s">
        <v>604</v>
      </c>
      <c r="L7" s="490">
        <f>'R.FILE GOC'!Q6</f>
        <v>292.1875</v>
      </c>
      <c r="M7" s="483" t="s">
        <v>10</v>
      </c>
      <c r="N7" s="488">
        <f>'R.FILE GOC'!T6</f>
        <v>0</v>
      </c>
      <c r="O7" s="489" t="s">
        <v>604</v>
      </c>
      <c r="P7" s="490">
        <f>'R.FILE GOC'!W6</f>
        <v>292.1875</v>
      </c>
      <c r="Q7" s="483" t="s">
        <v>10</v>
      </c>
      <c r="R7" s="3529" t="s">
        <v>605</v>
      </c>
      <c r="S7" s="3529"/>
    </row>
    <row r="8" spans="1:19" ht="29.25" hidden="1" customHeight="1">
      <c r="A8" s="483">
        <v>2</v>
      </c>
      <c r="B8" s="485" t="s">
        <v>606</v>
      </c>
      <c r="C8" s="491"/>
      <c r="D8" s="486" t="s">
        <v>602</v>
      </c>
      <c r="E8" s="487" t="s">
        <v>603</v>
      </c>
      <c r="F8" s="492">
        <f>'R.FILE GOC'!H7</f>
        <v>0</v>
      </c>
      <c r="G8" s="493" t="s">
        <v>604</v>
      </c>
      <c r="H8" s="494">
        <f>'R.FILE GOC'!K7</f>
        <v>292.1875</v>
      </c>
      <c r="I8" s="210" t="s">
        <v>10</v>
      </c>
      <c r="J8" s="492">
        <f>'R.FILE GOC'!N7</f>
        <v>0</v>
      </c>
      <c r="K8" s="493" t="s">
        <v>604</v>
      </c>
      <c r="L8" s="494">
        <f>'R.FILE GOC'!Q7</f>
        <v>292.1875</v>
      </c>
      <c r="M8" s="210" t="s">
        <v>10</v>
      </c>
      <c r="N8" s="492">
        <f>'R.FILE GOC'!T7</f>
        <v>0</v>
      </c>
      <c r="O8" s="493" t="s">
        <v>604</v>
      </c>
      <c r="P8" s="494">
        <f>'R.FILE GOC'!W7</f>
        <v>292.1875</v>
      </c>
      <c r="Q8" s="210" t="s">
        <v>10</v>
      </c>
      <c r="R8" s="495"/>
      <c r="S8" s="495"/>
    </row>
    <row r="9" spans="1:19" ht="29.25" customHeight="1">
      <c r="A9" s="483">
        <v>3</v>
      </c>
      <c r="B9" s="3531" t="s">
        <v>607</v>
      </c>
      <c r="C9" s="496"/>
      <c r="D9" s="3534" t="s">
        <v>431</v>
      </c>
      <c r="E9" s="487" t="s">
        <v>608</v>
      </c>
      <c r="F9" s="488">
        <f>'R.FILE GOC'!H8</f>
        <v>0</v>
      </c>
      <c r="G9" s="489" t="s">
        <v>609</v>
      </c>
      <c r="H9" s="490">
        <f>'R.FILE GOC'!K8</f>
        <v>69.400000000000006</v>
      </c>
      <c r="I9" s="483" t="s">
        <v>610</v>
      </c>
      <c r="J9" s="488">
        <f>'R.FILE GOC'!N8</f>
        <v>0</v>
      </c>
      <c r="K9" s="489" t="s">
        <v>609</v>
      </c>
      <c r="L9" s="490">
        <f>'R.FILE GOC'!Q8</f>
        <v>69.400000000000006</v>
      </c>
      <c r="M9" s="483" t="s">
        <v>610</v>
      </c>
      <c r="N9" s="488">
        <f>'R.FILE GOC'!T8</f>
        <v>0</v>
      </c>
      <c r="O9" s="489" t="s">
        <v>609</v>
      </c>
      <c r="P9" s="490">
        <f>'R.FILE GOC'!W8</f>
        <v>69.400000000000006</v>
      </c>
      <c r="Q9" s="483" t="s">
        <v>610</v>
      </c>
      <c r="R9" s="3529" t="s">
        <v>611</v>
      </c>
      <c r="S9" s="3529"/>
    </row>
    <row r="10" spans="1:19" ht="29.25" customHeight="1">
      <c r="A10" s="483">
        <v>4</v>
      </c>
      <c r="B10" s="3532"/>
      <c r="C10" s="497"/>
      <c r="D10" s="3534"/>
      <c r="E10" s="487" t="s">
        <v>612</v>
      </c>
      <c r="F10" s="488">
        <f>'R.FILE GOC'!H9</f>
        <v>0</v>
      </c>
      <c r="G10" s="489" t="s">
        <v>609</v>
      </c>
      <c r="H10" s="490">
        <f>'R.FILE GOC'!K9</f>
        <v>4.5110000000000001</v>
      </c>
      <c r="I10" s="483" t="s">
        <v>610</v>
      </c>
      <c r="J10" s="488">
        <f>'R.FILE GOC'!N9</f>
        <v>0</v>
      </c>
      <c r="K10" s="489" t="s">
        <v>609</v>
      </c>
      <c r="L10" s="490">
        <f>'R.FILE GOC'!Q9</f>
        <v>4.5110000000000001</v>
      </c>
      <c r="M10" s="483" t="s">
        <v>610</v>
      </c>
      <c r="N10" s="488">
        <f>'R.FILE GOC'!T9</f>
        <v>0</v>
      </c>
      <c r="O10" s="489" t="s">
        <v>609</v>
      </c>
      <c r="P10" s="490">
        <f>'R.FILE GOC'!W9</f>
        <v>4.5110000000000001</v>
      </c>
      <c r="Q10" s="483" t="s">
        <v>610</v>
      </c>
      <c r="R10" s="3529" t="s">
        <v>613</v>
      </c>
      <c r="S10" s="3529"/>
    </row>
    <row r="11" spans="1:19" ht="29.25" customHeight="1">
      <c r="A11" s="483">
        <v>5</v>
      </c>
      <c r="B11" s="3533"/>
      <c r="C11" s="498"/>
      <c r="D11" s="3534"/>
      <c r="E11" s="487" t="s">
        <v>614</v>
      </c>
      <c r="F11" s="499">
        <f>'R.FILE GOC'!H10</f>
        <v>0</v>
      </c>
      <c r="G11" s="489" t="s">
        <v>609</v>
      </c>
      <c r="H11" s="490">
        <f>'R.FILE GOC'!K10</f>
        <v>0</v>
      </c>
      <c r="I11" s="483" t="s">
        <v>610</v>
      </c>
      <c r="J11" s="499">
        <f>'R.FILE GOC'!N10</f>
        <v>0</v>
      </c>
      <c r="K11" s="489" t="s">
        <v>609</v>
      </c>
      <c r="L11" s="490">
        <f>'R.FILE GOC'!Q10</f>
        <v>0</v>
      </c>
      <c r="M11" s="483" t="s">
        <v>610</v>
      </c>
      <c r="N11" s="499">
        <f>'R.FILE GOC'!T10</f>
        <v>0</v>
      </c>
      <c r="O11" s="489" t="s">
        <v>609</v>
      </c>
      <c r="P11" s="490">
        <f>'R.FILE GOC'!W10</f>
        <v>0</v>
      </c>
      <c r="Q11" s="483" t="s">
        <v>610</v>
      </c>
      <c r="R11" s="3529"/>
      <c r="S11" s="3529"/>
    </row>
    <row r="12" spans="1:19" ht="29.25" customHeight="1">
      <c r="A12" s="483">
        <v>6</v>
      </c>
      <c r="B12" s="3531" t="s">
        <v>615</v>
      </c>
      <c r="C12" s="496"/>
      <c r="D12" s="3534" t="s">
        <v>431</v>
      </c>
      <c r="E12" s="487" t="s">
        <v>608</v>
      </c>
      <c r="F12" s="488">
        <f>'R.FILE GOC'!H11</f>
        <v>0</v>
      </c>
      <c r="G12" s="489" t="s">
        <v>609</v>
      </c>
      <c r="H12" s="490">
        <f>'R.FILE GOC'!K11</f>
        <v>69.400000000000006</v>
      </c>
      <c r="I12" s="483"/>
      <c r="J12" s="488">
        <f>'R.FILE GOC'!N11</f>
        <v>0</v>
      </c>
      <c r="K12" s="489" t="s">
        <v>609</v>
      </c>
      <c r="L12" s="490">
        <f>'R.FILE GOC'!Q11</f>
        <v>69.400000000000006</v>
      </c>
      <c r="M12" s="483" t="s">
        <v>610</v>
      </c>
      <c r="N12" s="488">
        <f>'R.FILE GOC'!T11</f>
        <v>0</v>
      </c>
      <c r="O12" s="489" t="s">
        <v>609</v>
      </c>
      <c r="P12" s="490">
        <f>'R.FILE GOC'!W11</f>
        <v>69.400000000000006</v>
      </c>
      <c r="Q12" s="483" t="s">
        <v>610</v>
      </c>
      <c r="R12" s="3529" t="s">
        <v>611</v>
      </c>
      <c r="S12" s="3529"/>
    </row>
    <row r="13" spans="1:19" ht="29.25" customHeight="1">
      <c r="A13" s="483">
        <v>7</v>
      </c>
      <c r="B13" s="3532"/>
      <c r="C13" s="497"/>
      <c r="D13" s="3534"/>
      <c r="E13" s="487" t="s">
        <v>612</v>
      </c>
      <c r="F13" s="499">
        <f>'R.FILE GOC'!H12</f>
        <v>0</v>
      </c>
      <c r="G13" s="489" t="s">
        <v>609</v>
      </c>
      <c r="H13" s="490">
        <f>'R.FILE GOC'!K12</f>
        <v>4.5110000000000001</v>
      </c>
      <c r="I13" s="483"/>
      <c r="J13" s="499">
        <f>'R.FILE GOC'!N12</f>
        <v>0</v>
      </c>
      <c r="K13" s="489" t="s">
        <v>609</v>
      </c>
      <c r="L13" s="490">
        <f>'R.FILE GOC'!Q12</f>
        <v>4.5110000000000001</v>
      </c>
      <c r="M13" s="483" t="s">
        <v>610</v>
      </c>
      <c r="N13" s="499">
        <f>'R.FILE GOC'!T12</f>
        <v>0</v>
      </c>
      <c r="O13" s="489" t="s">
        <v>609</v>
      </c>
      <c r="P13" s="490">
        <f>'R.FILE GOC'!W12</f>
        <v>4.5110000000000001</v>
      </c>
      <c r="Q13" s="483" t="s">
        <v>610</v>
      </c>
      <c r="R13" s="3529" t="s">
        <v>613</v>
      </c>
      <c r="S13" s="3529"/>
    </row>
    <row r="14" spans="1:19" ht="29.25" customHeight="1">
      <c r="A14" s="483">
        <v>8</v>
      </c>
      <c r="B14" s="3533"/>
      <c r="C14" s="498"/>
      <c r="D14" s="3534"/>
      <c r="E14" s="487" t="s">
        <v>614</v>
      </c>
      <c r="F14" s="499">
        <f>'R.FILE GOC'!H13</f>
        <v>0</v>
      </c>
      <c r="G14" s="489" t="s">
        <v>609</v>
      </c>
      <c r="H14" s="490">
        <f>'R.FILE GOC'!K13</f>
        <v>0</v>
      </c>
      <c r="I14" s="483"/>
      <c r="J14" s="499">
        <f>'R.FILE GOC'!N13</f>
        <v>0</v>
      </c>
      <c r="K14" s="489" t="s">
        <v>609</v>
      </c>
      <c r="L14" s="490">
        <f>'R.FILE GOC'!Q13</f>
        <v>0</v>
      </c>
      <c r="M14" s="483" t="s">
        <v>610</v>
      </c>
      <c r="N14" s="499">
        <f>'R.FILE GOC'!T13</f>
        <v>0</v>
      </c>
      <c r="O14" s="489" t="s">
        <v>609</v>
      </c>
      <c r="P14" s="490">
        <f>'R.FILE GOC'!W13</f>
        <v>0</v>
      </c>
      <c r="Q14" s="483" t="s">
        <v>610</v>
      </c>
      <c r="R14" s="3529"/>
      <c r="S14" s="3529"/>
    </row>
    <row r="15" spans="1:19" s="503" customFormat="1" ht="29.25" customHeight="1">
      <c r="A15" s="483">
        <v>9</v>
      </c>
      <c r="B15" s="3527" t="s">
        <v>616</v>
      </c>
      <c r="C15" s="491"/>
      <c r="D15" s="500" t="s">
        <v>431</v>
      </c>
      <c r="E15" s="487" t="s">
        <v>441</v>
      </c>
      <c r="F15" s="488">
        <f>'R.FILE GOC'!H14</f>
        <v>0</v>
      </c>
      <c r="G15" s="489" t="s">
        <v>617</v>
      </c>
      <c r="H15" s="501">
        <f>'R.FILE GOC'!K14</f>
        <v>4.3680000000000003</v>
      </c>
      <c r="I15" s="502" t="s">
        <v>618</v>
      </c>
      <c r="J15" s="488">
        <f>'R.FILE GOC'!N14</f>
        <v>0</v>
      </c>
      <c r="K15" s="489" t="s">
        <v>617</v>
      </c>
      <c r="L15" s="501">
        <f>'R.FILE GOC'!Q14</f>
        <v>4.3680000000000003</v>
      </c>
      <c r="M15" s="502" t="s">
        <v>618</v>
      </c>
      <c r="N15" s="488">
        <f>'R.FILE GOC'!T14</f>
        <v>0</v>
      </c>
      <c r="O15" s="489" t="s">
        <v>617</v>
      </c>
      <c r="P15" s="501">
        <f>'R.FILE GOC'!W14</f>
        <v>4.3680000000000003</v>
      </c>
      <c r="Q15" s="502" t="s">
        <v>618</v>
      </c>
      <c r="R15" s="3529"/>
      <c r="S15" s="3529"/>
    </row>
    <row r="16" spans="1:19" s="503" customFormat="1" ht="29.25" customHeight="1">
      <c r="A16" s="483">
        <v>10</v>
      </c>
      <c r="B16" s="3528"/>
      <c r="C16" s="504"/>
      <c r="D16" s="500" t="s">
        <v>619</v>
      </c>
      <c r="E16" s="487" t="s">
        <v>620</v>
      </c>
      <c r="F16" s="488">
        <f>'R.FILE GOC'!H15</f>
        <v>0</v>
      </c>
      <c r="G16" s="489" t="s">
        <v>617</v>
      </c>
      <c r="H16" s="490"/>
      <c r="I16" s="502"/>
      <c r="J16" s="488">
        <f>'R.FILE GOC'!N15</f>
        <v>0</v>
      </c>
      <c r="K16" s="489" t="s">
        <v>617</v>
      </c>
      <c r="L16" s="490"/>
      <c r="M16" s="502"/>
      <c r="N16" s="488">
        <f>'R.FILE GOC'!T15</f>
        <v>0</v>
      </c>
      <c r="O16" s="489" t="s">
        <v>617</v>
      </c>
      <c r="P16" s="490"/>
      <c r="Q16" s="502"/>
      <c r="R16" s="3529"/>
      <c r="S16" s="3529"/>
    </row>
    <row r="17" spans="1:19" s="503" customFormat="1" ht="30" customHeight="1">
      <c r="A17" s="3530" t="s">
        <v>621</v>
      </c>
      <c r="B17" s="3530"/>
      <c r="C17" s="3530"/>
      <c r="D17" s="3530"/>
      <c r="E17" s="3530"/>
      <c r="F17" s="3530"/>
      <c r="G17" s="3530"/>
      <c r="H17" s="3530"/>
      <c r="I17" s="3530"/>
      <c r="J17" s="3530"/>
      <c r="K17" s="3530"/>
      <c r="L17" s="3530"/>
      <c r="M17" s="3530"/>
      <c r="N17" s="3530"/>
      <c r="O17" s="3530"/>
      <c r="P17" s="3530"/>
      <c r="Q17" s="3530"/>
      <c r="R17" s="3530"/>
      <c r="S17" s="3530"/>
    </row>
    <row r="18" spans="1:19" s="503" customFormat="1" ht="40.5" customHeight="1">
      <c r="A18" s="483" t="s">
        <v>622</v>
      </c>
      <c r="B18" s="505" t="s">
        <v>623</v>
      </c>
      <c r="C18" s="505"/>
      <c r="D18" s="481" t="s">
        <v>624</v>
      </c>
      <c r="E18" s="481" t="s">
        <v>625</v>
      </c>
      <c r="F18" s="3522" t="s">
        <v>626</v>
      </c>
      <c r="G18" s="3523"/>
      <c r="H18" s="3523"/>
      <c r="I18" s="3523"/>
      <c r="J18" s="3523"/>
      <c r="K18" s="3523"/>
      <c r="L18" s="3523"/>
      <c r="M18" s="3523"/>
      <c r="N18" s="3523"/>
      <c r="O18" s="3523"/>
      <c r="P18" s="3523"/>
      <c r="Q18" s="3524"/>
      <c r="R18" s="3525" t="s">
        <v>597</v>
      </c>
      <c r="S18" s="3526"/>
    </row>
    <row r="19" spans="1:19" s="503" customFormat="1" ht="28.5" customHeight="1">
      <c r="A19" s="483">
        <v>1</v>
      </c>
      <c r="B19" s="506" t="s">
        <v>445</v>
      </c>
      <c r="C19" s="506"/>
      <c r="D19" s="507" t="s">
        <v>627</v>
      </c>
      <c r="E19" s="508" t="s">
        <v>628</v>
      </c>
      <c r="F19" s="3520">
        <f>'R.FILE GOC'!H18</f>
        <v>0</v>
      </c>
      <c r="G19" s="3521"/>
      <c r="H19" s="3521"/>
      <c r="I19" s="3521"/>
      <c r="J19" s="3520">
        <f>'R.FILE GOC'!N18</f>
        <v>0</v>
      </c>
      <c r="K19" s="3521"/>
      <c r="L19" s="3521"/>
      <c r="M19" s="3521"/>
      <c r="N19" s="3520">
        <f>'R.FILE GOC'!T18</f>
        <v>0</v>
      </c>
      <c r="O19" s="3521"/>
      <c r="P19" s="3521"/>
      <c r="Q19" s="3521"/>
      <c r="R19" s="509"/>
      <c r="S19" s="509"/>
    </row>
    <row r="20" spans="1:19" s="503" customFormat="1" ht="28.5" customHeight="1">
      <c r="A20" s="483">
        <v>2</v>
      </c>
      <c r="B20" s="506" t="s">
        <v>447</v>
      </c>
      <c r="C20" s="506"/>
      <c r="D20" s="507" t="s">
        <v>627</v>
      </c>
      <c r="E20" s="508" t="s">
        <v>628</v>
      </c>
      <c r="F20" s="3520">
        <f>'R.FILE GOC'!H19</f>
        <v>0</v>
      </c>
      <c r="G20" s="3521"/>
      <c r="H20" s="3521"/>
      <c r="I20" s="3521"/>
      <c r="J20" s="3520">
        <f>'R.FILE GOC'!N19</f>
        <v>0</v>
      </c>
      <c r="K20" s="3521"/>
      <c r="L20" s="3521"/>
      <c r="M20" s="3521"/>
      <c r="N20" s="3520">
        <f>'R.FILE GOC'!T19</f>
        <v>0</v>
      </c>
      <c r="O20" s="3521"/>
      <c r="P20" s="3521"/>
      <c r="Q20" s="3521"/>
      <c r="R20" s="510"/>
      <c r="S20" s="510"/>
    </row>
    <row r="21" spans="1:19" s="503" customFormat="1" ht="28.5" customHeight="1">
      <c r="A21" s="483">
        <v>3</v>
      </c>
      <c r="B21" s="506" t="s">
        <v>440</v>
      </c>
      <c r="C21" s="506"/>
      <c r="D21" s="507" t="s">
        <v>627</v>
      </c>
      <c r="E21" s="508" t="s">
        <v>629</v>
      </c>
      <c r="F21" s="3520">
        <f>'R.FILE GOC'!H20</f>
        <v>0</v>
      </c>
      <c r="G21" s="3521"/>
      <c r="H21" s="3521"/>
      <c r="I21" s="3521"/>
      <c r="J21" s="3520">
        <f>'R.FILE GOC'!N20</f>
        <v>0</v>
      </c>
      <c r="K21" s="3521"/>
      <c r="L21" s="3521"/>
      <c r="M21" s="3521"/>
      <c r="N21" s="3520">
        <f>'R.FILE GOC'!T20</f>
        <v>0</v>
      </c>
      <c r="O21" s="3521"/>
      <c r="P21" s="3521"/>
      <c r="Q21" s="3521"/>
      <c r="R21" s="510"/>
      <c r="S21" s="510"/>
    </row>
    <row r="22" spans="1:19" s="503" customFormat="1" ht="28.5" customHeight="1">
      <c r="A22" s="511"/>
      <c r="B22" s="512"/>
      <c r="C22" s="512"/>
      <c r="D22" s="513"/>
      <c r="E22" s="514"/>
      <c r="F22" s="3556"/>
      <c r="G22" s="3556"/>
      <c r="H22" s="3556"/>
      <c r="I22" s="3556"/>
      <c r="J22" s="3556"/>
      <c r="K22" s="3556"/>
      <c r="L22" s="3556"/>
      <c r="M22" s="3556"/>
      <c r="N22" s="3556"/>
      <c r="O22" s="3556"/>
      <c r="P22" s="3556"/>
      <c r="Q22" s="3556"/>
      <c r="R22" s="515"/>
      <c r="S22" s="515"/>
    </row>
    <row r="23" spans="1:19" ht="39" customHeight="1">
      <c r="A23" s="3557" t="s">
        <v>918</v>
      </c>
      <c r="B23" s="3557"/>
      <c r="C23" s="3557"/>
      <c r="D23" s="3557"/>
      <c r="E23" s="3557"/>
      <c r="F23" s="3557"/>
      <c r="G23" s="3557"/>
      <c r="H23" s="3557"/>
      <c r="I23" s="3557"/>
      <c r="J23" s="3557"/>
      <c r="K23" s="3557"/>
      <c r="L23" s="3557"/>
      <c r="M23" s="3557"/>
      <c r="N23" s="475"/>
      <c r="O23" s="475"/>
      <c r="P23" s="475"/>
      <c r="Q23" s="475"/>
      <c r="R23" s="3558"/>
      <c r="S23" s="3558"/>
    </row>
    <row r="24" spans="1:19" ht="23.25" customHeight="1">
      <c r="A24" s="477"/>
      <c r="B24" s="477" t="s">
        <v>630</v>
      </c>
      <c r="C24" s="477"/>
      <c r="D24" s="1821" t="str">
        <f>D3</f>
        <v>Thứ 4,</v>
      </c>
      <c r="E24" s="1428" t="str">
        <f>$E$3</f>
        <v>2024/05/22</v>
      </c>
      <c r="F24" s="476"/>
      <c r="G24" s="476"/>
      <c r="H24" s="476"/>
      <c r="I24" s="476"/>
      <c r="J24" s="476"/>
      <c r="K24" s="476"/>
      <c r="L24" s="476"/>
      <c r="M24" s="476"/>
      <c r="N24" s="476"/>
      <c r="O24" s="476"/>
      <c r="P24" s="476"/>
      <c r="Q24" s="476"/>
      <c r="R24" s="3555"/>
      <c r="S24" s="3555"/>
    </row>
    <row r="25" spans="1:19" s="482" customFormat="1" ht="36.75" customHeight="1">
      <c r="A25" s="3535" t="s">
        <v>631</v>
      </c>
      <c r="B25" s="3537" t="s">
        <v>594</v>
      </c>
      <c r="C25" s="516"/>
      <c r="D25" s="3537" t="s">
        <v>124</v>
      </c>
      <c r="E25" s="3539" t="s">
        <v>595</v>
      </c>
      <c r="F25" s="3522" t="s">
        <v>596</v>
      </c>
      <c r="G25" s="3523"/>
      <c r="H25" s="3523"/>
      <c r="I25" s="3523"/>
      <c r="J25" s="3523"/>
      <c r="K25" s="3523"/>
      <c r="L25" s="3523"/>
      <c r="M25" s="3523"/>
      <c r="N25" s="3523"/>
      <c r="O25" s="3523"/>
      <c r="P25" s="3523"/>
      <c r="Q25" s="3524"/>
      <c r="R25" s="3545" t="s">
        <v>597</v>
      </c>
      <c r="S25" s="3545"/>
    </row>
    <row r="26" spans="1:19" s="482" customFormat="1" ht="16.5" customHeight="1">
      <c r="A26" s="3535"/>
      <c r="B26" s="3530"/>
      <c r="C26" s="481"/>
      <c r="D26" s="3530"/>
      <c r="E26" s="3540"/>
      <c r="F26" s="3547">
        <v>0.875</v>
      </c>
      <c r="G26" s="3538"/>
      <c r="H26" s="3538"/>
      <c r="I26" s="3538"/>
      <c r="J26" s="3548">
        <v>8.3333333333333329E-2</v>
      </c>
      <c r="K26" s="3549"/>
      <c r="L26" s="3549"/>
      <c r="M26" s="3550"/>
      <c r="N26" s="3548">
        <v>0.22916666666666666</v>
      </c>
      <c r="O26" s="3549"/>
      <c r="P26" s="3549"/>
      <c r="Q26" s="3550"/>
      <c r="R26" s="3546"/>
      <c r="S26" s="3546"/>
    </row>
    <row r="27" spans="1:19" s="482" customFormat="1" ht="38.25" customHeight="1">
      <c r="A27" s="3536"/>
      <c r="B27" s="3538"/>
      <c r="C27" s="483"/>
      <c r="D27" s="3538"/>
      <c r="E27" s="3541"/>
      <c r="F27" s="484" t="s">
        <v>598</v>
      </c>
      <c r="G27" s="3551" t="s">
        <v>599</v>
      </c>
      <c r="H27" s="3552"/>
      <c r="I27" s="3553"/>
      <c r="J27" s="484" t="s">
        <v>598</v>
      </c>
      <c r="K27" s="3542" t="s">
        <v>599</v>
      </c>
      <c r="L27" s="3543"/>
      <c r="M27" s="3544"/>
      <c r="N27" s="484" t="s">
        <v>598</v>
      </c>
      <c r="O27" s="3542" t="s">
        <v>599</v>
      </c>
      <c r="P27" s="3543"/>
      <c r="Q27" s="3544"/>
      <c r="R27" s="3554" t="s">
        <v>632</v>
      </c>
      <c r="S27" s="3554"/>
    </row>
    <row r="28" spans="1:19" ht="28.5" customHeight="1">
      <c r="A28" s="483">
        <v>1</v>
      </c>
      <c r="B28" s="485" t="s">
        <v>601</v>
      </c>
      <c r="C28" s="485"/>
      <c r="D28" s="486" t="s">
        <v>602</v>
      </c>
      <c r="E28" s="487" t="s">
        <v>603</v>
      </c>
      <c r="F28" s="488">
        <f>'R.FILE GOC'!Z6</f>
        <v>0</v>
      </c>
      <c r="G28" s="489" t="s">
        <v>617</v>
      </c>
      <c r="H28" s="490">
        <f>'R.FILE GOC'!AC6</f>
        <v>292.1875</v>
      </c>
      <c r="I28" s="483" t="s">
        <v>10</v>
      </c>
      <c r="J28" s="488">
        <f>'R.FILE GOC'!AF6</f>
        <v>0</v>
      </c>
      <c r="K28" s="489" t="s">
        <v>617</v>
      </c>
      <c r="L28" s="490">
        <f>'R.FILE GOC'!AI6</f>
        <v>292.1875</v>
      </c>
      <c r="M28" s="483" t="s">
        <v>10</v>
      </c>
      <c r="N28" s="488">
        <f>'R.FILE GOC'!AL6</f>
        <v>0</v>
      </c>
      <c r="O28" s="489" t="s">
        <v>617</v>
      </c>
      <c r="P28" s="490">
        <f>'R.FILE GOC'!AO6</f>
        <v>292.1875</v>
      </c>
      <c r="Q28" s="483" t="s">
        <v>10</v>
      </c>
      <c r="R28" s="3529" t="s">
        <v>633</v>
      </c>
      <c r="S28" s="3529"/>
    </row>
    <row r="29" spans="1:19" ht="28.5" hidden="1" customHeight="1">
      <c r="A29" s="483">
        <v>2</v>
      </c>
      <c r="B29" s="485" t="s">
        <v>606</v>
      </c>
      <c r="C29" s="491"/>
      <c r="D29" s="486" t="s">
        <v>602</v>
      </c>
      <c r="E29" s="487" t="s">
        <v>603</v>
      </c>
      <c r="F29" s="492">
        <f>'R.FILE GOC'!Z7</f>
        <v>0</v>
      </c>
      <c r="G29" s="493" t="s">
        <v>617</v>
      </c>
      <c r="H29" s="494">
        <f>'R.FILE GOC'!AC7</f>
        <v>292.1875</v>
      </c>
      <c r="I29" s="210" t="s">
        <v>10</v>
      </c>
      <c r="J29" s="492">
        <f>'R.FILE GOC'!AF7</f>
        <v>0</v>
      </c>
      <c r="K29" s="493" t="s">
        <v>617</v>
      </c>
      <c r="L29" s="494">
        <f>'R.FILE GOC'!AI7</f>
        <v>292.1875</v>
      </c>
      <c r="M29" s="210" t="s">
        <v>10</v>
      </c>
      <c r="N29" s="492">
        <f>'R.FILE GOC'!AL7</f>
        <v>0</v>
      </c>
      <c r="O29" s="493" t="s">
        <v>617</v>
      </c>
      <c r="P29" s="494">
        <f>'R.FILE GOC'!AO7</f>
        <v>292.1875</v>
      </c>
      <c r="Q29" s="210" t="s">
        <v>10</v>
      </c>
      <c r="R29" s="3529" t="s">
        <v>634</v>
      </c>
      <c r="S29" s="3529"/>
    </row>
    <row r="30" spans="1:19" ht="28.5" customHeight="1">
      <c r="A30" s="483">
        <v>3</v>
      </c>
      <c r="B30" s="3531" t="s">
        <v>635</v>
      </c>
      <c r="C30" s="496"/>
      <c r="D30" s="3534" t="s">
        <v>431</v>
      </c>
      <c r="E30" s="487" t="s">
        <v>608</v>
      </c>
      <c r="F30" s="488">
        <f>'R.FILE GOC'!Z8</f>
        <v>0</v>
      </c>
      <c r="G30" s="489" t="s">
        <v>617</v>
      </c>
      <c r="H30" s="490">
        <f>'R.FILE GOC'!AC8</f>
        <v>69.400000000000006</v>
      </c>
      <c r="I30" s="483" t="s">
        <v>618</v>
      </c>
      <c r="J30" s="488">
        <f>'R.FILE GOC'!AF8</f>
        <v>0</v>
      </c>
      <c r="K30" s="489" t="s">
        <v>617</v>
      </c>
      <c r="L30" s="490">
        <f>'R.FILE GOC'!AI8</f>
        <v>69.400000000000006</v>
      </c>
      <c r="M30" s="483" t="s">
        <v>618</v>
      </c>
      <c r="N30" s="488">
        <f>'R.FILE GOC'!AL8</f>
        <v>0</v>
      </c>
      <c r="O30" s="489" t="s">
        <v>617</v>
      </c>
      <c r="P30" s="490">
        <f>'R.FILE GOC'!AO8</f>
        <v>69.400000000000006</v>
      </c>
      <c r="Q30" s="483" t="s">
        <v>618</v>
      </c>
      <c r="R30" s="3529" t="s">
        <v>636</v>
      </c>
      <c r="S30" s="3529"/>
    </row>
    <row r="31" spans="1:19" ht="28.5" customHeight="1">
      <c r="A31" s="483">
        <v>4</v>
      </c>
      <c r="B31" s="3532"/>
      <c r="C31" s="497"/>
      <c r="D31" s="3534"/>
      <c r="E31" s="487" t="s">
        <v>612</v>
      </c>
      <c r="F31" s="488">
        <f>'R.FILE GOC'!Z9</f>
        <v>0</v>
      </c>
      <c r="G31" s="489" t="s">
        <v>617</v>
      </c>
      <c r="H31" s="490">
        <f>'R.FILE GOC'!AC9</f>
        <v>4.5110000000000001</v>
      </c>
      <c r="I31" s="483" t="s">
        <v>618</v>
      </c>
      <c r="J31" s="488">
        <f>'R.FILE GOC'!AF9</f>
        <v>0</v>
      </c>
      <c r="K31" s="489" t="s">
        <v>617</v>
      </c>
      <c r="L31" s="490">
        <f>'R.FILE GOC'!AI9</f>
        <v>4.5110000000000001</v>
      </c>
      <c r="M31" s="483" t="s">
        <v>618</v>
      </c>
      <c r="N31" s="488">
        <f>'R.FILE GOC'!AL9</f>
        <v>0</v>
      </c>
      <c r="O31" s="489" t="s">
        <v>617</v>
      </c>
      <c r="P31" s="490">
        <f>'R.FILE GOC'!AO9</f>
        <v>4.5110000000000001</v>
      </c>
      <c r="Q31" s="483" t="s">
        <v>618</v>
      </c>
      <c r="R31" s="3529" t="s">
        <v>637</v>
      </c>
      <c r="S31" s="3529"/>
    </row>
    <row r="32" spans="1:19" ht="28.5" customHeight="1">
      <c r="A32" s="483">
        <v>5</v>
      </c>
      <c r="B32" s="3533"/>
      <c r="C32" s="498"/>
      <c r="D32" s="3534"/>
      <c r="E32" s="487" t="s">
        <v>614</v>
      </c>
      <c r="F32" s="499">
        <f>'R.FILE GOC'!Z10</f>
        <v>0</v>
      </c>
      <c r="G32" s="489" t="s">
        <v>638</v>
      </c>
      <c r="H32" s="490">
        <f>'R.FILE GOC'!AC10</f>
        <v>0</v>
      </c>
      <c r="I32" s="483" t="s">
        <v>639</v>
      </c>
      <c r="J32" s="499">
        <f>'R.FILE GOC'!AF10</f>
        <v>0</v>
      </c>
      <c r="K32" s="489" t="s">
        <v>638</v>
      </c>
      <c r="L32" s="490">
        <f>'R.FILE GOC'!AI10</f>
        <v>0</v>
      </c>
      <c r="M32" s="483" t="s">
        <v>639</v>
      </c>
      <c r="N32" s="499">
        <f>'R.FILE GOC'!AL10</f>
        <v>0</v>
      </c>
      <c r="O32" s="489" t="s">
        <v>638</v>
      </c>
      <c r="P32" s="490" t="str">
        <f>'R.FILE GOC'!AO10</f>
        <v>N/A</v>
      </c>
      <c r="Q32" s="483" t="s">
        <v>639</v>
      </c>
      <c r="R32" s="3529"/>
      <c r="S32" s="3529"/>
    </row>
    <row r="33" spans="1:19" ht="28.5" customHeight="1">
      <c r="A33" s="483">
        <v>6</v>
      </c>
      <c r="B33" s="3531" t="s">
        <v>615</v>
      </c>
      <c r="C33" s="496"/>
      <c r="D33" s="3534" t="s">
        <v>431</v>
      </c>
      <c r="E33" s="487" t="s">
        <v>608</v>
      </c>
      <c r="F33" s="488">
        <f>'R.FILE GOC'!Z11</f>
        <v>0</v>
      </c>
      <c r="G33" s="489" t="s">
        <v>638</v>
      </c>
      <c r="H33" s="490">
        <f>'R.FILE GOC'!AC11</f>
        <v>69.400000000000006</v>
      </c>
      <c r="I33" s="483" t="s">
        <v>639</v>
      </c>
      <c r="J33" s="488">
        <f>'R.FILE GOC'!AF11</f>
        <v>0</v>
      </c>
      <c r="K33" s="489" t="s">
        <v>638</v>
      </c>
      <c r="L33" s="490">
        <f>'R.FILE GOC'!AI11</f>
        <v>69.400000000000006</v>
      </c>
      <c r="M33" s="483" t="s">
        <v>639</v>
      </c>
      <c r="N33" s="488">
        <f>'R.FILE GOC'!AL11</f>
        <v>0</v>
      </c>
      <c r="O33" s="489" t="s">
        <v>638</v>
      </c>
      <c r="P33" s="490">
        <f>'R.FILE GOC'!AO11</f>
        <v>69.400000000000006</v>
      </c>
      <c r="Q33" s="483" t="s">
        <v>639</v>
      </c>
      <c r="R33" s="3529" t="s">
        <v>636</v>
      </c>
      <c r="S33" s="3529"/>
    </row>
    <row r="34" spans="1:19" ht="28.5" customHeight="1">
      <c r="A34" s="483">
        <v>7</v>
      </c>
      <c r="B34" s="3532"/>
      <c r="C34" s="497"/>
      <c r="D34" s="3534"/>
      <c r="E34" s="487" t="s">
        <v>612</v>
      </c>
      <c r="F34" s="499">
        <f>'R.FILE GOC'!Z12</f>
        <v>0</v>
      </c>
      <c r="G34" s="489" t="s">
        <v>638</v>
      </c>
      <c r="H34" s="490">
        <f>'R.FILE GOC'!AC12</f>
        <v>4.5110000000000001</v>
      </c>
      <c r="I34" s="483" t="s">
        <v>639</v>
      </c>
      <c r="J34" s="499">
        <f>'R.FILE GOC'!AF12</f>
        <v>0</v>
      </c>
      <c r="K34" s="489" t="s">
        <v>638</v>
      </c>
      <c r="L34" s="490">
        <f>'R.FILE GOC'!AI12</f>
        <v>4.5110000000000001</v>
      </c>
      <c r="M34" s="483" t="s">
        <v>639</v>
      </c>
      <c r="N34" s="499">
        <f>'R.FILE GOC'!AL12</f>
        <v>0</v>
      </c>
      <c r="O34" s="489" t="s">
        <v>638</v>
      </c>
      <c r="P34" s="490">
        <f>'R.FILE GOC'!AO12</f>
        <v>4.5110000000000001</v>
      </c>
      <c r="Q34" s="483" t="s">
        <v>639</v>
      </c>
      <c r="R34" s="3529" t="s">
        <v>637</v>
      </c>
      <c r="S34" s="3529"/>
    </row>
    <row r="35" spans="1:19" ht="28.5" customHeight="1">
      <c r="A35" s="483">
        <v>8</v>
      </c>
      <c r="B35" s="3533"/>
      <c r="C35" s="498"/>
      <c r="D35" s="3534"/>
      <c r="E35" s="487" t="s">
        <v>614</v>
      </c>
      <c r="F35" s="499">
        <f>'R.FILE GOC'!Z13</f>
        <v>0</v>
      </c>
      <c r="G35" s="489" t="s">
        <v>638</v>
      </c>
      <c r="H35" s="490">
        <f>'R.FILE GOC'!AC13</f>
        <v>0</v>
      </c>
      <c r="I35" s="483" t="s">
        <v>639</v>
      </c>
      <c r="J35" s="499">
        <f>'R.FILE GOC'!AF13</f>
        <v>0</v>
      </c>
      <c r="K35" s="489" t="s">
        <v>638</v>
      </c>
      <c r="L35" s="490">
        <f>'R.FILE GOC'!AI13</f>
        <v>0</v>
      </c>
      <c r="M35" s="483" t="s">
        <v>639</v>
      </c>
      <c r="N35" s="499">
        <f>'R.FILE GOC'!AL13</f>
        <v>0</v>
      </c>
      <c r="O35" s="489" t="s">
        <v>638</v>
      </c>
      <c r="P35" s="490" t="str">
        <f>'R.FILE GOC'!AO13</f>
        <v>N/A</v>
      </c>
      <c r="Q35" s="483" t="s">
        <v>639</v>
      </c>
      <c r="R35" s="3529"/>
      <c r="S35" s="3529"/>
    </row>
    <row r="36" spans="1:19" s="503" customFormat="1" ht="28.5" customHeight="1">
      <c r="A36" s="483">
        <v>9</v>
      </c>
      <c r="B36" s="3527" t="s">
        <v>616</v>
      </c>
      <c r="C36" s="491"/>
      <c r="D36" s="500" t="s">
        <v>431</v>
      </c>
      <c r="E36" s="487" t="s">
        <v>441</v>
      </c>
      <c r="F36" s="488">
        <f>'R.FILE GOC'!Z14</f>
        <v>0</v>
      </c>
      <c r="G36" s="489" t="s">
        <v>617</v>
      </c>
      <c r="H36" s="501">
        <f>'R.FILE GOC'!AC14</f>
        <v>4.3680000000000003</v>
      </c>
      <c r="I36" s="502" t="s">
        <v>618</v>
      </c>
      <c r="J36" s="488">
        <f>'R.FILE GOC'!AF14</f>
        <v>0</v>
      </c>
      <c r="K36" s="489" t="s">
        <v>617</v>
      </c>
      <c r="L36" s="501">
        <f>'R.FILE GOC'!AI14</f>
        <v>4.3680000000000003</v>
      </c>
      <c r="M36" s="502" t="s">
        <v>618</v>
      </c>
      <c r="N36" s="488">
        <f>'R.FILE GOC'!AL14</f>
        <v>0</v>
      </c>
      <c r="O36" s="489" t="s">
        <v>617</v>
      </c>
      <c r="P36" s="501">
        <f>'R.FILE GOC'!AO14</f>
        <v>4.3680000000000003</v>
      </c>
      <c r="Q36" s="502" t="s">
        <v>618</v>
      </c>
      <c r="R36" s="3529"/>
      <c r="S36" s="3529"/>
    </row>
    <row r="37" spans="1:19" s="503" customFormat="1" ht="28.5" customHeight="1">
      <c r="A37" s="483">
        <v>10</v>
      </c>
      <c r="B37" s="3528"/>
      <c r="C37" s="504"/>
      <c r="D37" s="500" t="s">
        <v>619</v>
      </c>
      <c r="E37" s="487" t="s">
        <v>620</v>
      </c>
      <c r="F37" s="488">
        <f>'R.FILE GOC'!Z15</f>
        <v>0</v>
      </c>
      <c r="G37" s="489"/>
      <c r="H37" s="490"/>
      <c r="I37" s="502"/>
      <c r="J37" s="488">
        <f>'R.FILE GOC'!AF15</f>
        <v>0</v>
      </c>
      <c r="K37" s="489"/>
      <c r="L37" s="490"/>
      <c r="M37" s="502"/>
      <c r="N37" s="488">
        <f>'R.FILE GOC'!AL15</f>
        <v>0</v>
      </c>
      <c r="O37" s="489"/>
      <c r="P37" s="490"/>
      <c r="Q37" s="502"/>
      <c r="R37" s="3529"/>
      <c r="S37" s="3529"/>
    </row>
    <row r="38" spans="1:19" s="503" customFormat="1" ht="27" customHeight="1">
      <c r="A38" s="3530" t="s">
        <v>621</v>
      </c>
      <c r="B38" s="3530"/>
      <c r="C38" s="3530"/>
      <c r="D38" s="3530"/>
      <c r="E38" s="3530"/>
      <c r="F38" s="3530"/>
      <c r="G38" s="3530"/>
      <c r="H38" s="3530"/>
      <c r="I38" s="3530"/>
      <c r="J38" s="3530"/>
      <c r="K38" s="3530"/>
      <c r="L38" s="3530"/>
      <c r="M38" s="3530"/>
      <c r="N38" s="3530"/>
      <c r="O38" s="3530"/>
      <c r="P38" s="3530"/>
      <c r="Q38" s="3530"/>
      <c r="R38" s="3530"/>
      <c r="S38" s="3530"/>
    </row>
    <row r="39" spans="1:19" s="503" customFormat="1" ht="34.5" customHeight="1">
      <c r="A39" s="483" t="s">
        <v>640</v>
      </c>
      <c r="B39" s="505" t="s">
        <v>623</v>
      </c>
      <c r="C39" s="505"/>
      <c r="D39" s="481" t="s">
        <v>624</v>
      </c>
      <c r="E39" s="481" t="s">
        <v>625</v>
      </c>
      <c r="F39" s="3522" t="s">
        <v>626</v>
      </c>
      <c r="G39" s="3523"/>
      <c r="H39" s="3523"/>
      <c r="I39" s="3523"/>
      <c r="J39" s="3523"/>
      <c r="K39" s="3523"/>
      <c r="L39" s="3523"/>
      <c r="M39" s="3523"/>
      <c r="N39" s="3523"/>
      <c r="O39" s="3523"/>
      <c r="P39" s="3523"/>
      <c r="Q39" s="3524"/>
      <c r="R39" s="3525" t="s">
        <v>597</v>
      </c>
      <c r="S39" s="3526"/>
    </row>
    <row r="40" spans="1:19" s="503" customFormat="1" ht="30.75" customHeight="1">
      <c r="A40" s="483">
        <v>1</v>
      </c>
      <c r="B40" s="506" t="s">
        <v>445</v>
      </c>
      <c r="C40" s="506"/>
      <c r="D40" s="507" t="s">
        <v>627</v>
      </c>
      <c r="E40" s="508" t="s">
        <v>628</v>
      </c>
      <c r="F40" s="3520">
        <f>'R.FILE GOC'!Z18</f>
        <v>0</v>
      </c>
      <c r="G40" s="3521"/>
      <c r="H40" s="3521"/>
      <c r="I40" s="3521"/>
      <c r="J40" s="3520">
        <f>'R.FILE GOC'!AF18</f>
        <v>0</v>
      </c>
      <c r="K40" s="3521"/>
      <c r="L40" s="3521"/>
      <c r="M40" s="3521"/>
      <c r="N40" s="3520">
        <f>'R.FILE GOC'!AL18</f>
        <v>0</v>
      </c>
      <c r="O40" s="3521"/>
      <c r="P40" s="3521"/>
      <c r="Q40" s="3521"/>
      <c r="R40" s="509"/>
      <c r="S40" s="509"/>
    </row>
    <row r="41" spans="1:19" s="503" customFormat="1" ht="30.75" customHeight="1">
      <c r="A41" s="483">
        <v>2</v>
      </c>
      <c r="B41" s="506" t="s">
        <v>447</v>
      </c>
      <c r="C41" s="506"/>
      <c r="D41" s="507" t="s">
        <v>627</v>
      </c>
      <c r="E41" s="508" t="s">
        <v>628</v>
      </c>
      <c r="F41" s="3520">
        <f>'R.FILE GOC'!Z19</f>
        <v>0</v>
      </c>
      <c r="G41" s="3521"/>
      <c r="H41" s="3521"/>
      <c r="I41" s="3521"/>
      <c r="J41" s="3520">
        <f>'R.FILE GOC'!AF19</f>
        <v>0</v>
      </c>
      <c r="K41" s="3521"/>
      <c r="L41" s="3521"/>
      <c r="M41" s="3521"/>
      <c r="N41" s="3520">
        <f>'R.FILE GOC'!AL19</f>
        <v>0</v>
      </c>
      <c r="O41" s="3521"/>
      <c r="P41" s="3521"/>
      <c r="Q41" s="3521"/>
      <c r="R41" s="509"/>
      <c r="S41" s="509"/>
    </row>
    <row r="42" spans="1:19" s="503" customFormat="1" ht="30.75" customHeight="1">
      <c r="A42" s="483">
        <v>3</v>
      </c>
      <c r="B42" s="506" t="s">
        <v>440</v>
      </c>
      <c r="C42" s="506"/>
      <c r="D42" s="507" t="s">
        <v>627</v>
      </c>
      <c r="E42" s="508" t="s">
        <v>629</v>
      </c>
      <c r="F42" s="3520">
        <f>'R.FILE GOC'!Z20</f>
        <v>0</v>
      </c>
      <c r="G42" s="3521"/>
      <c r="H42" s="3521"/>
      <c r="I42" s="3521"/>
      <c r="J42" s="3520">
        <f>'R.FILE GOC'!AF20</f>
        <v>0</v>
      </c>
      <c r="K42" s="3521"/>
      <c r="L42" s="3521"/>
      <c r="M42" s="3521"/>
      <c r="N42" s="3520">
        <f>'R.FILE GOC'!AL20</f>
        <v>0</v>
      </c>
      <c r="O42" s="3521"/>
      <c r="P42" s="3521"/>
      <c r="Q42" s="3521"/>
      <c r="R42" s="510"/>
      <c r="S42" s="510"/>
    </row>
    <row r="43" spans="1:19" ht="20.25" customHeight="1">
      <c r="A43" s="517"/>
      <c r="B43" s="518"/>
      <c r="C43" s="518"/>
      <c r="D43" s="519"/>
      <c r="E43" s="518"/>
      <c r="F43" s="518"/>
      <c r="G43" s="518"/>
      <c r="H43" s="518"/>
      <c r="I43" s="518"/>
      <c r="J43" s="518"/>
      <c r="K43" s="518"/>
      <c r="L43" s="518"/>
      <c r="M43" s="518"/>
      <c r="N43" s="518"/>
      <c r="O43" s="518"/>
      <c r="P43" s="518"/>
      <c r="Q43" s="518"/>
    </row>
    <row r="44" spans="1:19" ht="12.75" customHeight="1">
      <c r="A44" s="520"/>
      <c r="B44" s="518"/>
      <c r="C44" s="518"/>
      <c r="D44" s="511"/>
      <c r="E44" s="518"/>
      <c r="F44" s="521"/>
      <c r="G44" s="522"/>
      <c r="H44" s="511"/>
      <c r="I44" s="523"/>
      <c r="J44" s="523"/>
      <c r="K44" s="523"/>
      <c r="L44" s="523"/>
      <c r="M44" s="523"/>
      <c r="N44" s="523"/>
      <c r="O44" s="523"/>
      <c r="P44" s="523"/>
      <c r="Q44" s="523"/>
    </row>
  </sheetData>
  <sheetProtection selectLockedCells="1"/>
  <mergeCells count="91">
    <mergeCell ref="A1:M1"/>
    <mergeCell ref="A2:M2"/>
    <mergeCell ref="P2:Q2"/>
    <mergeCell ref="R2:S2"/>
    <mergeCell ref="P3:Q3"/>
    <mergeCell ref="R3:S3"/>
    <mergeCell ref="R4:S5"/>
    <mergeCell ref="F5:I5"/>
    <mergeCell ref="J5:M5"/>
    <mergeCell ref="N5:Q5"/>
    <mergeCell ref="G6:I6"/>
    <mergeCell ref="R6:S6"/>
    <mergeCell ref="A4:A6"/>
    <mergeCell ref="B4:B6"/>
    <mergeCell ref="D4:D6"/>
    <mergeCell ref="E4:E6"/>
    <mergeCell ref="F4:Q4"/>
    <mergeCell ref="K6:M6"/>
    <mergeCell ref="O6:Q6"/>
    <mergeCell ref="R7:S7"/>
    <mergeCell ref="B9:B11"/>
    <mergeCell ref="D9:D11"/>
    <mergeCell ref="R9:S9"/>
    <mergeCell ref="R10:S10"/>
    <mergeCell ref="R11:S11"/>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24:S24"/>
    <mergeCell ref="F20:I20"/>
    <mergeCell ref="J20:M20"/>
    <mergeCell ref="N20:Q20"/>
    <mergeCell ref="F21:I21"/>
    <mergeCell ref="J21:M21"/>
    <mergeCell ref="N21:Q21"/>
    <mergeCell ref="F22:I22"/>
    <mergeCell ref="J22:M22"/>
    <mergeCell ref="N22:Q22"/>
    <mergeCell ref="A23:M23"/>
    <mergeCell ref="R23:S23"/>
    <mergeCell ref="R25:S26"/>
    <mergeCell ref="F26:I26"/>
    <mergeCell ref="J26:M26"/>
    <mergeCell ref="N26:Q26"/>
    <mergeCell ref="G27:I27"/>
    <mergeCell ref="R27:S27"/>
    <mergeCell ref="A25:A27"/>
    <mergeCell ref="B25:B27"/>
    <mergeCell ref="D25:D27"/>
    <mergeCell ref="E25:E27"/>
    <mergeCell ref="F25:Q25"/>
    <mergeCell ref="K27:M27"/>
    <mergeCell ref="O27:Q27"/>
    <mergeCell ref="R28:S28"/>
    <mergeCell ref="R29:S29"/>
    <mergeCell ref="R34:S34"/>
    <mergeCell ref="R35:S35"/>
    <mergeCell ref="A38:S38"/>
    <mergeCell ref="B33:B35"/>
    <mergeCell ref="D33:D35"/>
    <mergeCell ref="R33:S33"/>
    <mergeCell ref="B30:B32"/>
    <mergeCell ref="D30:D32"/>
    <mergeCell ref="R30:S30"/>
    <mergeCell ref="R31:S31"/>
    <mergeCell ref="R32:S32"/>
    <mergeCell ref="F39:Q39"/>
    <mergeCell ref="R39:S39"/>
    <mergeCell ref="B36:B37"/>
    <mergeCell ref="R36:S36"/>
    <mergeCell ref="R37:S37"/>
    <mergeCell ref="F42:I42"/>
    <mergeCell ref="J42:M42"/>
    <mergeCell ref="N42:Q42"/>
    <mergeCell ref="F40:I40"/>
    <mergeCell ref="J40:M40"/>
    <mergeCell ref="N40:Q40"/>
    <mergeCell ref="F41:I41"/>
    <mergeCell ref="J41:M41"/>
    <mergeCell ref="N41:Q41"/>
  </mergeCells>
  <phoneticPr fontId="7" type="noConversion"/>
  <conditionalFormatting sqref="F40:Q41 F19:Q20">
    <cfRule type="expression" dxfId="1390" priority="53">
      <formula>F19&lt;65</formula>
    </cfRule>
    <cfRule type="expression" dxfId="1389" priority="54">
      <formula>F19&gt;85</formula>
    </cfRule>
  </conditionalFormatting>
  <conditionalFormatting sqref="F42:Q42 F21:Q21">
    <cfRule type="expression" dxfId="1388" priority="51">
      <formula>F21&lt;80</formula>
    </cfRule>
    <cfRule type="expression" dxfId="1387" priority="52">
      <formula>F21&gt;90</formula>
    </cfRule>
  </conditionalFormatting>
  <conditionalFormatting sqref="F8 J8">
    <cfRule type="expression" dxfId="1386" priority="49">
      <formula>F8&lt;10</formula>
    </cfRule>
    <cfRule type="expression" dxfId="1385" priority="50">
      <formula>F8&gt;15</formula>
    </cfRule>
  </conditionalFormatting>
  <conditionalFormatting sqref="N8">
    <cfRule type="expression" dxfId="1384" priority="47">
      <formula>N8&lt;10</formula>
    </cfRule>
    <cfRule type="expression" dxfId="1383" priority="48">
      <formula>N8&gt;15</formula>
    </cfRule>
  </conditionalFormatting>
  <conditionalFormatting sqref="J8">
    <cfRule type="expression" dxfId="1382" priority="45">
      <formula>J8&lt;10</formula>
    </cfRule>
    <cfRule type="expression" dxfId="1381" priority="46">
      <formula>J8&gt;15</formula>
    </cfRule>
  </conditionalFormatting>
  <conditionalFormatting sqref="N8">
    <cfRule type="expression" dxfId="1380" priority="43">
      <formula>N8&lt;10</formula>
    </cfRule>
    <cfRule type="expression" dxfId="1379" priority="44">
      <formula>N8&gt;15</formula>
    </cfRule>
  </conditionalFormatting>
  <conditionalFormatting sqref="F8">
    <cfRule type="expression" dxfId="1378" priority="41">
      <formula>F8&lt;10</formula>
    </cfRule>
    <cfRule type="expression" dxfId="1377" priority="42">
      <formula>F8&gt;15</formula>
    </cfRule>
  </conditionalFormatting>
  <conditionalFormatting sqref="F8 J8">
    <cfRule type="expression" dxfId="1376" priority="39">
      <formula>F8&lt;10</formula>
    </cfRule>
    <cfRule type="expression" dxfId="1375" priority="40">
      <formula>F8&gt;15</formula>
    </cfRule>
  </conditionalFormatting>
  <conditionalFormatting sqref="N8">
    <cfRule type="expression" dxfId="1374" priority="37">
      <formula>N8&lt;10</formula>
    </cfRule>
    <cfRule type="expression" dxfId="1373" priority="38">
      <formula>N8&gt;15</formula>
    </cfRule>
  </conditionalFormatting>
  <conditionalFormatting sqref="F8">
    <cfRule type="expression" dxfId="1372" priority="35">
      <formula>F8&lt;10</formula>
    </cfRule>
    <cfRule type="expression" dxfId="1371" priority="36">
      <formula>F8&gt;15</formula>
    </cfRule>
  </conditionalFormatting>
  <conditionalFormatting sqref="F8">
    <cfRule type="expression" dxfId="1370" priority="34">
      <formula>F8&lt;1</formula>
    </cfRule>
  </conditionalFormatting>
  <conditionalFormatting sqref="J8">
    <cfRule type="expression" dxfId="1369" priority="32">
      <formula>J8&lt;10</formula>
    </cfRule>
    <cfRule type="expression" dxfId="1368" priority="33">
      <formula>J8&gt;15</formula>
    </cfRule>
  </conditionalFormatting>
  <conditionalFormatting sqref="J8">
    <cfRule type="expression" dxfId="1367" priority="31">
      <formula>J8&lt;1</formula>
    </cfRule>
  </conditionalFormatting>
  <conditionalFormatting sqref="N8">
    <cfRule type="expression" dxfId="1366" priority="29">
      <formula>N8&lt;10</formula>
    </cfRule>
    <cfRule type="expression" dxfId="1365" priority="30">
      <formula>N8&gt;15</formula>
    </cfRule>
  </conditionalFormatting>
  <conditionalFormatting sqref="N8">
    <cfRule type="expression" dxfId="1364" priority="27">
      <formula>N8&lt;10</formula>
    </cfRule>
    <cfRule type="expression" dxfId="1363" priority="28">
      <formula>N8&gt;15</formula>
    </cfRule>
  </conditionalFormatting>
  <conditionalFormatting sqref="N8">
    <cfRule type="expression" dxfId="1362" priority="26">
      <formula>N8&lt;1</formula>
    </cfRule>
  </conditionalFormatting>
  <conditionalFormatting sqref="F29 J29">
    <cfRule type="expression" dxfId="1361" priority="24">
      <formula>F29&lt;10</formula>
    </cfRule>
    <cfRule type="expression" dxfId="1360" priority="25">
      <formula>F29&gt;15</formula>
    </cfRule>
  </conditionalFormatting>
  <conditionalFormatting sqref="N29">
    <cfRule type="expression" dxfId="1359" priority="22">
      <formula>N29&lt;10</formula>
    </cfRule>
    <cfRule type="expression" dxfId="1358" priority="23">
      <formula>N29&gt;15</formula>
    </cfRule>
  </conditionalFormatting>
  <conditionalFormatting sqref="J29">
    <cfRule type="expression" dxfId="1357" priority="20">
      <formula>J29&lt;10</formula>
    </cfRule>
    <cfRule type="expression" dxfId="1356" priority="21">
      <formula>J29&gt;15</formula>
    </cfRule>
  </conditionalFormatting>
  <conditionalFormatting sqref="N29">
    <cfRule type="expression" dxfId="1355" priority="18">
      <formula>N29&lt;10</formula>
    </cfRule>
    <cfRule type="expression" dxfId="1354" priority="19">
      <formula>N29&gt;15</formula>
    </cfRule>
  </conditionalFormatting>
  <conditionalFormatting sqref="F29">
    <cfRule type="expression" dxfId="1353" priority="16">
      <formula>F29&lt;10</formula>
    </cfRule>
    <cfRule type="expression" dxfId="1352" priority="17">
      <formula>F29&gt;15</formula>
    </cfRule>
  </conditionalFormatting>
  <conditionalFormatting sqref="F29 J29">
    <cfRule type="expression" dxfId="1351" priority="14">
      <formula>F29&lt;10</formula>
    </cfRule>
    <cfRule type="expression" dxfId="1350" priority="15">
      <formula>F29&gt;15</formula>
    </cfRule>
  </conditionalFormatting>
  <conditionalFormatting sqref="N29">
    <cfRule type="expression" dxfId="1349" priority="12">
      <formula>N29&lt;10</formula>
    </cfRule>
    <cfRule type="expression" dxfId="1348" priority="13">
      <formula>N29&gt;15</formula>
    </cfRule>
  </conditionalFormatting>
  <conditionalFormatting sqref="F29">
    <cfRule type="expression" dxfId="1347" priority="10">
      <formula>F29&lt;10</formula>
    </cfRule>
    <cfRule type="expression" dxfId="1346" priority="11">
      <formula>F29&gt;15</formula>
    </cfRule>
  </conditionalFormatting>
  <conditionalFormatting sqref="F29">
    <cfRule type="expression" dxfId="1345" priority="9">
      <formula>F29&lt;1</formula>
    </cfRule>
  </conditionalFormatting>
  <conditionalFormatting sqref="J29">
    <cfRule type="expression" dxfId="1344" priority="7">
      <formula>J29&lt;10</formula>
    </cfRule>
    <cfRule type="expression" dxfId="1343" priority="8">
      <formula>J29&gt;15</formula>
    </cfRule>
  </conditionalFormatting>
  <conditionalFormatting sqref="J29">
    <cfRule type="expression" dxfId="1342" priority="6">
      <formula>J29&lt;1</formula>
    </cfRule>
  </conditionalFormatting>
  <conditionalFormatting sqref="N29">
    <cfRule type="expression" dxfId="1341" priority="4">
      <formula>N29&lt;10</formula>
    </cfRule>
    <cfRule type="expression" dxfId="1340" priority="5">
      <formula>N29&gt;15</formula>
    </cfRule>
  </conditionalFormatting>
  <conditionalFormatting sqref="N29">
    <cfRule type="expression" dxfId="1339" priority="2">
      <formula>N29&lt;10</formula>
    </cfRule>
    <cfRule type="expression" dxfId="1338" priority="3">
      <formula>N29&gt;15</formula>
    </cfRule>
  </conditionalFormatting>
  <conditionalFormatting sqref="N29">
    <cfRule type="expression" dxfId="1337"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3.xml><?xml version="1.0" encoding="utf-8"?>
<worksheet xmlns="http://schemas.openxmlformats.org/spreadsheetml/2006/main" xmlns:r="http://schemas.openxmlformats.org/officeDocument/2006/relationships">
  <sheetPr codeName="Sheet24">
    <tabColor rgb="FFFFC000"/>
  </sheetPr>
  <dimension ref="A1:Q35"/>
  <sheetViews>
    <sheetView zoomScale="85" zoomScaleNormal="85" workbookViewId="0">
      <selection activeCell="C3" sqref="C3:D3"/>
    </sheetView>
  </sheetViews>
  <sheetFormatPr defaultRowHeight="13.5"/>
  <cols>
    <col min="1" max="1" width="5.5" style="474" customWidth="1"/>
    <col min="2" max="2" width="23.875" style="524" customWidth="1"/>
    <col min="3" max="3" width="8.5" style="474" customWidth="1"/>
    <col min="4" max="4" width="14" style="474" customWidth="1"/>
    <col min="5" max="5" width="7.375" style="474" customWidth="1"/>
    <col min="6" max="6" width="3.875" style="474" customWidth="1"/>
    <col min="7" max="7" width="7.5" style="474" customWidth="1"/>
    <col min="8" max="8" width="4.375" style="474" customWidth="1"/>
    <col min="9" max="9" width="8.5" style="474" customWidth="1"/>
    <col min="10" max="10" width="2.625" style="474" customWidth="1"/>
    <col min="11" max="11" width="6.875" style="474" customWidth="1"/>
    <col min="12" max="12" width="4.25" style="474" customWidth="1"/>
    <col min="13" max="13" width="8.5" style="474" customWidth="1"/>
    <col min="14" max="14" width="2.625" style="474" customWidth="1"/>
    <col min="15" max="15" width="6.875" style="474" customWidth="1"/>
    <col min="16" max="16" width="4.25" style="474" customWidth="1"/>
    <col min="17" max="17" width="11.125" style="474" customWidth="1"/>
    <col min="18" max="16384" width="9" style="474"/>
  </cols>
  <sheetData>
    <row r="1" spans="1:17" ht="27.75" customHeight="1">
      <c r="A1" s="3560" t="s">
        <v>588</v>
      </c>
      <c r="B1" s="3560"/>
      <c r="C1" s="3560"/>
      <c r="D1" s="3560"/>
      <c r="E1" s="3560"/>
      <c r="F1" s="3560"/>
      <c r="G1" s="3560"/>
      <c r="H1" s="3560"/>
      <c r="I1" s="3560"/>
      <c r="J1" s="3560"/>
      <c r="K1" s="3560"/>
      <c r="L1" s="3560"/>
      <c r="M1" s="472"/>
      <c r="N1" s="472"/>
      <c r="O1" s="472"/>
      <c r="P1" s="472"/>
      <c r="Q1" s="472"/>
    </row>
    <row r="2" spans="1:17" ht="36.75" customHeight="1">
      <c r="A2" s="3557" t="s">
        <v>921</v>
      </c>
      <c r="B2" s="3557"/>
      <c r="C2" s="3557"/>
      <c r="D2" s="3557"/>
      <c r="E2" s="3557"/>
      <c r="F2" s="3557"/>
      <c r="G2" s="3557"/>
      <c r="H2" s="3557"/>
      <c r="I2" s="3557"/>
      <c r="J2" s="3557"/>
      <c r="K2" s="3557"/>
      <c r="L2" s="3557"/>
      <c r="M2" s="475"/>
      <c r="N2" s="475"/>
      <c r="O2" s="3337" t="s">
        <v>641</v>
      </c>
      <c r="P2" s="3339"/>
      <c r="Q2" s="75" t="s">
        <v>17</v>
      </c>
    </row>
    <row r="3" spans="1:17" ht="22.5" customHeight="1">
      <c r="A3" s="476"/>
      <c r="B3" s="477" t="s">
        <v>591</v>
      </c>
      <c r="C3" s="1999" t="str">
        <f>MENU!$AC$9</f>
        <v>Thứ 4,</v>
      </c>
      <c r="D3" s="1822" t="str">
        <f>MENU!$AD$9</f>
        <v>2024/05/22</v>
      </c>
      <c r="E3" s="478"/>
      <c r="F3" s="478"/>
      <c r="G3" s="478"/>
      <c r="H3" s="478"/>
      <c r="I3" s="3577"/>
      <c r="J3" s="3577"/>
      <c r="K3" s="3577"/>
      <c r="L3" s="526"/>
      <c r="M3" s="477"/>
      <c r="N3" s="477"/>
      <c r="O3" s="3565" t="str">
        <f>'1.xi den'!$R$3</f>
        <v>Mi</v>
      </c>
      <c r="P3" s="3566"/>
      <c r="Q3" s="527" t="s">
        <v>642</v>
      </c>
    </row>
    <row r="4" spans="1:17" s="528" customFormat="1" ht="39" customHeight="1">
      <c r="A4" s="3578" t="s">
        <v>643</v>
      </c>
      <c r="B4" s="3575" t="s">
        <v>644</v>
      </c>
      <c r="C4" s="3575" t="s">
        <v>645</v>
      </c>
      <c r="D4" s="3582" t="s">
        <v>646</v>
      </c>
      <c r="E4" s="3522" t="s">
        <v>920</v>
      </c>
      <c r="F4" s="3523"/>
      <c r="G4" s="3523"/>
      <c r="H4" s="3523"/>
      <c r="I4" s="3523"/>
      <c r="J4" s="3523"/>
      <c r="K4" s="3523"/>
      <c r="L4" s="3523"/>
      <c r="M4" s="3523"/>
      <c r="N4" s="3523"/>
      <c r="O4" s="3523"/>
      <c r="P4" s="3524"/>
      <c r="Q4" s="3148" t="s">
        <v>647</v>
      </c>
    </row>
    <row r="5" spans="1:17" s="528" customFormat="1" ht="25.5" customHeight="1">
      <c r="A5" s="3579"/>
      <c r="B5" s="3575"/>
      <c r="C5" s="3575"/>
      <c r="D5" s="3582"/>
      <c r="E5" s="3547">
        <v>0.375</v>
      </c>
      <c r="F5" s="3538"/>
      <c r="G5" s="3538"/>
      <c r="H5" s="3538"/>
      <c r="I5" s="3548">
        <v>0.5625</v>
      </c>
      <c r="J5" s="3549"/>
      <c r="K5" s="3549"/>
      <c r="L5" s="3550"/>
      <c r="M5" s="3548">
        <v>0.72916666666666663</v>
      </c>
      <c r="N5" s="3549"/>
      <c r="O5" s="3549"/>
      <c r="P5" s="3550"/>
      <c r="Q5" s="3149"/>
    </row>
    <row r="6" spans="1:17" s="528" customFormat="1" ht="40.5" customHeight="1">
      <c r="A6" s="3580"/>
      <c r="B6" s="3581"/>
      <c r="C6" s="3581"/>
      <c r="D6" s="3583"/>
      <c r="E6" s="529" t="s">
        <v>648</v>
      </c>
      <c r="F6" s="3366" t="s">
        <v>649</v>
      </c>
      <c r="G6" s="3374"/>
      <c r="H6" s="3576"/>
      <c r="I6" s="529" t="s">
        <v>648</v>
      </c>
      <c r="J6" s="3366" t="s">
        <v>649</v>
      </c>
      <c r="K6" s="3374"/>
      <c r="L6" s="3576"/>
      <c r="M6" s="529" t="s">
        <v>648</v>
      </c>
      <c r="N6" s="3366" t="s">
        <v>649</v>
      </c>
      <c r="O6" s="3374"/>
      <c r="P6" s="3576"/>
      <c r="Q6" s="271" t="s">
        <v>650</v>
      </c>
    </row>
    <row r="7" spans="1:17" s="528" customFormat="1" ht="27.75" customHeight="1">
      <c r="A7" s="530">
        <v>1</v>
      </c>
      <c r="B7" s="531" t="s">
        <v>651</v>
      </c>
      <c r="C7" s="532" t="s">
        <v>652</v>
      </c>
      <c r="D7" s="487" t="s">
        <v>450</v>
      </c>
      <c r="E7" s="533">
        <f>'R.FILE GOC'!H25</f>
        <v>0</v>
      </c>
      <c r="F7" s="493" t="s">
        <v>653</v>
      </c>
      <c r="G7" s="494">
        <f>'R.FILE GOC'!K25</f>
        <v>93.2</v>
      </c>
      <c r="H7" s="210" t="s">
        <v>654</v>
      </c>
      <c r="I7" s="533">
        <f>'R.FILE GOC'!N25</f>
        <v>0</v>
      </c>
      <c r="J7" s="493" t="s">
        <v>653</v>
      </c>
      <c r="K7" s="494">
        <f>'R.FILE GOC'!Q25</f>
        <v>93.2</v>
      </c>
      <c r="L7" s="210" t="s">
        <v>654</v>
      </c>
      <c r="M7" s="533">
        <f>'R.FILE GOC'!T25</f>
        <v>0</v>
      </c>
      <c r="N7" s="493" t="s">
        <v>638</v>
      </c>
      <c r="O7" s="494">
        <f>'R.FILE GOC'!W25</f>
        <v>93.2</v>
      </c>
      <c r="P7" s="210" t="s">
        <v>639</v>
      </c>
      <c r="Q7" s="271" t="s">
        <v>655</v>
      </c>
    </row>
    <row r="8" spans="1:17" s="537" customFormat="1" ht="30" customHeight="1">
      <c r="A8" s="530">
        <v>2</v>
      </c>
      <c r="B8" s="534" t="s">
        <v>656</v>
      </c>
      <c r="C8" s="535" t="s">
        <v>657</v>
      </c>
      <c r="D8" s="536" t="s">
        <v>426</v>
      </c>
      <c r="E8" s="533">
        <f>'R.FILE GOC'!H26</f>
        <v>0</v>
      </c>
      <c r="F8" s="493" t="s">
        <v>658</v>
      </c>
      <c r="G8" s="494">
        <f>'R.FILE GOC'!K26</f>
        <v>1017.578125</v>
      </c>
      <c r="H8" s="210" t="s">
        <v>659</v>
      </c>
      <c r="I8" s="533">
        <f>'R.FILE GOC'!N26</f>
        <v>0</v>
      </c>
      <c r="J8" s="493" t="s">
        <v>658</v>
      </c>
      <c r="K8" s="494">
        <f>'R.FILE GOC'!Q26</f>
        <v>1017.578125</v>
      </c>
      <c r="L8" s="210" t="s">
        <v>659</v>
      </c>
      <c r="M8" s="533">
        <f>'R.FILE GOC'!T26</f>
        <v>0</v>
      </c>
      <c r="N8" s="493" t="s">
        <v>638</v>
      </c>
      <c r="O8" s="494">
        <f>'R.FILE GOC'!W26</f>
        <v>1017.578125</v>
      </c>
      <c r="P8" s="210" t="s">
        <v>659</v>
      </c>
      <c r="Q8" s="271" t="s">
        <v>660</v>
      </c>
    </row>
    <row r="9" spans="1:17" s="537" customFormat="1" ht="27.75" customHeight="1">
      <c r="A9" s="530">
        <v>3</v>
      </c>
      <c r="B9" s="3570" t="s">
        <v>661</v>
      </c>
      <c r="C9" s="3573" t="s">
        <v>431</v>
      </c>
      <c r="D9" s="487" t="s">
        <v>608</v>
      </c>
      <c r="E9" s="533">
        <f>'R.FILE GOC'!H27</f>
        <v>0</v>
      </c>
      <c r="F9" s="493" t="s">
        <v>653</v>
      </c>
      <c r="G9" s="494">
        <f>'R.FILE GOC'!K27</f>
        <v>246.75</v>
      </c>
      <c r="H9" s="210" t="s">
        <v>654</v>
      </c>
      <c r="I9" s="533">
        <f>'R.FILE GOC'!N27</f>
        <v>0</v>
      </c>
      <c r="J9" s="493" t="s">
        <v>653</v>
      </c>
      <c r="K9" s="494">
        <f>'R.FILE GOC'!Q27</f>
        <v>246.75</v>
      </c>
      <c r="L9" s="210" t="s">
        <v>654</v>
      </c>
      <c r="M9" s="533">
        <f>'R.FILE GOC'!T27</f>
        <v>0</v>
      </c>
      <c r="N9" s="493" t="s">
        <v>638</v>
      </c>
      <c r="O9" s="494">
        <f>'R.FILE GOC'!W27</f>
        <v>246.75</v>
      </c>
      <c r="P9" s="210" t="s">
        <v>639</v>
      </c>
      <c r="Q9" s="271" t="s">
        <v>662</v>
      </c>
    </row>
    <row r="10" spans="1:17" s="537" customFormat="1" ht="27.75" customHeight="1">
      <c r="A10" s="530">
        <v>4</v>
      </c>
      <c r="B10" s="3571"/>
      <c r="C10" s="3573"/>
      <c r="D10" s="487" t="s">
        <v>612</v>
      </c>
      <c r="E10" s="533">
        <f>'R.FILE GOC'!H28</f>
        <v>0</v>
      </c>
      <c r="F10" s="493" t="s">
        <v>653</v>
      </c>
      <c r="G10" s="494">
        <f>'R.FILE GOC'!K28</f>
        <v>32.077500000000001</v>
      </c>
      <c r="H10" s="210" t="s">
        <v>654</v>
      </c>
      <c r="I10" s="533">
        <f>'R.FILE GOC'!N28</f>
        <v>0</v>
      </c>
      <c r="J10" s="493" t="s">
        <v>653</v>
      </c>
      <c r="K10" s="494">
        <f>'R.FILE GOC'!Q28</f>
        <v>32.077500000000001</v>
      </c>
      <c r="L10" s="210" t="s">
        <v>654</v>
      </c>
      <c r="M10" s="533">
        <f>'R.FILE GOC'!T28</f>
        <v>0</v>
      </c>
      <c r="N10" s="493" t="s">
        <v>638</v>
      </c>
      <c r="O10" s="494">
        <f>'R.FILE GOC'!W28</f>
        <v>32.077500000000001</v>
      </c>
      <c r="P10" s="210" t="s">
        <v>639</v>
      </c>
      <c r="Q10" s="271" t="s">
        <v>663</v>
      </c>
    </row>
    <row r="11" spans="1:17" s="537" customFormat="1" ht="27.75" customHeight="1">
      <c r="A11" s="530">
        <v>5</v>
      </c>
      <c r="B11" s="3572"/>
      <c r="C11" s="3573"/>
      <c r="D11" s="487" t="s">
        <v>614</v>
      </c>
      <c r="E11" s="65">
        <f>'R.FILE GOC'!H29</f>
        <v>0</v>
      </c>
      <c r="F11" s="493" t="s">
        <v>653</v>
      </c>
      <c r="G11" s="538">
        <f>'R.FILE GOC'!K29</f>
        <v>0</v>
      </c>
      <c r="H11" s="65" t="s">
        <v>654</v>
      </c>
      <c r="I11" s="65">
        <f>'R.FILE GOC'!N29</f>
        <v>0</v>
      </c>
      <c r="J11" s="493" t="s">
        <v>653</v>
      </c>
      <c r="K11" s="538">
        <f>'R.FILE GOC'!Q29</f>
        <v>0</v>
      </c>
      <c r="L11" s="65" t="s">
        <v>654</v>
      </c>
      <c r="M11" s="65">
        <f>'R.FILE GOC'!T29</f>
        <v>0</v>
      </c>
      <c r="N11" s="493" t="s">
        <v>638</v>
      </c>
      <c r="O11" s="538">
        <f>'R.FILE GOC'!W29</f>
        <v>0</v>
      </c>
      <c r="P11" s="65" t="s">
        <v>639</v>
      </c>
      <c r="Q11" s="539"/>
    </row>
    <row r="12" spans="1:17" s="542" customFormat="1" ht="27.75" customHeight="1">
      <c r="A12" s="530">
        <v>6</v>
      </c>
      <c r="B12" s="3570" t="s">
        <v>664</v>
      </c>
      <c r="C12" s="532" t="s">
        <v>431</v>
      </c>
      <c r="D12" s="487" t="s">
        <v>441</v>
      </c>
      <c r="E12" s="533">
        <f>'R.FILE GOC'!H30</f>
        <v>0</v>
      </c>
      <c r="F12" s="493"/>
      <c r="G12" s="540">
        <f>'R.FILE GOC'!K30</f>
        <v>1.234</v>
      </c>
      <c r="H12" s="65" t="s">
        <v>654</v>
      </c>
      <c r="I12" s="533">
        <f>'R.FILE GOC'!N30</f>
        <v>0</v>
      </c>
      <c r="J12" s="493"/>
      <c r="K12" s="540">
        <f>'R.FILE GOC'!Q30</f>
        <v>1.234</v>
      </c>
      <c r="L12" s="65" t="s">
        <v>654</v>
      </c>
      <c r="M12" s="533">
        <f>'R.FILE GOC'!T30</f>
        <v>0</v>
      </c>
      <c r="N12" s="493"/>
      <c r="O12" s="540">
        <f>'R.FILE GOC'!W30</f>
        <v>1.234</v>
      </c>
      <c r="P12" s="65" t="s">
        <v>639</v>
      </c>
      <c r="Q12" s="541" t="s">
        <v>665</v>
      </c>
    </row>
    <row r="13" spans="1:17" s="542" customFormat="1" ht="27.75" customHeight="1">
      <c r="A13" s="530">
        <v>7</v>
      </c>
      <c r="B13" s="3572"/>
      <c r="C13" s="543" t="s">
        <v>666</v>
      </c>
      <c r="D13" s="986" t="s">
        <v>974</v>
      </c>
      <c r="E13" s="533">
        <f>'R.FILE GOC'!H31</f>
        <v>0</v>
      </c>
      <c r="F13" s="493" t="s">
        <v>653</v>
      </c>
      <c r="G13" s="494">
        <f>'R.FILE GOC'!K31</f>
        <v>0</v>
      </c>
      <c r="H13" s="210" t="s">
        <v>654</v>
      </c>
      <c r="I13" s="533">
        <f>'R.FILE GOC'!N31</f>
        <v>0</v>
      </c>
      <c r="J13" s="493" t="s">
        <v>653</v>
      </c>
      <c r="K13" s="494"/>
      <c r="L13" s="210" t="s">
        <v>654</v>
      </c>
      <c r="M13" s="533">
        <f>'R.FILE GOC'!T31</f>
        <v>0</v>
      </c>
      <c r="N13" s="493" t="s">
        <v>638</v>
      </c>
      <c r="O13" s="494"/>
      <c r="P13" s="210" t="s">
        <v>639</v>
      </c>
      <c r="Q13" s="210"/>
    </row>
    <row r="14" spans="1:17" s="537" customFormat="1" ht="30.75" customHeight="1">
      <c r="A14" s="3574" t="s">
        <v>667</v>
      </c>
      <c r="B14" s="3574"/>
      <c r="C14" s="3574"/>
      <c r="D14" s="3574"/>
      <c r="E14" s="3574"/>
      <c r="F14" s="3574"/>
      <c r="G14" s="3574"/>
      <c r="H14" s="3574"/>
      <c r="I14" s="3574"/>
      <c r="J14" s="3574"/>
      <c r="K14" s="3574"/>
      <c r="L14" s="3574"/>
      <c r="M14" s="3574"/>
      <c r="N14" s="3574"/>
      <c r="O14" s="3574"/>
      <c r="P14" s="3574"/>
      <c r="Q14" s="3574"/>
    </row>
    <row r="15" spans="1:17" s="537" customFormat="1" ht="37.5" customHeight="1">
      <c r="A15" s="210" t="s">
        <v>668</v>
      </c>
      <c r="B15" s="544" t="s">
        <v>669</v>
      </c>
      <c r="C15" s="544" t="s">
        <v>670</v>
      </c>
      <c r="D15" s="544" t="s">
        <v>671</v>
      </c>
      <c r="E15" s="3575" t="s">
        <v>919</v>
      </c>
      <c r="F15" s="3575"/>
      <c r="G15" s="3575"/>
      <c r="H15" s="3575"/>
      <c r="I15" s="3575"/>
      <c r="J15" s="3575"/>
      <c r="K15" s="3575"/>
      <c r="L15" s="3575"/>
      <c r="M15" s="3575"/>
      <c r="N15" s="3575"/>
      <c r="O15" s="3575"/>
      <c r="P15" s="3575"/>
      <c r="Q15" s="325"/>
    </row>
    <row r="16" spans="1:17" s="537" customFormat="1" ht="27.75" customHeight="1">
      <c r="A16" s="210">
        <v>1</v>
      </c>
      <c r="B16" s="836" t="s">
        <v>866</v>
      </c>
      <c r="C16" s="545" t="s">
        <v>673</v>
      </c>
      <c r="D16" s="487" t="s">
        <v>674</v>
      </c>
      <c r="E16" s="3569">
        <f>'R.FILE GOC'!K34</f>
        <v>0</v>
      </c>
      <c r="F16" s="3569"/>
      <c r="G16" s="3569"/>
      <c r="H16" s="3569"/>
      <c r="I16" s="3569">
        <f>'R.FILE GOC'!Q34</f>
        <v>0</v>
      </c>
      <c r="J16" s="3569"/>
      <c r="K16" s="3569"/>
      <c r="L16" s="3569"/>
      <c r="M16" s="3569">
        <f>'R.FILE GOC'!W34</f>
        <v>0</v>
      </c>
      <c r="N16" s="3569"/>
      <c r="O16" s="3569"/>
      <c r="P16" s="3569"/>
      <c r="Q16" s="494"/>
    </row>
    <row r="17" spans="1:17" s="537" customFormat="1" ht="27.75" customHeight="1">
      <c r="A17" s="210">
        <v>2</v>
      </c>
      <c r="B17" s="544" t="s">
        <v>675</v>
      </c>
      <c r="C17" s="545" t="s">
        <v>673</v>
      </c>
      <c r="D17" s="487" t="s">
        <v>676</v>
      </c>
      <c r="E17" s="3569">
        <f>'R.FILE GOC'!K35</f>
        <v>0</v>
      </c>
      <c r="F17" s="3569"/>
      <c r="G17" s="3569"/>
      <c r="H17" s="3569"/>
      <c r="I17" s="3569">
        <f>'R.FILE GOC'!Q35</f>
        <v>0</v>
      </c>
      <c r="J17" s="3569"/>
      <c r="K17" s="3569"/>
      <c r="L17" s="3569"/>
      <c r="M17" s="3569">
        <f>'R.FILE GOC'!W35</f>
        <v>0</v>
      </c>
      <c r="N17" s="3569"/>
      <c r="O17" s="3569"/>
      <c r="P17" s="3569"/>
      <c r="Q17" s="494"/>
    </row>
    <row r="18" spans="1:17" s="537" customFormat="1" ht="27.75" customHeight="1">
      <c r="A18" s="210">
        <v>3</v>
      </c>
      <c r="B18" s="544" t="s">
        <v>677</v>
      </c>
      <c r="C18" s="545" t="s">
        <v>673</v>
      </c>
      <c r="D18" s="487" t="s">
        <v>678</v>
      </c>
      <c r="E18" s="3569">
        <f>'R.FILE GOC'!K36</f>
        <v>0</v>
      </c>
      <c r="F18" s="3569"/>
      <c r="G18" s="3569"/>
      <c r="H18" s="3569"/>
      <c r="I18" s="3569">
        <f>'R.FILE GOC'!Q36</f>
        <v>0</v>
      </c>
      <c r="J18" s="3569"/>
      <c r="K18" s="3569"/>
      <c r="L18" s="3569"/>
      <c r="M18" s="3569">
        <f>'R.FILE GOC'!W36</f>
        <v>0</v>
      </c>
      <c r="N18" s="3569"/>
      <c r="O18" s="3569"/>
      <c r="P18" s="3569"/>
      <c r="Q18" s="494"/>
    </row>
    <row r="19" spans="1:17" ht="36.75" customHeight="1">
      <c r="A19" s="3557" t="s">
        <v>921</v>
      </c>
      <c r="B19" s="3557"/>
      <c r="C19" s="3557"/>
      <c r="D19" s="3557"/>
      <c r="E19" s="3557"/>
      <c r="F19" s="3557"/>
      <c r="G19" s="3557"/>
      <c r="H19" s="3557"/>
      <c r="I19" s="3557"/>
      <c r="J19" s="3557"/>
      <c r="K19" s="3557"/>
      <c r="L19" s="3557"/>
      <c r="M19" s="475"/>
      <c r="N19" s="475"/>
      <c r="O19" s="475"/>
      <c r="P19" s="475"/>
      <c r="Q19" s="546"/>
    </row>
    <row r="20" spans="1:17" ht="21.75" customHeight="1">
      <c r="A20" s="476"/>
      <c r="B20" s="477" t="s">
        <v>679</v>
      </c>
      <c r="C20" s="478"/>
      <c r="D20" s="478"/>
      <c r="E20" s="478"/>
      <c r="F20" s="478"/>
      <c r="G20" s="478"/>
      <c r="H20" s="478"/>
      <c r="I20" s="3577"/>
      <c r="J20" s="3577"/>
      <c r="K20" s="3577"/>
      <c r="L20" s="526"/>
      <c r="M20" s="3577"/>
      <c r="N20" s="3577"/>
      <c r="O20" s="3577"/>
      <c r="P20" s="526"/>
      <c r="Q20" s="547"/>
    </row>
    <row r="21" spans="1:17" s="528" customFormat="1" ht="37.5" customHeight="1">
      <c r="A21" s="3578" t="s">
        <v>680</v>
      </c>
      <c r="B21" s="3575" t="s">
        <v>644</v>
      </c>
      <c r="C21" s="3575" t="s">
        <v>645</v>
      </c>
      <c r="D21" s="3582" t="s">
        <v>646</v>
      </c>
      <c r="E21" s="3522" t="s">
        <v>920</v>
      </c>
      <c r="F21" s="3523"/>
      <c r="G21" s="3523"/>
      <c r="H21" s="3523"/>
      <c r="I21" s="3523"/>
      <c r="J21" s="3523"/>
      <c r="K21" s="3523"/>
      <c r="L21" s="3523"/>
      <c r="M21" s="3523"/>
      <c r="N21" s="3523"/>
      <c r="O21" s="3523"/>
      <c r="P21" s="3524"/>
      <c r="Q21" s="3157" t="s">
        <v>647</v>
      </c>
    </row>
    <row r="22" spans="1:17" s="528" customFormat="1" ht="20.25" customHeight="1">
      <c r="A22" s="3579"/>
      <c r="B22" s="3575"/>
      <c r="C22" s="3575"/>
      <c r="D22" s="3582"/>
      <c r="E22" s="3547">
        <v>0.875</v>
      </c>
      <c r="F22" s="3538"/>
      <c r="G22" s="3538"/>
      <c r="H22" s="3538"/>
      <c r="I22" s="3548">
        <v>8.3333333333333329E-2</v>
      </c>
      <c r="J22" s="3549"/>
      <c r="K22" s="3549"/>
      <c r="L22" s="3550"/>
      <c r="M22" s="3548">
        <v>0.22916666666666666</v>
      </c>
      <c r="N22" s="3549"/>
      <c r="O22" s="3549"/>
      <c r="P22" s="3550"/>
      <c r="Q22" s="3157"/>
    </row>
    <row r="23" spans="1:17" s="528" customFormat="1" ht="36" customHeight="1">
      <c r="A23" s="3580"/>
      <c r="B23" s="3581"/>
      <c r="C23" s="3581"/>
      <c r="D23" s="3583"/>
      <c r="E23" s="529" t="s">
        <v>648</v>
      </c>
      <c r="F23" s="3366" t="s">
        <v>649</v>
      </c>
      <c r="G23" s="3374"/>
      <c r="H23" s="3576"/>
      <c r="I23" s="529" t="s">
        <v>648</v>
      </c>
      <c r="J23" s="3366" t="s">
        <v>649</v>
      </c>
      <c r="K23" s="3374"/>
      <c r="L23" s="3576"/>
      <c r="M23" s="529" t="s">
        <v>648</v>
      </c>
      <c r="N23" s="3366" t="s">
        <v>649</v>
      </c>
      <c r="O23" s="3374"/>
      <c r="P23" s="3576"/>
      <c r="Q23" s="271" t="s">
        <v>650</v>
      </c>
    </row>
    <row r="24" spans="1:17" s="528" customFormat="1" ht="30.75" customHeight="1">
      <c r="A24" s="530">
        <v>1</v>
      </c>
      <c r="B24" s="531" t="s">
        <v>651</v>
      </c>
      <c r="C24" s="532" t="s">
        <v>652</v>
      </c>
      <c r="D24" s="487" t="s">
        <v>450</v>
      </c>
      <c r="E24" s="533">
        <f>'R.FILE GOC'!Z25</f>
        <v>0</v>
      </c>
      <c r="F24" s="493" t="s">
        <v>604</v>
      </c>
      <c r="G24" s="494">
        <f>'R.FILE GOC'!AC25</f>
        <v>93.2</v>
      </c>
      <c r="H24" s="210" t="s">
        <v>681</v>
      </c>
      <c r="I24" s="533">
        <f>'R.FILE GOC'!AF25</f>
        <v>0</v>
      </c>
      <c r="J24" s="493" t="s">
        <v>604</v>
      </c>
      <c r="K24" s="494">
        <f>'R.FILE GOC'!AI25</f>
        <v>93.2</v>
      </c>
      <c r="L24" s="210" t="s">
        <v>681</v>
      </c>
      <c r="M24" s="533">
        <f>'R.FILE GOC'!AL25</f>
        <v>0</v>
      </c>
      <c r="N24" s="493" t="s">
        <v>604</v>
      </c>
      <c r="O24" s="494">
        <f>'R.FILE GOC'!AO25</f>
        <v>93.2</v>
      </c>
      <c r="P24" s="210" t="s">
        <v>681</v>
      </c>
      <c r="Q24" s="271" t="s">
        <v>655</v>
      </c>
    </row>
    <row r="25" spans="1:17" s="537" customFormat="1" ht="30.75" customHeight="1">
      <c r="A25" s="530">
        <v>2</v>
      </c>
      <c r="B25" s="534" t="s">
        <v>656</v>
      </c>
      <c r="C25" s="535" t="s">
        <v>682</v>
      </c>
      <c r="D25" s="536" t="s">
        <v>603</v>
      </c>
      <c r="E25" s="533">
        <f>'R.FILE GOC'!Z26</f>
        <v>0</v>
      </c>
      <c r="F25" s="493" t="s">
        <v>604</v>
      </c>
      <c r="G25" s="494">
        <f>'R.FILE GOC'!AC26</f>
        <v>1017.578125</v>
      </c>
      <c r="H25" s="210" t="s">
        <v>683</v>
      </c>
      <c r="I25" s="533">
        <f>'R.FILE GOC'!AF26</f>
        <v>0</v>
      </c>
      <c r="J25" s="493" t="s">
        <v>604</v>
      </c>
      <c r="K25" s="494">
        <f>'R.FILE GOC'!AI26</f>
        <v>1017.578125</v>
      </c>
      <c r="L25" s="210" t="s">
        <v>683</v>
      </c>
      <c r="M25" s="533">
        <f>'R.FILE GOC'!AL26</f>
        <v>0</v>
      </c>
      <c r="N25" s="493" t="s">
        <v>604</v>
      </c>
      <c r="O25" s="494">
        <f>'R.FILE GOC'!AO26</f>
        <v>1017.578125</v>
      </c>
      <c r="P25" s="210" t="s">
        <v>683</v>
      </c>
      <c r="Q25" s="271" t="s">
        <v>660</v>
      </c>
    </row>
    <row r="26" spans="1:17" s="537" customFormat="1" ht="30.75" customHeight="1">
      <c r="A26" s="530">
        <v>3</v>
      </c>
      <c r="B26" s="3570" t="s">
        <v>684</v>
      </c>
      <c r="C26" s="3573" t="s">
        <v>685</v>
      </c>
      <c r="D26" s="487" t="s">
        <v>608</v>
      </c>
      <c r="E26" s="533">
        <f>'R.FILE GOC'!Z27</f>
        <v>0</v>
      </c>
      <c r="F26" s="493" t="s">
        <v>604</v>
      </c>
      <c r="G26" s="494">
        <f>'R.FILE GOC'!AC27</f>
        <v>246.75</v>
      </c>
      <c r="H26" s="210" t="s">
        <v>681</v>
      </c>
      <c r="I26" s="533">
        <f>'R.FILE GOC'!AF27</f>
        <v>0</v>
      </c>
      <c r="J26" s="493" t="s">
        <v>604</v>
      </c>
      <c r="K26" s="494">
        <f>'R.FILE GOC'!AI27</f>
        <v>246.75</v>
      </c>
      <c r="L26" s="210" t="s">
        <v>681</v>
      </c>
      <c r="M26" s="533">
        <f>'R.FILE GOC'!AL27</f>
        <v>0</v>
      </c>
      <c r="N26" s="493" t="s">
        <v>604</v>
      </c>
      <c r="O26" s="494">
        <f>'R.FILE GOC'!AO27</f>
        <v>246.75</v>
      </c>
      <c r="P26" s="210" t="s">
        <v>681</v>
      </c>
      <c r="Q26" s="271" t="s">
        <v>662</v>
      </c>
    </row>
    <row r="27" spans="1:17" s="537" customFormat="1" ht="30.75" customHeight="1">
      <c r="A27" s="530">
        <v>4</v>
      </c>
      <c r="B27" s="3571"/>
      <c r="C27" s="3573"/>
      <c r="D27" s="487" t="s">
        <v>612</v>
      </c>
      <c r="E27" s="533">
        <f>'R.FILE GOC'!Z28</f>
        <v>0</v>
      </c>
      <c r="F27" s="493" t="s">
        <v>604</v>
      </c>
      <c r="G27" s="494">
        <f>'R.FILE GOC'!AC28</f>
        <v>32.077500000000001</v>
      </c>
      <c r="H27" s="210" t="s">
        <v>681</v>
      </c>
      <c r="I27" s="533">
        <f>'R.FILE GOC'!AF28</f>
        <v>0</v>
      </c>
      <c r="J27" s="493" t="s">
        <v>604</v>
      </c>
      <c r="K27" s="494">
        <f>'R.FILE GOC'!AI28</f>
        <v>32.077500000000001</v>
      </c>
      <c r="L27" s="210" t="s">
        <v>681</v>
      </c>
      <c r="M27" s="533">
        <f>'R.FILE GOC'!AL28</f>
        <v>0</v>
      </c>
      <c r="N27" s="493" t="s">
        <v>604</v>
      </c>
      <c r="O27" s="494">
        <f>'R.FILE GOC'!AO28</f>
        <v>32.077500000000001</v>
      </c>
      <c r="P27" s="210" t="s">
        <v>681</v>
      </c>
      <c r="Q27" s="271" t="s">
        <v>663</v>
      </c>
    </row>
    <row r="28" spans="1:17" s="537" customFormat="1" ht="30.75" customHeight="1">
      <c r="A28" s="530">
        <v>5</v>
      </c>
      <c r="B28" s="3572"/>
      <c r="C28" s="3573"/>
      <c r="D28" s="487" t="s">
        <v>614</v>
      </c>
      <c r="E28" s="65">
        <f>'R.FILE GOC'!Z29</f>
        <v>0</v>
      </c>
      <c r="F28" s="493" t="s">
        <v>604</v>
      </c>
      <c r="G28" s="538">
        <f>'R.FILE GOC'!AC29</f>
        <v>0</v>
      </c>
      <c r="H28" s="65" t="s">
        <v>681</v>
      </c>
      <c r="I28" s="65">
        <f>'R.FILE GOC'!AF29</f>
        <v>0</v>
      </c>
      <c r="J28" s="493" t="s">
        <v>604</v>
      </c>
      <c r="K28" s="538">
        <f>'R.FILE GOC'!AI29</f>
        <v>0</v>
      </c>
      <c r="L28" s="65" t="s">
        <v>681</v>
      </c>
      <c r="M28" s="65">
        <f>'R.FILE GOC'!AL29</f>
        <v>0</v>
      </c>
      <c r="N28" s="493" t="s">
        <v>604</v>
      </c>
      <c r="O28" s="538" t="str">
        <f>'R.FILE GOC'!AO29</f>
        <v>N/A</v>
      </c>
      <c r="P28" s="65" t="s">
        <v>681</v>
      </c>
      <c r="Q28" s="539"/>
    </row>
    <row r="29" spans="1:17" s="542" customFormat="1" ht="30.75" customHeight="1">
      <c r="A29" s="530">
        <v>6</v>
      </c>
      <c r="B29" s="3570" t="s">
        <v>664</v>
      </c>
      <c r="C29" s="532" t="s">
        <v>431</v>
      </c>
      <c r="D29" s="487" t="s">
        <v>441</v>
      </c>
      <c r="E29" s="533">
        <f>'R.FILE GOC'!Z30</f>
        <v>0</v>
      </c>
      <c r="F29" s="548" t="s">
        <v>604</v>
      </c>
      <c r="G29" s="540">
        <f>'R.FILE GOC'!AC30</f>
        <v>1.234</v>
      </c>
      <c r="H29" s="533" t="s">
        <v>681</v>
      </c>
      <c r="I29" s="533">
        <f>'R.FILE GOC'!AF30</f>
        <v>0</v>
      </c>
      <c r="J29" s="548" t="s">
        <v>604</v>
      </c>
      <c r="K29" s="540">
        <f>'R.FILE GOC'!AI30</f>
        <v>1.234</v>
      </c>
      <c r="L29" s="533" t="s">
        <v>681</v>
      </c>
      <c r="M29" s="533">
        <f>'R.FILE GOC'!AL30</f>
        <v>0</v>
      </c>
      <c r="N29" s="548" t="s">
        <v>604</v>
      </c>
      <c r="O29" s="540">
        <f>'R.FILE GOC'!AO30</f>
        <v>1.234</v>
      </c>
      <c r="P29" s="533" t="s">
        <v>681</v>
      </c>
      <c r="Q29" s="541" t="s">
        <v>665</v>
      </c>
    </row>
    <row r="30" spans="1:17" s="542" customFormat="1" ht="30.75" customHeight="1">
      <c r="A30" s="530">
        <v>7</v>
      </c>
      <c r="B30" s="3572"/>
      <c r="C30" s="543" t="s">
        <v>686</v>
      </c>
      <c r="D30" s="986" t="s">
        <v>974</v>
      </c>
      <c r="E30" s="533">
        <f>'R.FILE GOC'!Z31</f>
        <v>0</v>
      </c>
      <c r="F30" s="493" t="s">
        <v>604</v>
      </c>
      <c r="G30" s="494"/>
      <c r="H30" s="210" t="s">
        <v>681</v>
      </c>
      <c r="I30" s="533">
        <f>'R.FILE GOC'!AF31</f>
        <v>0</v>
      </c>
      <c r="J30" s="493" t="s">
        <v>604</v>
      </c>
      <c r="K30" s="494"/>
      <c r="L30" s="210" t="s">
        <v>681</v>
      </c>
      <c r="M30" s="533">
        <f>'R.FILE GOC'!AL31</f>
        <v>0</v>
      </c>
      <c r="N30" s="493" t="s">
        <v>604</v>
      </c>
      <c r="O30" s="494"/>
      <c r="P30" s="210" t="s">
        <v>681</v>
      </c>
      <c r="Q30" s="210"/>
    </row>
    <row r="31" spans="1:17" s="537" customFormat="1" ht="25.5" customHeight="1">
      <c r="A31" s="3574" t="s">
        <v>667</v>
      </c>
      <c r="B31" s="3574"/>
      <c r="C31" s="3574"/>
      <c r="D31" s="3574"/>
      <c r="E31" s="3574"/>
      <c r="F31" s="3574"/>
      <c r="G31" s="3574"/>
      <c r="H31" s="3574"/>
      <c r="I31" s="3574"/>
      <c r="J31" s="3574"/>
      <c r="K31" s="3574"/>
      <c r="L31" s="3574"/>
      <c r="M31" s="3574"/>
      <c r="N31" s="3574"/>
      <c r="O31" s="3574"/>
      <c r="P31" s="3574"/>
      <c r="Q31" s="3574"/>
    </row>
    <row r="32" spans="1:17" s="537" customFormat="1" ht="38.25" customHeight="1">
      <c r="A32" s="210" t="s">
        <v>687</v>
      </c>
      <c r="B32" s="544" t="s">
        <v>669</v>
      </c>
      <c r="C32" s="544" t="s">
        <v>670</v>
      </c>
      <c r="D32" s="544" t="s">
        <v>671</v>
      </c>
      <c r="E32" s="3575" t="s">
        <v>919</v>
      </c>
      <c r="F32" s="3575"/>
      <c r="G32" s="3575"/>
      <c r="H32" s="3575"/>
      <c r="I32" s="3575"/>
      <c r="J32" s="3575"/>
      <c r="K32" s="3575"/>
      <c r="L32" s="3575"/>
      <c r="M32" s="3575"/>
      <c r="N32" s="3575"/>
      <c r="O32" s="3575"/>
      <c r="P32" s="3575"/>
      <c r="Q32" s="325"/>
    </row>
    <row r="33" spans="1:17" s="537" customFormat="1" ht="30" customHeight="1">
      <c r="A33" s="210">
        <v>1</v>
      </c>
      <c r="B33" s="836" t="s">
        <v>868</v>
      </c>
      <c r="C33" s="545" t="s">
        <v>673</v>
      </c>
      <c r="D33" s="487" t="s">
        <v>674</v>
      </c>
      <c r="E33" s="3569">
        <f>'R.FILE GOC'!AC34</f>
        <v>0</v>
      </c>
      <c r="F33" s="3569"/>
      <c r="G33" s="3569"/>
      <c r="H33" s="3569"/>
      <c r="I33" s="3569">
        <f>'R.FILE GOC'!AI34</f>
        <v>0</v>
      </c>
      <c r="J33" s="3569"/>
      <c r="K33" s="3569"/>
      <c r="L33" s="3569"/>
      <c r="M33" s="3569">
        <f>'R.FILE GOC'!AO34</f>
        <v>0</v>
      </c>
      <c r="N33" s="3569"/>
      <c r="O33" s="3569"/>
      <c r="P33" s="3569"/>
      <c r="Q33" s="494"/>
    </row>
    <row r="34" spans="1:17" s="537" customFormat="1" ht="30" customHeight="1">
      <c r="A34" s="210">
        <v>2</v>
      </c>
      <c r="B34" s="544" t="s">
        <v>688</v>
      </c>
      <c r="C34" s="545" t="s">
        <v>673</v>
      </c>
      <c r="D34" s="487" t="s">
        <v>676</v>
      </c>
      <c r="E34" s="3569">
        <f>'R.FILE GOC'!AC35</f>
        <v>0</v>
      </c>
      <c r="F34" s="3569"/>
      <c r="G34" s="3569"/>
      <c r="H34" s="3569"/>
      <c r="I34" s="3569">
        <f>'R.FILE GOC'!AI35</f>
        <v>0</v>
      </c>
      <c r="J34" s="3569"/>
      <c r="K34" s="3569"/>
      <c r="L34" s="3569"/>
      <c r="M34" s="3569">
        <f>'R.FILE GOC'!AO35</f>
        <v>0</v>
      </c>
      <c r="N34" s="3569"/>
      <c r="O34" s="3569"/>
      <c r="P34" s="3569"/>
      <c r="Q34" s="494"/>
    </row>
    <row r="35" spans="1:17" s="537" customFormat="1" ht="30" customHeight="1">
      <c r="A35" s="210">
        <v>3</v>
      </c>
      <c r="B35" s="544" t="s">
        <v>677</v>
      </c>
      <c r="C35" s="545" t="s">
        <v>673</v>
      </c>
      <c r="D35" s="487" t="s">
        <v>678</v>
      </c>
      <c r="E35" s="3569">
        <f>'R.FILE GOC'!AC36</f>
        <v>0</v>
      </c>
      <c r="F35" s="3569"/>
      <c r="G35" s="3569"/>
      <c r="H35" s="3569"/>
      <c r="I35" s="3569">
        <f>'R.FILE GOC'!AI36</f>
        <v>0</v>
      </c>
      <c r="J35" s="3569"/>
      <c r="K35" s="3569"/>
      <c r="L35" s="3569"/>
      <c r="M35" s="3569">
        <f>'R.FILE GOC'!AO36</f>
        <v>0</v>
      </c>
      <c r="N35" s="3569"/>
      <c r="O35" s="3569"/>
      <c r="P35" s="3569"/>
      <c r="Q35" s="494"/>
    </row>
  </sheetData>
  <sheetProtection selectLockedCells="1"/>
  <mergeCells count="60">
    <mergeCell ref="A4:A6"/>
    <mergeCell ref="B4:B6"/>
    <mergeCell ref="C4:C6"/>
    <mergeCell ref="D4:D6"/>
    <mergeCell ref="E4:P4"/>
    <mergeCell ref="A1:L1"/>
    <mergeCell ref="A2:L2"/>
    <mergeCell ref="O2:P2"/>
    <mergeCell ref="I3:K3"/>
    <mergeCell ref="O3:P3"/>
    <mergeCell ref="E16:H16"/>
    <mergeCell ref="I16:L16"/>
    <mergeCell ref="M16:P16"/>
    <mergeCell ref="Q4:Q5"/>
    <mergeCell ref="E5:H5"/>
    <mergeCell ref="I5:L5"/>
    <mergeCell ref="M5:P5"/>
    <mergeCell ref="F6:H6"/>
    <mergeCell ref="J6:L6"/>
    <mergeCell ref="N6:P6"/>
    <mergeCell ref="B9:B11"/>
    <mergeCell ref="C9:C11"/>
    <mergeCell ref="B12:B13"/>
    <mergeCell ref="A14:Q14"/>
    <mergeCell ref="E15:P15"/>
    <mergeCell ref="E17:H17"/>
    <mergeCell ref="I17:L17"/>
    <mergeCell ref="M17:P17"/>
    <mergeCell ref="E18:H18"/>
    <mergeCell ref="I18:L18"/>
    <mergeCell ref="M18:P18"/>
    <mergeCell ref="A19:L19"/>
    <mergeCell ref="I20:K20"/>
    <mergeCell ref="M20:O20"/>
    <mergeCell ref="A21:A23"/>
    <mergeCell ref="B21:B23"/>
    <mergeCell ref="C21:C23"/>
    <mergeCell ref="D21:D23"/>
    <mergeCell ref="E21:P21"/>
    <mergeCell ref="E33:H33"/>
    <mergeCell ref="I33:L33"/>
    <mergeCell ref="M33:P33"/>
    <mergeCell ref="Q21:Q22"/>
    <mergeCell ref="E22:H22"/>
    <mergeCell ref="I22:L22"/>
    <mergeCell ref="M22:P22"/>
    <mergeCell ref="F23:H23"/>
    <mergeCell ref="J23:L23"/>
    <mergeCell ref="N23:P23"/>
    <mergeCell ref="B26:B28"/>
    <mergeCell ref="C26:C28"/>
    <mergeCell ref="B29:B30"/>
    <mergeCell ref="A31:Q31"/>
    <mergeCell ref="E32:P32"/>
    <mergeCell ref="E34:H34"/>
    <mergeCell ref="I34:L34"/>
    <mergeCell ref="M34:P34"/>
    <mergeCell ref="E35:H35"/>
    <mergeCell ref="I35:L35"/>
    <mergeCell ref="M35:P35"/>
  </mergeCells>
  <phoneticPr fontId="7" type="noConversion"/>
  <conditionalFormatting sqref="E17:L17 E34:H34">
    <cfRule type="expression" dxfId="1336" priority="17">
      <formula>E17&lt;65</formula>
    </cfRule>
    <cfRule type="expression" dxfId="1335" priority="18">
      <formula>E17&gt;85</formula>
    </cfRule>
  </conditionalFormatting>
  <conditionalFormatting sqref="E18:L18 E35:H35">
    <cfRule type="expression" dxfId="1334" priority="15">
      <formula>E18&lt;80</formula>
    </cfRule>
    <cfRule type="expression" dxfId="1333" priority="16">
      <formula>E18&gt;90</formula>
    </cfRule>
  </conditionalFormatting>
  <conditionalFormatting sqref="E16 I16 E33">
    <cfRule type="expression" dxfId="1332" priority="13">
      <formula>E16&lt;55</formula>
    </cfRule>
    <cfRule type="expression" dxfId="1331" priority="14">
      <formula>E16&gt;65</formula>
    </cfRule>
  </conditionalFormatting>
  <conditionalFormatting sqref="M17:P17">
    <cfRule type="expression" dxfId="1330" priority="11">
      <formula>M17&lt;65</formula>
    </cfRule>
    <cfRule type="expression" dxfId="1329" priority="12">
      <formula>M17&gt;85</formula>
    </cfRule>
  </conditionalFormatting>
  <conditionalFormatting sqref="M18:P18">
    <cfRule type="expression" dxfId="1328" priority="9">
      <formula>M18&lt;80</formula>
    </cfRule>
    <cfRule type="expression" dxfId="1327" priority="10">
      <formula>M18&gt;90</formula>
    </cfRule>
  </conditionalFormatting>
  <conditionalFormatting sqref="M16">
    <cfRule type="expression" dxfId="1326" priority="7">
      <formula>M16&lt;55</formula>
    </cfRule>
    <cfRule type="expression" dxfId="1325" priority="8">
      <formula>M16&gt;65</formula>
    </cfRule>
  </conditionalFormatting>
  <conditionalFormatting sqref="I34:P34">
    <cfRule type="expression" dxfId="1324" priority="5">
      <formula>I34&lt;65</formula>
    </cfRule>
    <cfRule type="expression" dxfId="1323" priority="6">
      <formula>I34&gt;85</formula>
    </cfRule>
  </conditionalFormatting>
  <conditionalFormatting sqref="I35:P35">
    <cfRule type="expression" dxfId="1322" priority="3">
      <formula>I35&lt;80</formula>
    </cfRule>
    <cfRule type="expression" dxfId="1321" priority="4">
      <formula>I35&gt;90</formula>
    </cfRule>
  </conditionalFormatting>
  <conditionalFormatting sqref="I33 M33">
    <cfRule type="expression" dxfId="1320" priority="1">
      <formula>I33&lt;55</formula>
    </cfRule>
    <cfRule type="expression" dxfId="1319"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4.xml><?xml version="1.0" encoding="utf-8"?>
<worksheet xmlns="http://schemas.openxmlformats.org/spreadsheetml/2006/main" xmlns:r="http://schemas.openxmlformats.org/officeDocument/2006/relationships">
  <sheetPr codeName="Sheet25">
    <tabColor rgb="FFFFC000"/>
  </sheetPr>
  <dimension ref="A1:R42"/>
  <sheetViews>
    <sheetView topLeftCell="A2" zoomScale="70" zoomScaleNormal="70" workbookViewId="0">
      <selection activeCell="N43" sqref="N43"/>
    </sheetView>
  </sheetViews>
  <sheetFormatPr defaultRowHeight="13.5"/>
  <cols>
    <col min="1" max="1" width="5.5" style="474" customWidth="1"/>
    <col min="2" max="2" width="24.625" style="524" customWidth="1"/>
    <col min="3" max="3" width="11.5" style="524" hidden="1" customWidth="1"/>
    <col min="4" max="4" width="10" style="474" customWidth="1"/>
    <col min="5" max="5" width="15.5" style="474" customWidth="1"/>
    <col min="6" max="6" width="9.25" style="474" customWidth="1"/>
    <col min="7" max="7" width="3.875" style="474" customWidth="1"/>
    <col min="8" max="8" width="7.875" style="474" customWidth="1"/>
    <col min="9" max="9" width="4.375" style="474" customWidth="1"/>
    <col min="10" max="10" width="9.625" style="474" customWidth="1"/>
    <col min="11" max="11" width="2.625" style="474" customWidth="1"/>
    <col min="12" max="12" width="7.875" style="474" customWidth="1"/>
    <col min="13" max="13" width="4.25" style="474" customWidth="1"/>
    <col min="14" max="14" width="9.625" style="474" customWidth="1"/>
    <col min="15" max="15" width="2.625" style="474" customWidth="1"/>
    <col min="16" max="16" width="7.875" style="474" customWidth="1"/>
    <col min="17" max="17" width="4.25" style="474" customWidth="1"/>
    <col min="18" max="18" width="13.875" style="474" customWidth="1"/>
    <col min="19" max="16384" width="9" style="474"/>
  </cols>
  <sheetData>
    <row r="1" spans="1:18" ht="27.75" customHeight="1">
      <c r="A1" s="3560" t="s">
        <v>588</v>
      </c>
      <c r="B1" s="3560"/>
      <c r="C1" s="3560"/>
      <c r="D1" s="3560"/>
      <c r="E1" s="3560"/>
      <c r="F1" s="3560"/>
      <c r="G1" s="3560"/>
      <c r="H1" s="3560"/>
      <c r="I1" s="3560"/>
      <c r="J1" s="3560"/>
      <c r="K1" s="3560"/>
      <c r="L1" s="3560"/>
      <c r="M1" s="3560"/>
      <c r="N1" s="472"/>
      <c r="O1" s="472"/>
      <c r="P1" s="472"/>
      <c r="Q1" s="472"/>
      <c r="R1" s="472"/>
    </row>
    <row r="2" spans="1:18" ht="36.75" customHeight="1">
      <c r="A2" s="3557" t="s">
        <v>924</v>
      </c>
      <c r="B2" s="3557"/>
      <c r="C2" s="3557"/>
      <c r="D2" s="3557"/>
      <c r="E2" s="3557"/>
      <c r="F2" s="3557"/>
      <c r="G2" s="3557"/>
      <c r="H2" s="3557"/>
      <c r="I2" s="3557"/>
      <c r="J2" s="3557"/>
      <c r="K2" s="3557"/>
      <c r="L2" s="3557"/>
      <c r="M2" s="3557"/>
      <c r="N2" s="475"/>
      <c r="O2" s="475"/>
      <c r="P2" s="3337" t="s">
        <v>641</v>
      </c>
      <c r="Q2" s="3339"/>
      <c r="R2" s="75" t="s">
        <v>17</v>
      </c>
    </row>
    <row r="3" spans="1:18" ht="27" customHeight="1">
      <c r="A3" s="476"/>
      <c r="B3" s="477" t="s">
        <v>591</v>
      </c>
      <c r="C3" s="477"/>
      <c r="D3" s="1999" t="str">
        <f>MENU!$AC$9</f>
        <v>Thứ 4,</v>
      </c>
      <c r="E3" s="1822" t="str">
        <f>MENU!$AD$9</f>
        <v>2024/05/22</v>
      </c>
      <c r="F3" s="478"/>
      <c r="G3" s="478"/>
      <c r="H3" s="478"/>
      <c r="I3" s="478"/>
      <c r="J3" s="3577"/>
      <c r="K3" s="3577"/>
      <c r="L3" s="3577"/>
      <c r="M3" s="526"/>
      <c r="N3" s="477"/>
      <c r="O3" s="477"/>
      <c r="P3" s="3565" t="str">
        <f>'1.xi den'!$R$3</f>
        <v>Mi</v>
      </c>
      <c r="Q3" s="3566"/>
      <c r="R3" s="527" t="s">
        <v>642</v>
      </c>
    </row>
    <row r="4" spans="1:18" s="528" customFormat="1" ht="42" customHeight="1">
      <c r="A4" s="3578" t="s">
        <v>680</v>
      </c>
      <c r="B4" s="3575" t="s">
        <v>644</v>
      </c>
      <c r="C4" s="544"/>
      <c r="D4" s="3575" t="s">
        <v>645</v>
      </c>
      <c r="E4" s="3582" t="s">
        <v>646</v>
      </c>
      <c r="F4" s="3522" t="s">
        <v>923</v>
      </c>
      <c r="G4" s="3523"/>
      <c r="H4" s="3523"/>
      <c r="I4" s="3523"/>
      <c r="J4" s="3523"/>
      <c r="K4" s="3523"/>
      <c r="L4" s="3523"/>
      <c r="M4" s="3523"/>
      <c r="N4" s="3523"/>
      <c r="O4" s="3523"/>
      <c r="P4" s="3523"/>
      <c r="Q4" s="3524"/>
      <c r="R4" s="3148" t="s">
        <v>647</v>
      </c>
    </row>
    <row r="5" spans="1:18" s="528" customFormat="1" ht="24" customHeight="1">
      <c r="A5" s="3579"/>
      <c r="B5" s="3575"/>
      <c r="C5" s="544"/>
      <c r="D5" s="3575"/>
      <c r="E5" s="3582"/>
      <c r="F5" s="3547">
        <v>0.375</v>
      </c>
      <c r="G5" s="3538"/>
      <c r="H5" s="3538"/>
      <c r="I5" s="3538"/>
      <c r="J5" s="3548">
        <v>0.5625</v>
      </c>
      <c r="K5" s="3549"/>
      <c r="L5" s="3549"/>
      <c r="M5" s="3550"/>
      <c r="N5" s="3548">
        <v>0.70833333333333337</v>
      </c>
      <c r="O5" s="3549"/>
      <c r="P5" s="3549"/>
      <c r="Q5" s="3550"/>
      <c r="R5" s="3149"/>
    </row>
    <row r="6" spans="1:18" s="528" customFormat="1" ht="42.75" customHeight="1">
      <c r="A6" s="3580"/>
      <c r="B6" s="3581"/>
      <c r="C6" s="210"/>
      <c r="D6" s="3581"/>
      <c r="E6" s="3583"/>
      <c r="F6" s="529" t="s">
        <v>648</v>
      </c>
      <c r="G6" s="3366" t="s">
        <v>649</v>
      </c>
      <c r="H6" s="3374"/>
      <c r="I6" s="3576"/>
      <c r="J6" s="529" t="s">
        <v>648</v>
      </c>
      <c r="K6" s="3366" t="s">
        <v>649</v>
      </c>
      <c r="L6" s="3374"/>
      <c r="M6" s="3576"/>
      <c r="N6" s="529" t="s">
        <v>648</v>
      </c>
      <c r="O6" s="3366" t="s">
        <v>649</v>
      </c>
      <c r="P6" s="3374"/>
      <c r="Q6" s="3576"/>
      <c r="R6" s="541" t="s">
        <v>689</v>
      </c>
    </row>
    <row r="7" spans="1:18" s="537" customFormat="1" ht="24" customHeight="1">
      <c r="A7" s="530">
        <v>1</v>
      </c>
      <c r="B7" s="531" t="s">
        <v>859</v>
      </c>
      <c r="C7" s="835" t="s">
        <v>652</v>
      </c>
      <c r="D7" s="835" t="s">
        <v>652</v>
      </c>
      <c r="E7" s="839" t="s">
        <v>450</v>
      </c>
      <c r="F7" s="488">
        <f>'R.FILE GOC'!H41</f>
        <v>40</v>
      </c>
      <c r="G7" s="489" t="s">
        <v>863</v>
      </c>
      <c r="H7" s="490">
        <f>'R.FILE GOC'!K41</f>
        <v>0</v>
      </c>
      <c r="I7" s="833" t="s">
        <v>864</v>
      </c>
      <c r="J7" s="488">
        <f>'R.FILE GOC'!N41</f>
        <v>50</v>
      </c>
      <c r="K7" s="489" t="s">
        <v>863</v>
      </c>
      <c r="L7" s="490">
        <f>'R.FILE GOC'!Q41</f>
        <v>0</v>
      </c>
      <c r="M7" s="833" t="s">
        <v>864</v>
      </c>
      <c r="N7" s="488">
        <f>'R.FILE GOC'!T41</f>
        <v>45</v>
      </c>
      <c r="O7" s="489" t="s">
        <v>863</v>
      </c>
      <c r="P7" s="490">
        <f>'R.FILE GOC'!W41</f>
        <v>0</v>
      </c>
      <c r="Q7" s="837" t="s">
        <v>654</v>
      </c>
      <c r="R7" s="541" t="s">
        <v>690</v>
      </c>
    </row>
    <row r="8" spans="1:18" s="537" customFormat="1" ht="21" customHeight="1">
      <c r="A8" s="530">
        <v>2</v>
      </c>
      <c r="B8" s="834" t="s">
        <v>656</v>
      </c>
      <c r="C8" s="535" t="s">
        <v>657</v>
      </c>
      <c r="D8" s="535" t="s">
        <v>657</v>
      </c>
      <c r="E8" s="838" t="s">
        <v>426</v>
      </c>
      <c r="F8" s="840">
        <f>'R.FILE GOC'!H42</f>
        <v>11.132499999999999</v>
      </c>
      <c r="G8" s="489" t="s">
        <v>863</v>
      </c>
      <c r="H8" s="490">
        <f>'R.FILE GOC'!K42</f>
        <v>111.32304687500012</v>
      </c>
      <c r="I8" s="833" t="s">
        <v>865</v>
      </c>
      <c r="J8" s="840">
        <f>'R.FILE GOC'!N42</f>
        <v>10.584999999999999</v>
      </c>
      <c r="K8" s="489" t="s">
        <v>863</v>
      </c>
      <c r="L8" s="490">
        <f>'R.FILE GOC'!Q42</f>
        <v>155.89296875000008</v>
      </c>
      <c r="M8" s="833" t="s">
        <v>865</v>
      </c>
      <c r="N8" s="840">
        <f>'R.FILE GOC'!T42</f>
        <v>10.95</v>
      </c>
      <c r="O8" s="489"/>
      <c r="P8" s="490">
        <f>'R.FILE GOC'!W42</f>
        <v>126.17968750000006</v>
      </c>
      <c r="Q8" s="210"/>
      <c r="R8" s="541"/>
    </row>
    <row r="9" spans="1:18" s="537" customFormat="1" ht="29.25" customHeight="1">
      <c r="A9" s="530">
        <v>3</v>
      </c>
      <c r="B9" s="3570" t="s">
        <v>691</v>
      </c>
      <c r="C9" s="534"/>
      <c r="D9" s="3573" t="s">
        <v>431</v>
      </c>
      <c r="E9" s="487" t="s">
        <v>608</v>
      </c>
      <c r="F9" s="533">
        <f>'R.FILE GOC'!H43</f>
        <v>43</v>
      </c>
      <c r="G9" s="493" t="s">
        <v>604</v>
      </c>
      <c r="H9" s="494">
        <f>'R.FILE GOC'!K43</f>
        <v>34.545000000000002</v>
      </c>
      <c r="I9" s="210" t="s">
        <v>681</v>
      </c>
      <c r="J9" s="533">
        <f>'R.FILE GOC'!N43</f>
        <v>44</v>
      </c>
      <c r="K9" s="493" t="s">
        <v>604</v>
      </c>
      <c r="L9" s="494">
        <f>'R.FILE GOC'!Q43</f>
        <v>29.61</v>
      </c>
      <c r="M9" s="210" t="s">
        <v>681</v>
      </c>
      <c r="N9" s="533">
        <f>'R.FILE GOC'!T43</f>
        <v>45</v>
      </c>
      <c r="O9" s="493" t="s">
        <v>604</v>
      </c>
      <c r="P9" s="494">
        <f>'R.FILE GOC'!W43</f>
        <v>24.675000000000001</v>
      </c>
      <c r="Q9" s="210" t="s">
        <v>681</v>
      </c>
      <c r="R9" s="541" t="s">
        <v>692</v>
      </c>
    </row>
    <row r="10" spans="1:18" s="537" customFormat="1" ht="29.25" customHeight="1">
      <c r="A10" s="530">
        <v>4</v>
      </c>
      <c r="B10" s="3571"/>
      <c r="C10" s="549"/>
      <c r="D10" s="3573"/>
      <c r="E10" s="487" t="s">
        <v>612</v>
      </c>
      <c r="F10" s="533">
        <f>'R.FILE GOC'!H44</f>
        <v>7.5</v>
      </c>
      <c r="G10" s="493" t="s">
        <v>604</v>
      </c>
      <c r="H10" s="494">
        <f>'R.FILE GOC'!K44</f>
        <v>0</v>
      </c>
      <c r="I10" s="210" t="s">
        <v>681</v>
      </c>
      <c r="J10" s="533">
        <f>'R.FILE GOC'!N44</f>
        <v>7</v>
      </c>
      <c r="K10" s="493" t="s">
        <v>604</v>
      </c>
      <c r="L10" s="494">
        <f>'R.FILE GOC'!Q44</f>
        <v>0</v>
      </c>
      <c r="M10" s="210" t="s">
        <v>681</v>
      </c>
      <c r="N10" s="533">
        <f>'R.FILE GOC'!T44</f>
        <v>7.2</v>
      </c>
      <c r="O10" s="493" t="s">
        <v>604</v>
      </c>
      <c r="P10" s="494">
        <f>'R.FILE GOC'!W44</f>
        <v>0</v>
      </c>
      <c r="Q10" s="210" t="s">
        <v>681</v>
      </c>
      <c r="R10" s="541" t="s">
        <v>693</v>
      </c>
    </row>
    <row r="11" spans="1:18" s="537" customFormat="1" ht="29.25" customHeight="1">
      <c r="A11" s="530">
        <v>5</v>
      </c>
      <c r="B11" s="3572"/>
      <c r="C11" s="550"/>
      <c r="D11" s="3573"/>
      <c r="E11" s="487" t="s">
        <v>614</v>
      </c>
      <c r="F11" s="65">
        <f>'R.FILE GOC'!H45</f>
        <v>0.1</v>
      </c>
      <c r="G11" s="493" t="s">
        <v>604</v>
      </c>
      <c r="H11" s="538">
        <f>'R.FILE GOC'!K45</f>
        <v>0</v>
      </c>
      <c r="I11" s="65" t="s">
        <v>681</v>
      </c>
      <c r="J11" s="65">
        <f>'R.FILE GOC'!N45</f>
        <v>0.08</v>
      </c>
      <c r="K11" s="493" t="s">
        <v>604</v>
      </c>
      <c r="L11" s="538">
        <f>'R.FILE GOC'!Q45</f>
        <v>0</v>
      </c>
      <c r="M11" s="65" t="s">
        <v>681</v>
      </c>
      <c r="N11" s="65">
        <f>'R.FILE GOC'!T45</f>
        <v>0.12</v>
      </c>
      <c r="O11" s="493" t="s">
        <v>604</v>
      </c>
      <c r="P11" s="538">
        <f>'R.FILE GOC'!W45</f>
        <v>0</v>
      </c>
      <c r="Q11" s="65" t="s">
        <v>681</v>
      </c>
      <c r="R11" s="541"/>
    </row>
    <row r="12" spans="1:18" s="537" customFormat="1" ht="29.25" hidden="1" customHeight="1">
      <c r="A12" s="530">
        <v>6</v>
      </c>
      <c r="B12" s="3570" t="s">
        <v>694</v>
      </c>
      <c r="C12" s="534"/>
      <c r="D12" s="3573" t="s">
        <v>431</v>
      </c>
      <c r="E12" s="487" t="s">
        <v>608</v>
      </c>
      <c r="F12" s="533" t="e">
        <f>'R.FILE GOC'!#REF!</f>
        <v>#REF!</v>
      </c>
      <c r="G12" s="493" t="s">
        <v>604</v>
      </c>
      <c r="H12" s="494" t="e">
        <f>'R.FILE GOC'!#REF!</f>
        <v>#REF!</v>
      </c>
      <c r="I12" s="210" t="s">
        <v>681</v>
      </c>
      <c r="J12" s="533" t="e">
        <f>'R.FILE GOC'!#REF!</f>
        <v>#REF!</v>
      </c>
      <c r="K12" s="493" t="s">
        <v>604</v>
      </c>
      <c r="L12" s="494" t="e">
        <f>'R.FILE GOC'!#REF!</f>
        <v>#REF!</v>
      </c>
      <c r="M12" s="210" t="s">
        <v>681</v>
      </c>
      <c r="N12" s="533" t="e">
        <f>'R.FILE GOC'!#REF!</f>
        <v>#REF!</v>
      </c>
      <c r="O12" s="493" t="s">
        <v>604</v>
      </c>
      <c r="P12" s="494" t="e">
        <f>'R.FILE GOC'!#REF!</f>
        <v>#REF!</v>
      </c>
      <c r="Q12" s="210" t="s">
        <v>681</v>
      </c>
      <c r="R12" s="541" t="s">
        <v>692</v>
      </c>
    </row>
    <row r="13" spans="1:18" s="537" customFormat="1" ht="29.25" hidden="1" customHeight="1">
      <c r="A13" s="530">
        <v>7</v>
      </c>
      <c r="B13" s="3571"/>
      <c r="C13" s="549"/>
      <c r="D13" s="3573"/>
      <c r="E13" s="487" t="s">
        <v>612</v>
      </c>
      <c r="F13" s="533" t="e">
        <f>'R.FILE GOC'!#REF!</f>
        <v>#REF!</v>
      </c>
      <c r="G13" s="493" t="s">
        <v>604</v>
      </c>
      <c r="H13" s="494" t="e">
        <f>'R.FILE GOC'!#REF!</f>
        <v>#REF!</v>
      </c>
      <c r="I13" s="210" t="s">
        <v>681</v>
      </c>
      <c r="J13" s="533" t="e">
        <f>'R.FILE GOC'!#REF!</f>
        <v>#REF!</v>
      </c>
      <c r="K13" s="493" t="s">
        <v>604</v>
      </c>
      <c r="L13" s="494" t="e">
        <f>'R.FILE GOC'!#REF!</f>
        <v>#REF!</v>
      </c>
      <c r="M13" s="210" t="s">
        <v>681</v>
      </c>
      <c r="N13" s="533" t="e">
        <f>'R.FILE GOC'!#REF!</f>
        <v>#REF!</v>
      </c>
      <c r="O13" s="493" t="s">
        <v>604</v>
      </c>
      <c r="P13" s="494" t="e">
        <f>'R.FILE GOC'!#REF!</f>
        <v>#REF!</v>
      </c>
      <c r="Q13" s="210" t="s">
        <v>681</v>
      </c>
      <c r="R13" s="541" t="s">
        <v>693</v>
      </c>
    </row>
    <row r="14" spans="1:18" s="537" customFormat="1" ht="29.25" hidden="1" customHeight="1">
      <c r="A14" s="530">
        <v>8</v>
      </c>
      <c r="B14" s="3572"/>
      <c r="C14" s="550"/>
      <c r="D14" s="3573"/>
      <c r="E14" s="487" t="s">
        <v>614</v>
      </c>
      <c r="F14" s="65" t="e">
        <f>'R.FILE GOC'!#REF!</f>
        <v>#REF!</v>
      </c>
      <c r="G14" s="493" t="s">
        <v>604</v>
      </c>
      <c r="H14" s="538" t="e">
        <f>'R.FILE GOC'!#REF!</f>
        <v>#REF!</v>
      </c>
      <c r="I14" s="65" t="s">
        <v>681</v>
      </c>
      <c r="J14" s="65" t="e">
        <f>'R.FILE GOC'!#REF!</f>
        <v>#REF!</v>
      </c>
      <c r="K14" s="493" t="s">
        <v>604</v>
      </c>
      <c r="L14" s="538" t="e">
        <f>'R.FILE GOC'!#REF!</f>
        <v>#REF!</v>
      </c>
      <c r="M14" s="65" t="s">
        <v>681</v>
      </c>
      <c r="N14" s="65" t="e">
        <f>'R.FILE GOC'!#REF!</f>
        <v>#REF!</v>
      </c>
      <c r="O14" s="493" t="s">
        <v>604</v>
      </c>
      <c r="P14" s="538" t="e">
        <f>'R.FILE GOC'!#REF!</f>
        <v>#REF!</v>
      </c>
      <c r="Q14" s="65" t="s">
        <v>681</v>
      </c>
      <c r="R14" s="541"/>
    </row>
    <row r="15" spans="1:18" s="542" customFormat="1" ht="29.25" customHeight="1">
      <c r="A15" s="530">
        <v>9</v>
      </c>
      <c r="B15" s="3570" t="s">
        <v>664</v>
      </c>
      <c r="C15" s="534"/>
      <c r="D15" s="532" t="s">
        <v>431</v>
      </c>
      <c r="E15" s="487" t="s">
        <v>441</v>
      </c>
      <c r="F15" s="533">
        <f>'R.FILE GOC'!H46</f>
        <v>0.95</v>
      </c>
      <c r="G15" s="548" t="s">
        <v>604</v>
      </c>
      <c r="H15" s="540">
        <f>'R.FILE GOC'!K46</f>
        <v>6.1700000000000053E-2</v>
      </c>
      <c r="I15" s="533" t="s">
        <v>681</v>
      </c>
      <c r="J15" s="533">
        <f>'R.FILE GOC'!N46</f>
        <v>0.9</v>
      </c>
      <c r="K15" s="548" t="s">
        <v>604</v>
      </c>
      <c r="L15" s="540">
        <f>'R.FILE GOC'!Q46</f>
        <v>0.12339999999999998</v>
      </c>
      <c r="M15" s="533" t="s">
        <v>681</v>
      </c>
      <c r="N15" s="533">
        <f>'R.FILE GOC'!T46</f>
        <v>0.95</v>
      </c>
      <c r="O15" s="548" t="s">
        <v>604</v>
      </c>
      <c r="P15" s="540">
        <f>'R.FILE GOC'!W46</f>
        <v>6.1700000000000053E-2</v>
      </c>
      <c r="Q15" s="533" t="s">
        <v>681</v>
      </c>
      <c r="R15" s="541" t="s">
        <v>665</v>
      </c>
    </row>
    <row r="16" spans="1:18" s="542" customFormat="1" ht="29.25" customHeight="1">
      <c r="A16" s="530">
        <v>10</v>
      </c>
      <c r="B16" s="3572"/>
      <c r="C16" s="550"/>
      <c r="D16" s="543" t="s">
        <v>686</v>
      </c>
      <c r="E16" s="986" t="s">
        <v>974</v>
      </c>
      <c r="F16" s="533">
        <f>'R.FILE GOC'!H47</f>
        <v>10</v>
      </c>
      <c r="G16" s="493" t="s">
        <v>604</v>
      </c>
      <c r="H16" s="494"/>
      <c r="I16" s="210" t="s">
        <v>681</v>
      </c>
      <c r="J16" s="533">
        <f>'R.FILE GOC'!N47</f>
        <v>10</v>
      </c>
      <c r="K16" s="493" t="s">
        <v>604</v>
      </c>
      <c r="L16" s="494"/>
      <c r="M16" s="210" t="s">
        <v>681</v>
      </c>
      <c r="N16" s="533">
        <f>'R.FILE GOC'!T47</f>
        <v>10</v>
      </c>
      <c r="O16" s="493" t="s">
        <v>604</v>
      </c>
      <c r="P16" s="494"/>
      <c r="Q16" s="210" t="s">
        <v>681</v>
      </c>
      <c r="R16" s="210"/>
    </row>
    <row r="17" spans="1:18" s="537" customFormat="1" ht="29.25" customHeight="1">
      <c r="A17" s="3574" t="s">
        <v>667</v>
      </c>
      <c r="B17" s="3574"/>
      <c r="C17" s="3574"/>
      <c r="D17" s="3574"/>
      <c r="E17" s="3574"/>
      <c r="F17" s="3574"/>
      <c r="G17" s="3574"/>
      <c r="H17" s="3574"/>
      <c r="I17" s="3574"/>
      <c r="J17" s="3574"/>
      <c r="K17" s="3574"/>
      <c r="L17" s="3574"/>
      <c r="M17" s="3574"/>
      <c r="N17" s="3574"/>
      <c r="O17" s="3574"/>
      <c r="P17" s="3574"/>
      <c r="Q17" s="3574"/>
      <c r="R17" s="3574"/>
    </row>
    <row r="18" spans="1:18" s="537" customFormat="1" ht="29.25" customHeight="1">
      <c r="A18" s="210" t="s">
        <v>687</v>
      </c>
      <c r="B18" s="544" t="s">
        <v>669</v>
      </c>
      <c r="C18" s="544"/>
      <c r="D18" s="544" t="s">
        <v>670</v>
      </c>
      <c r="E18" s="544" t="s">
        <v>671</v>
      </c>
      <c r="F18" s="3575" t="s">
        <v>919</v>
      </c>
      <c r="G18" s="3575"/>
      <c r="H18" s="3575"/>
      <c r="I18" s="3575"/>
      <c r="J18" s="3575"/>
      <c r="K18" s="3575"/>
      <c r="L18" s="3575"/>
      <c r="M18" s="3575"/>
      <c r="N18" s="3575"/>
      <c r="O18" s="3575"/>
      <c r="P18" s="3575"/>
      <c r="Q18" s="3575"/>
      <c r="R18" s="1155"/>
    </row>
    <row r="19" spans="1:18" s="537" customFormat="1" ht="29.25" customHeight="1">
      <c r="A19" s="210">
        <v>1</v>
      </c>
      <c r="B19" s="836" t="s">
        <v>866</v>
      </c>
      <c r="C19" s="544"/>
      <c r="D19" s="545" t="s">
        <v>673</v>
      </c>
      <c r="E19" s="839" t="s">
        <v>674</v>
      </c>
      <c r="F19" s="3569">
        <f>'R.FILE GOC'!K50</f>
        <v>59</v>
      </c>
      <c r="G19" s="3569"/>
      <c r="H19" s="3569"/>
      <c r="I19" s="3569"/>
      <c r="J19" s="3569">
        <f>'R.FILE GOC'!Q50</f>
        <v>59</v>
      </c>
      <c r="K19" s="3569"/>
      <c r="L19" s="3569"/>
      <c r="M19" s="3569"/>
      <c r="N19" s="3569">
        <f>'R.FILE GOC'!W50</f>
        <v>58</v>
      </c>
      <c r="O19" s="3569"/>
      <c r="P19" s="3569"/>
      <c r="Q19" s="3569"/>
      <c r="R19" s="494"/>
    </row>
    <row r="20" spans="1:18" s="537" customFormat="1" ht="29.25" customHeight="1">
      <c r="A20" s="210">
        <v>2</v>
      </c>
      <c r="B20" s="836" t="s">
        <v>867</v>
      </c>
      <c r="C20" s="544"/>
      <c r="D20" s="545" t="s">
        <v>673</v>
      </c>
      <c r="E20" s="487" t="s">
        <v>676</v>
      </c>
      <c r="F20" s="3569">
        <f>'R.FILE GOC'!K51</f>
        <v>68</v>
      </c>
      <c r="G20" s="3569"/>
      <c r="H20" s="3569"/>
      <c r="I20" s="3569"/>
      <c r="J20" s="3569">
        <f>'R.FILE GOC'!Q51</f>
        <v>68</v>
      </c>
      <c r="K20" s="3569"/>
      <c r="L20" s="3569"/>
      <c r="M20" s="3569"/>
      <c r="N20" s="3569">
        <f>'R.FILE GOC'!W51</f>
        <v>68</v>
      </c>
      <c r="O20" s="3569"/>
      <c r="P20" s="3569"/>
      <c r="Q20" s="3569"/>
      <c r="R20" s="494"/>
    </row>
    <row r="21" spans="1:18" s="537" customFormat="1" ht="29.25" customHeight="1">
      <c r="A21" s="210">
        <v>3</v>
      </c>
      <c r="B21" s="544" t="s">
        <v>677</v>
      </c>
      <c r="C21" s="544"/>
      <c r="D21" s="545" t="s">
        <v>673</v>
      </c>
      <c r="E21" s="487" t="s">
        <v>678</v>
      </c>
      <c r="F21" s="3569">
        <f>'R.FILE GOC'!K52</f>
        <v>85</v>
      </c>
      <c r="G21" s="3569"/>
      <c r="H21" s="3569"/>
      <c r="I21" s="3569"/>
      <c r="J21" s="3569">
        <f>'R.FILE GOC'!Q52</f>
        <v>89</v>
      </c>
      <c r="K21" s="3569"/>
      <c r="L21" s="3569"/>
      <c r="M21" s="3569"/>
      <c r="N21" s="3569">
        <f>'R.FILE GOC'!W52</f>
        <v>83</v>
      </c>
      <c r="O21" s="3569"/>
      <c r="P21" s="3569"/>
      <c r="Q21" s="3569"/>
      <c r="R21" s="494"/>
    </row>
    <row r="22" spans="1:18" ht="27.75" customHeight="1">
      <c r="A22" s="3560" t="s">
        <v>588</v>
      </c>
      <c r="B22" s="3560"/>
      <c r="C22" s="3560"/>
      <c r="D22" s="3560"/>
      <c r="E22" s="3560"/>
      <c r="F22" s="3560"/>
      <c r="G22" s="3560"/>
      <c r="H22" s="3560"/>
      <c r="I22" s="3560"/>
      <c r="J22" s="3560"/>
      <c r="K22" s="3560"/>
      <c r="L22" s="3560"/>
      <c r="M22" s="3560"/>
      <c r="N22" s="472"/>
      <c r="O22" s="472"/>
      <c r="P22" s="472"/>
      <c r="Q22" s="472"/>
      <c r="R22" s="472"/>
    </row>
    <row r="23" spans="1:18" ht="36.75" customHeight="1">
      <c r="A23" s="3557" t="s">
        <v>861</v>
      </c>
      <c r="B23" s="3557"/>
      <c r="C23" s="3557"/>
      <c r="D23" s="3557"/>
      <c r="E23" s="3557"/>
      <c r="F23" s="3557"/>
      <c r="G23" s="3557"/>
      <c r="H23" s="3557"/>
      <c r="I23" s="3557"/>
      <c r="J23" s="3557"/>
      <c r="K23" s="3557"/>
      <c r="L23" s="3557"/>
      <c r="M23" s="3557"/>
      <c r="N23" s="475"/>
      <c r="O23" s="475"/>
      <c r="P23" s="475"/>
      <c r="Q23" s="475"/>
      <c r="R23" s="475"/>
    </row>
    <row r="24" spans="1:18" ht="27" customHeight="1">
      <c r="A24" s="476"/>
      <c r="B24" s="477" t="s">
        <v>679</v>
      </c>
      <c r="C24" s="477"/>
      <c r="D24" s="478"/>
      <c r="E24" s="478"/>
      <c r="F24" s="478"/>
      <c r="G24" s="478"/>
      <c r="H24" s="478"/>
      <c r="I24" s="478"/>
      <c r="J24" s="3577"/>
      <c r="K24" s="3577"/>
      <c r="L24" s="3577"/>
      <c r="M24" s="526"/>
      <c r="N24" s="3577"/>
      <c r="O24" s="3577"/>
      <c r="P24" s="3577"/>
      <c r="Q24" s="526"/>
      <c r="R24" s="526"/>
    </row>
    <row r="25" spans="1:18" s="528" customFormat="1" ht="42" customHeight="1">
      <c r="A25" s="3578" t="s">
        <v>680</v>
      </c>
      <c r="B25" s="3575" t="s">
        <v>644</v>
      </c>
      <c r="C25" s="544"/>
      <c r="D25" s="3575" t="s">
        <v>645</v>
      </c>
      <c r="E25" s="3582" t="s">
        <v>646</v>
      </c>
      <c r="F25" s="3522" t="s">
        <v>923</v>
      </c>
      <c r="G25" s="3523"/>
      <c r="H25" s="3523"/>
      <c r="I25" s="3523"/>
      <c r="J25" s="3523"/>
      <c r="K25" s="3523"/>
      <c r="L25" s="3523"/>
      <c r="M25" s="3523"/>
      <c r="N25" s="3523"/>
      <c r="O25" s="3523"/>
      <c r="P25" s="3523"/>
      <c r="Q25" s="3524"/>
      <c r="R25" s="3148" t="s">
        <v>647</v>
      </c>
    </row>
    <row r="26" spans="1:18" s="528" customFormat="1" ht="21" customHeight="1">
      <c r="A26" s="3579"/>
      <c r="B26" s="3575"/>
      <c r="C26" s="544"/>
      <c r="D26" s="3575"/>
      <c r="E26" s="3582"/>
      <c r="F26" s="3547">
        <v>0.875</v>
      </c>
      <c r="G26" s="3538"/>
      <c r="H26" s="3538"/>
      <c r="I26" s="3538"/>
      <c r="J26" s="3548">
        <v>8.3333333333333329E-2</v>
      </c>
      <c r="K26" s="3549"/>
      <c r="L26" s="3549"/>
      <c r="M26" s="3550"/>
      <c r="N26" s="3548">
        <v>0.16666666666666666</v>
      </c>
      <c r="O26" s="3549"/>
      <c r="P26" s="3549"/>
      <c r="Q26" s="3550"/>
      <c r="R26" s="3149"/>
    </row>
    <row r="27" spans="1:18" s="528" customFormat="1" ht="40.5" customHeight="1">
      <c r="A27" s="3580"/>
      <c r="B27" s="3581"/>
      <c r="C27" s="210"/>
      <c r="D27" s="3581"/>
      <c r="E27" s="3583"/>
      <c r="F27" s="529" t="s">
        <v>648</v>
      </c>
      <c r="G27" s="3366" t="s">
        <v>649</v>
      </c>
      <c r="H27" s="3374"/>
      <c r="I27" s="3576"/>
      <c r="J27" s="529" t="s">
        <v>648</v>
      </c>
      <c r="K27" s="3366" t="s">
        <v>649</v>
      </c>
      <c r="L27" s="3374"/>
      <c r="M27" s="3576"/>
      <c r="N27" s="529" t="s">
        <v>648</v>
      </c>
      <c r="O27" s="3366" t="s">
        <v>649</v>
      </c>
      <c r="P27" s="3374"/>
      <c r="Q27" s="3576"/>
      <c r="R27" s="552" t="s">
        <v>689</v>
      </c>
    </row>
    <row r="28" spans="1:18" s="537" customFormat="1" ht="30" customHeight="1">
      <c r="A28" s="530">
        <v>1</v>
      </c>
      <c r="B28" s="531" t="s">
        <v>859</v>
      </c>
      <c r="C28" s="835" t="s">
        <v>652</v>
      </c>
      <c r="D28" s="835" t="s">
        <v>652</v>
      </c>
      <c r="E28" s="839" t="s">
        <v>450</v>
      </c>
      <c r="F28" s="488">
        <f>'R.FILE GOC'!Z41</f>
        <v>44</v>
      </c>
      <c r="G28" s="489" t="s">
        <v>863</v>
      </c>
      <c r="H28" s="490">
        <f>'R.FILE GOC'!AC41</f>
        <v>0</v>
      </c>
      <c r="I28" s="833" t="s">
        <v>864</v>
      </c>
      <c r="J28" s="488">
        <f>'R.FILE GOC'!AF41</f>
        <v>41</v>
      </c>
      <c r="K28" s="489" t="s">
        <v>863</v>
      </c>
      <c r="L28" s="490">
        <f>'R.FILE GOC'!AI41</f>
        <v>0</v>
      </c>
      <c r="M28" s="833" t="s">
        <v>864</v>
      </c>
      <c r="N28" s="488">
        <f>'R.FILE GOC'!AL41</f>
        <v>40</v>
      </c>
      <c r="O28" s="489" t="s">
        <v>863</v>
      </c>
      <c r="P28" s="490">
        <f>'R.FILE GOC'!AO41</f>
        <v>0</v>
      </c>
      <c r="Q28" s="837" t="s">
        <v>654</v>
      </c>
      <c r="R28" s="552" t="s">
        <v>695</v>
      </c>
    </row>
    <row r="29" spans="1:18" s="537" customFormat="1" ht="23.25" customHeight="1">
      <c r="A29" s="530">
        <v>2</v>
      </c>
      <c r="B29" s="834" t="s">
        <v>656</v>
      </c>
      <c r="C29" s="535" t="s">
        <v>657</v>
      </c>
      <c r="D29" s="535" t="s">
        <v>657</v>
      </c>
      <c r="E29" s="838" t="s">
        <v>426</v>
      </c>
      <c r="F29" s="840">
        <f>'R.FILE GOC'!Z42</f>
        <v>10.95</v>
      </c>
      <c r="G29" s="489" t="s">
        <v>863</v>
      </c>
      <c r="H29" s="490">
        <f>'R.FILE GOC'!AC42</f>
        <v>126.17968750000006</v>
      </c>
      <c r="I29" s="833" t="s">
        <v>865</v>
      </c>
      <c r="J29" s="840">
        <f>'R.FILE GOC'!AF42</f>
        <v>10.95</v>
      </c>
      <c r="K29" s="489" t="s">
        <v>863</v>
      </c>
      <c r="L29" s="490">
        <f>'R.FILE GOC'!AI42</f>
        <v>126.17968750000006</v>
      </c>
      <c r="M29" s="833" t="s">
        <v>865</v>
      </c>
      <c r="N29" s="840">
        <f>'R.FILE GOC'!AL42</f>
        <v>12.3</v>
      </c>
      <c r="O29" s="489" t="s">
        <v>863</v>
      </c>
      <c r="P29" s="490">
        <f>'R.FILE GOC'!AO42</f>
        <v>16.281249999999943</v>
      </c>
      <c r="Q29" s="210" t="s">
        <v>683</v>
      </c>
      <c r="R29" s="552"/>
    </row>
    <row r="30" spans="1:18" s="537" customFormat="1" ht="30" customHeight="1">
      <c r="A30" s="530">
        <v>3</v>
      </c>
      <c r="B30" s="3570" t="s">
        <v>691</v>
      </c>
      <c r="C30" s="534"/>
      <c r="D30" s="3573" t="s">
        <v>431</v>
      </c>
      <c r="E30" s="487" t="s">
        <v>608</v>
      </c>
      <c r="F30" s="533">
        <f>'R.FILE GOC'!Z43</f>
        <v>54</v>
      </c>
      <c r="G30" s="493" t="s">
        <v>604</v>
      </c>
      <c r="H30" s="494">
        <f>'R.FILE GOC'!AC43</f>
        <v>0</v>
      </c>
      <c r="I30" s="210" t="s">
        <v>681</v>
      </c>
      <c r="J30" s="533">
        <f>'R.FILE GOC'!AF43</f>
        <v>47</v>
      </c>
      <c r="K30" s="493" t="s">
        <v>604</v>
      </c>
      <c r="L30" s="494">
        <f>'R.FILE GOC'!AI43</f>
        <v>14.805</v>
      </c>
      <c r="M30" s="210" t="s">
        <v>681</v>
      </c>
      <c r="N30" s="533">
        <f>'R.FILE GOC'!AL43</f>
        <v>50</v>
      </c>
      <c r="O30" s="493" t="s">
        <v>604</v>
      </c>
      <c r="P30" s="494">
        <f>'R.FILE GOC'!AO43</f>
        <v>0</v>
      </c>
      <c r="Q30" s="210" t="s">
        <v>681</v>
      </c>
      <c r="R30" s="552" t="s">
        <v>693</v>
      </c>
    </row>
    <row r="31" spans="1:18" s="537" customFormat="1" ht="30" customHeight="1">
      <c r="A31" s="530">
        <v>4</v>
      </c>
      <c r="B31" s="3571"/>
      <c r="C31" s="549"/>
      <c r="D31" s="3573"/>
      <c r="E31" s="487" t="s">
        <v>612</v>
      </c>
      <c r="F31" s="533">
        <f>'R.FILE GOC'!Z44</f>
        <v>7</v>
      </c>
      <c r="G31" s="493" t="s">
        <v>604</v>
      </c>
      <c r="H31" s="494">
        <f>'R.FILE GOC'!AC44</f>
        <v>0</v>
      </c>
      <c r="I31" s="210" t="s">
        <v>681</v>
      </c>
      <c r="J31" s="533">
        <f>'R.FILE GOC'!AF44</f>
        <v>7.3</v>
      </c>
      <c r="K31" s="493" t="s">
        <v>604</v>
      </c>
      <c r="L31" s="494">
        <f>'R.FILE GOC'!AI44</f>
        <v>0</v>
      </c>
      <c r="M31" s="210" t="s">
        <v>681</v>
      </c>
      <c r="N31" s="533">
        <f>'R.FILE GOC'!AL44</f>
        <v>7.6</v>
      </c>
      <c r="O31" s="493" t="s">
        <v>604</v>
      </c>
      <c r="P31" s="494">
        <f>'R.FILE GOC'!AO44</f>
        <v>0</v>
      </c>
      <c r="Q31" s="210" t="s">
        <v>681</v>
      </c>
      <c r="R31" s="553"/>
    </row>
    <row r="32" spans="1:18" s="537" customFormat="1" ht="30" customHeight="1">
      <c r="A32" s="530">
        <v>5</v>
      </c>
      <c r="B32" s="3572"/>
      <c r="C32" s="550"/>
      <c r="D32" s="3573"/>
      <c r="E32" s="487" t="s">
        <v>614</v>
      </c>
      <c r="F32" s="65">
        <f>'R.FILE GOC'!Z45</f>
        <v>0.12</v>
      </c>
      <c r="G32" s="493" t="s">
        <v>604</v>
      </c>
      <c r="H32" s="538">
        <f>'R.FILE GOC'!AC45</f>
        <v>0</v>
      </c>
      <c r="I32" s="65" t="s">
        <v>681</v>
      </c>
      <c r="J32" s="65">
        <f>'R.FILE GOC'!AF45</f>
        <v>0.1</v>
      </c>
      <c r="K32" s="493" t="s">
        <v>604</v>
      </c>
      <c r="L32" s="538">
        <f>'R.FILE GOC'!AI45</f>
        <v>0</v>
      </c>
      <c r="M32" s="65" t="s">
        <v>681</v>
      </c>
      <c r="N32" s="65">
        <f>'R.FILE GOC'!AL45</f>
        <v>0.12</v>
      </c>
      <c r="O32" s="493" t="s">
        <v>604</v>
      </c>
      <c r="P32" s="538">
        <f>'R.FILE GOC'!AO45</f>
        <v>0</v>
      </c>
      <c r="Q32" s="65" t="s">
        <v>681</v>
      </c>
      <c r="R32" s="552" t="s">
        <v>692</v>
      </c>
    </row>
    <row r="33" spans="1:18" s="537" customFormat="1" ht="30" hidden="1" customHeight="1">
      <c r="A33" s="530">
        <v>6</v>
      </c>
      <c r="B33" s="3570" t="s">
        <v>694</v>
      </c>
      <c r="C33" s="534"/>
      <c r="D33" s="3573" t="s">
        <v>431</v>
      </c>
      <c r="E33" s="487" t="s">
        <v>608</v>
      </c>
      <c r="F33" s="533" t="e">
        <f>'R.FILE GOC'!#REF!</f>
        <v>#REF!</v>
      </c>
      <c r="G33" s="493" t="s">
        <v>604</v>
      </c>
      <c r="H33" s="494" t="e">
        <f>'R.FILE GOC'!#REF!</f>
        <v>#REF!</v>
      </c>
      <c r="I33" s="210" t="s">
        <v>681</v>
      </c>
      <c r="J33" s="533" t="e">
        <f>'R.FILE GOC'!#REF!</f>
        <v>#REF!</v>
      </c>
      <c r="K33" s="493" t="s">
        <v>604</v>
      </c>
      <c r="L33" s="494" t="e">
        <f>'R.FILE GOC'!#REF!</f>
        <v>#REF!</v>
      </c>
      <c r="M33" s="210" t="s">
        <v>681</v>
      </c>
      <c r="N33" s="533" t="e">
        <f>'R.FILE GOC'!#REF!</f>
        <v>#REF!</v>
      </c>
      <c r="O33" s="493" t="s">
        <v>604</v>
      </c>
      <c r="P33" s="494" t="e">
        <f>'R.FILE GOC'!#REF!</f>
        <v>#REF!</v>
      </c>
      <c r="Q33" s="210" t="s">
        <v>681</v>
      </c>
      <c r="R33" s="552" t="s">
        <v>693</v>
      </c>
    </row>
    <row r="34" spans="1:18" s="537" customFormat="1" ht="30" hidden="1" customHeight="1">
      <c r="A34" s="530">
        <v>7</v>
      </c>
      <c r="B34" s="3571"/>
      <c r="C34" s="549"/>
      <c r="D34" s="3573"/>
      <c r="E34" s="487" t="s">
        <v>612</v>
      </c>
      <c r="F34" s="533" t="e">
        <f>'R.FILE GOC'!#REF!</f>
        <v>#REF!</v>
      </c>
      <c r="G34" s="493" t="s">
        <v>604</v>
      </c>
      <c r="H34" s="494" t="e">
        <f>'R.FILE GOC'!#REF!</f>
        <v>#REF!</v>
      </c>
      <c r="I34" s="210" t="s">
        <v>681</v>
      </c>
      <c r="J34" s="533" t="e">
        <f>'R.FILE GOC'!#REF!</f>
        <v>#REF!</v>
      </c>
      <c r="K34" s="493" t="s">
        <v>604</v>
      </c>
      <c r="L34" s="494" t="e">
        <f>'R.FILE GOC'!#REF!</f>
        <v>#REF!</v>
      </c>
      <c r="M34" s="210" t="s">
        <v>681</v>
      </c>
      <c r="N34" s="533" t="e">
        <f>'R.FILE GOC'!#REF!</f>
        <v>#REF!</v>
      </c>
      <c r="O34" s="493" t="s">
        <v>604</v>
      </c>
      <c r="P34" s="494" t="e">
        <f>'R.FILE GOC'!#REF!</f>
        <v>#REF!</v>
      </c>
      <c r="Q34" s="210" t="s">
        <v>681</v>
      </c>
      <c r="R34" s="552"/>
    </row>
    <row r="35" spans="1:18" s="537" customFormat="1" ht="30" hidden="1" customHeight="1">
      <c r="A35" s="530">
        <v>8</v>
      </c>
      <c r="B35" s="3572"/>
      <c r="C35" s="550"/>
      <c r="D35" s="3573"/>
      <c r="E35" s="487" t="s">
        <v>614</v>
      </c>
      <c r="F35" s="65" t="e">
        <f>'R.FILE GOC'!#REF!</f>
        <v>#REF!</v>
      </c>
      <c r="G35" s="493" t="s">
        <v>604</v>
      </c>
      <c r="H35" s="538" t="e">
        <f>'R.FILE GOC'!#REF!</f>
        <v>#REF!</v>
      </c>
      <c r="I35" s="65" t="s">
        <v>681</v>
      </c>
      <c r="J35" s="65" t="e">
        <f>'R.FILE GOC'!#REF!</f>
        <v>#REF!</v>
      </c>
      <c r="K35" s="493" t="s">
        <v>604</v>
      </c>
      <c r="L35" s="538" t="e">
        <f>'R.FILE GOC'!#REF!</f>
        <v>#REF!</v>
      </c>
      <c r="M35" s="65" t="s">
        <v>681</v>
      </c>
      <c r="N35" s="65" t="e">
        <f>'R.FILE GOC'!#REF!</f>
        <v>#REF!</v>
      </c>
      <c r="O35" s="493" t="s">
        <v>604</v>
      </c>
      <c r="P35" s="538" t="e">
        <f>'R.FILE GOC'!#REF!</f>
        <v>#REF!</v>
      </c>
      <c r="Q35" s="65" t="s">
        <v>681</v>
      </c>
      <c r="R35" s="552" t="s">
        <v>692</v>
      </c>
    </row>
    <row r="36" spans="1:18" s="542" customFormat="1" ht="30" customHeight="1">
      <c r="A36" s="530">
        <v>9</v>
      </c>
      <c r="B36" s="3570" t="s">
        <v>664</v>
      </c>
      <c r="C36" s="534"/>
      <c r="D36" s="532" t="s">
        <v>431</v>
      </c>
      <c r="E36" s="487" t="s">
        <v>441</v>
      </c>
      <c r="F36" s="533">
        <f>'R.FILE GOC'!Z46</f>
        <v>0.9</v>
      </c>
      <c r="G36" s="548" t="s">
        <v>604</v>
      </c>
      <c r="H36" s="540">
        <f>'R.FILE GOC'!AC46</f>
        <v>0.12339999999999998</v>
      </c>
      <c r="I36" s="533" t="s">
        <v>681</v>
      </c>
      <c r="J36" s="533">
        <f>'R.FILE GOC'!AF46</f>
        <v>0.95</v>
      </c>
      <c r="K36" s="548" t="s">
        <v>604</v>
      </c>
      <c r="L36" s="540">
        <f>'R.FILE GOC'!AI46</f>
        <v>6.1700000000000053E-2</v>
      </c>
      <c r="M36" s="533" t="s">
        <v>681</v>
      </c>
      <c r="N36" s="533">
        <f>'R.FILE GOC'!AL46</f>
        <v>0.9</v>
      </c>
      <c r="O36" s="548" t="s">
        <v>604</v>
      </c>
      <c r="P36" s="540">
        <f>'R.FILE GOC'!AO46</f>
        <v>0.12339999999999998</v>
      </c>
      <c r="Q36" s="533" t="s">
        <v>681</v>
      </c>
      <c r="R36" s="541" t="s">
        <v>665</v>
      </c>
    </row>
    <row r="37" spans="1:18" s="542" customFormat="1" ht="30" customHeight="1">
      <c r="A37" s="530">
        <v>10</v>
      </c>
      <c r="B37" s="3572"/>
      <c r="C37" s="550"/>
      <c r="D37" s="543" t="s">
        <v>686</v>
      </c>
      <c r="E37" s="986" t="s">
        <v>974</v>
      </c>
      <c r="F37" s="533">
        <f>'R.FILE GOC'!Z47</f>
        <v>9</v>
      </c>
      <c r="G37" s="493" t="s">
        <v>604</v>
      </c>
      <c r="H37" s="494"/>
      <c r="I37" s="210" t="s">
        <v>681</v>
      </c>
      <c r="J37" s="533">
        <f>'R.FILE GOC'!AF47</f>
        <v>9.5</v>
      </c>
      <c r="K37" s="493" t="s">
        <v>604</v>
      </c>
      <c r="L37" s="494"/>
      <c r="M37" s="210" t="s">
        <v>681</v>
      </c>
      <c r="N37" s="533">
        <f>'R.FILE GOC'!AL47</f>
        <v>9</v>
      </c>
      <c r="O37" s="493" t="s">
        <v>604</v>
      </c>
      <c r="P37" s="494"/>
      <c r="Q37" s="210" t="s">
        <v>681</v>
      </c>
      <c r="R37" s="210"/>
    </row>
    <row r="38" spans="1:18" s="537" customFormat="1" ht="30" customHeight="1">
      <c r="A38" s="3574" t="s">
        <v>667</v>
      </c>
      <c r="B38" s="3574"/>
      <c r="C38" s="3574"/>
      <c r="D38" s="3574"/>
      <c r="E38" s="3574"/>
      <c r="F38" s="3574"/>
      <c r="G38" s="3574"/>
      <c r="H38" s="3574"/>
      <c r="I38" s="3574"/>
      <c r="J38" s="3574"/>
      <c r="K38" s="3574"/>
      <c r="L38" s="3574"/>
      <c r="M38" s="3574"/>
      <c r="N38" s="3574"/>
      <c r="O38" s="3574"/>
      <c r="P38" s="3574"/>
      <c r="Q38" s="3574"/>
      <c r="R38" s="3574"/>
    </row>
    <row r="39" spans="1:18" s="537" customFormat="1" ht="30" customHeight="1">
      <c r="A39" s="210" t="s">
        <v>687</v>
      </c>
      <c r="B39" s="544" t="s">
        <v>669</v>
      </c>
      <c r="C39" s="544"/>
      <c r="D39" s="544" t="s">
        <v>670</v>
      </c>
      <c r="E39" s="544" t="s">
        <v>671</v>
      </c>
      <c r="F39" s="3575" t="s">
        <v>919</v>
      </c>
      <c r="G39" s="3575"/>
      <c r="H39" s="3575"/>
      <c r="I39" s="3575"/>
      <c r="J39" s="3575"/>
      <c r="K39" s="3575"/>
      <c r="L39" s="3575"/>
      <c r="M39" s="3575"/>
      <c r="N39" s="3575"/>
      <c r="O39" s="3575"/>
      <c r="P39" s="3575"/>
      <c r="Q39" s="3575"/>
      <c r="R39" s="1155"/>
    </row>
    <row r="40" spans="1:18" s="537" customFormat="1" ht="30" customHeight="1">
      <c r="A40" s="210">
        <v>1</v>
      </c>
      <c r="B40" s="836" t="s">
        <v>866</v>
      </c>
      <c r="C40" s="544"/>
      <c r="D40" s="545" t="s">
        <v>673</v>
      </c>
      <c r="E40" s="839" t="s">
        <v>674</v>
      </c>
      <c r="F40" s="3569">
        <f>'R.FILE GOC'!AC50</f>
        <v>58</v>
      </c>
      <c r="G40" s="3569"/>
      <c r="H40" s="3569"/>
      <c r="I40" s="3569"/>
      <c r="J40" s="3569">
        <f>'R.FILE GOC'!AI50</f>
        <v>59</v>
      </c>
      <c r="K40" s="3569"/>
      <c r="L40" s="3569"/>
      <c r="M40" s="3569"/>
      <c r="N40" s="3569">
        <v>58</v>
      </c>
      <c r="O40" s="3569"/>
      <c r="P40" s="3569"/>
      <c r="Q40" s="3569"/>
      <c r="R40" s="271"/>
    </row>
    <row r="41" spans="1:18" s="537" customFormat="1" ht="30" customHeight="1">
      <c r="A41" s="210">
        <v>2</v>
      </c>
      <c r="B41" s="836" t="s">
        <v>867</v>
      </c>
      <c r="C41" s="544"/>
      <c r="D41" s="545" t="s">
        <v>673</v>
      </c>
      <c r="E41" s="487" t="s">
        <v>676</v>
      </c>
      <c r="F41" s="3520">
        <f>'R.FILE GOC'!AC51</f>
        <v>68</v>
      </c>
      <c r="G41" s="3521"/>
      <c r="H41" s="3521"/>
      <c r="I41" s="3521"/>
      <c r="J41" s="3520">
        <f>'R.FILE GOC'!AI51</f>
        <v>68</v>
      </c>
      <c r="K41" s="3521"/>
      <c r="L41" s="3521"/>
      <c r="M41" s="3521"/>
      <c r="N41" s="3520">
        <v>69</v>
      </c>
      <c r="O41" s="3521"/>
      <c r="P41" s="3521"/>
      <c r="Q41" s="3521"/>
      <c r="R41" s="65"/>
    </row>
    <row r="42" spans="1:18" s="537" customFormat="1" ht="30" customHeight="1">
      <c r="A42" s="210">
        <v>3</v>
      </c>
      <c r="B42" s="544" t="s">
        <v>677</v>
      </c>
      <c r="C42" s="544"/>
      <c r="D42" s="545" t="s">
        <v>673</v>
      </c>
      <c r="E42" s="487" t="s">
        <v>678</v>
      </c>
      <c r="F42" s="3520">
        <f>'R.FILE GOC'!AC52</f>
        <v>86</v>
      </c>
      <c r="G42" s="3521"/>
      <c r="H42" s="3521"/>
      <c r="I42" s="3521"/>
      <c r="J42" s="3520">
        <f>'R.FILE GOC'!AI52</f>
        <v>85</v>
      </c>
      <c r="K42" s="3521"/>
      <c r="L42" s="3521"/>
      <c r="M42" s="3521"/>
      <c r="N42" s="3520">
        <v>84</v>
      </c>
      <c r="O42" s="3521"/>
      <c r="P42" s="3521"/>
      <c r="Q42" s="3521"/>
      <c r="R42" s="271"/>
    </row>
  </sheetData>
  <sheetProtection selectLockedCells="1"/>
  <mergeCells count="65">
    <mergeCell ref="A1:M1"/>
    <mergeCell ref="A2:M2"/>
    <mergeCell ref="P2:Q2"/>
    <mergeCell ref="J3:L3"/>
    <mergeCell ref="P3:Q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R25:R26"/>
    <mergeCell ref="F26:I26"/>
    <mergeCell ref="J26:M26"/>
    <mergeCell ref="N26:Q26"/>
    <mergeCell ref="G27:I27"/>
    <mergeCell ref="A25:A27"/>
    <mergeCell ref="B25:B27"/>
    <mergeCell ref="D25:D27"/>
    <mergeCell ref="E25:E27"/>
    <mergeCell ref="F25:Q25"/>
    <mergeCell ref="K27:M27"/>
    <mergeCell ref="O27:Q27"/>
    <mergeCell ref="B30:B32"/>
    <mergeCell ref="D30:D32"/>
    <mergeCell ref="B33:B35"/>
    <mergeCell ref="D33:D35"/>
    <mergeCell ref="B36:B37"/>
    <mergeCell ref="A38:R38"/>
    <mergeCell ref="F39:Q39"/>
    <mergeCell ref="F40:I40"/>
    <mergeCell ref="J40:M40"/>
    <mergeCell ref="N40:Q40"/>
    <mergeCell ref="F41:I41"/>
    <mergeCell ref="J41:M41"/>
    <mergeCell ref="N41:Q41"/>
    <mergeCell ref="F42:I42"/>
    <mergeCell ref="J42:M42"/>
    <mergeCell ref="N42:Q42"/>
  </mergeCells>
  <phoneticPr fontId="7" type="noConversion"/>
  <conditionalFormatting sqref="F20:Q20 F41:I41">
    <cfRule type="expression" dxfId="1318" priority="65">
      <formula>F20&lt;65</formula>
    </cfRule>
    <cfRule type="expression" dxfId="1317" priority="66">
      <formula>F20&gt;85</formula>
    </cfRule>
  </conditionalFormatting>
  <conditionalFormatting sqref="F42:I42 F21:Q21">
    <cfRule type="expression" dxfId="1316" priority="63">
      <formula>F21&lt;80</formula>
    </cfRule>
    <cfRule type="expression" dxfId="1315" priority="64">
      <formula>F21&gt;90</formula>
    </cfRule>
  </conditionalFormatting>
  <conditionalFormatting sqref="J41:Q41">
    <cfRule type="expression" dxfId="1314" priority="61">
      <formula>J41&lt;65</formula>
    </cfRule>
    <cfRule type="expression" dxfId="1313" priority="62">
      <formula>J41&gt;85</formula>
    </cfRule>
  </conditionalFormatting>
  <conditionalFormatting sqref="J42:Q42">
    <cfRule type="expression" dxfId="1312" priority="59">
      <formula>J42&lt;80</formula>
    </cfRule>
    <cfRule type="expression" dxfId="1311" priority="60">
      <formula>J42&gt;90</formula>
    </cfRule>
  </conditionalFormatting>
  <conditionalFormatting sqref="F8 J8">
    <cfRule type="expression" dxfId="1310" priority="57">
      <formula>F8&lt;10</formula>
    </cfRule>
    <cfRule type="expression" dxfId="1309" priority="58">
      <formula>F8&gt;15</formula>
    </cfRule>
  </conditionalFormatting>
  <conditionalFormatting sqref="N8">
    <cfRule type="expression" dxfId="1308" priority="55">
      <formula>N8&lt;10</formula>
    </cfRule>
    <cfRule type="expression" dxfId="1307" priority="56">
      <formula>N8&gt;15</formula>
    </cfRule>
  </conditionalFormatting>
  <conditionalFormatting sqref="J8">
    <cfRule type="expression" dxfId="1306" priority="53">
      <formula>J8&lt;10</formula>
    </cfRule>
    <cfRule type="expression" dxfId="1305" priority="54">
      <formula>J8&gt;15</formula>
    </cfRule>
  </conditionalFormatting>
  <conditionalFormatting sqref="N8">
    <cfRule type="expression" dxfId="1304" priority="51">
      <formula>N8&lt;10</formula>
    </cfRule>
    <cfRule type="expression" dxfId="1303" priority="52">
      <formula>N8&gt;15</formula>
    </cfRule>
  </conditionalFormatting>
  <conditionalFormatting sqref="F8">
    <cfRule type="expression" dxfId="1302" priority="49">
      <formula>F8&lt;10</formula>
    </cfRule>
    <cfRule type="expression" dxfId="1301" priority="50">
      <formula>F8&gt;15</formula>
    </cfRule>
  </conditionalFormatting>
  <conditionalFormatting sqref="F8 J8">
    <cfRule type="expression" dxfId="1300" priority="47">
      <formula>F8&lt;10</formula>
    </cfRule>
    <cfRule type="expression" dxfId="1299" priority="48">
      <formula>F8&gt;15</formula>
    </cfRule>
  </conditionalFormatting>
  <conditionalFormatting sqref="N8">
    <cfRule type="expression" dxfId="1298" priority="45">
      <formula>N8&lt;10</formula>
    </cfRule>
    <cfRule type="expression" dxfId="1297" priority="46">
      <formula>N8&gt;15</formula>
    </cfRule>
  </conditionalFormatting>
  <conditionalFormatting sqref="F8">
    <cfRule type="expression" dxfId="1296" priority="43">
      <formula>F8&lt;10</formula>
    </cfRule>
    <cfRule type="expression" dxfId="1295" priority="44">
      <formula>F8&gt;15</formula>
    </cfRule>
  </conditionalFormatting>
  <conditionalFormatting sqref="F8">
    <cfRule type="expression" dxfId="1294" priority="42">
      <formula>F8&lt;1</formula>
    </cfRule>
  </conditionalFormatting>
  <conditionalFormatting sqref="J8">
    <cfRule type="expression" dxfId="1293" priority="40">
      <formula>J8&lt;10</formula>
    </cfRule>
    <cfRule type="expression" dxfId="1292" priority="41">
      <formula>J8&gt;15</formula>
    </cfRule>
  </conditionalFormatting>
  <conditionalFormatting sqref="J8">
    <cfRule type="expression" dxfId="1291" priority="39">
      <formula>J8&lt;1</formula>
    </cfRule>
  </conditionalFormatting>
  <conditionalFormatting sqref="N8">
    <cfRule type="expression" dxfId="1290" priority="37">
      <formula>N8&lt;10</formula>
    </cfRule>
    <cfRule type="expression" dxfId="1289" priority="38">
      <formula>N8&gt;15</formula>
    </cfRule>
  </conditionalFormatting>
  <conditionalFormatting sqref="N8">
    <cfRule type="expression" dxfId="1288" priority="35">
      <formula>N8&lt;10</formula>
    </cfRule>
    <cfRule type="expression" dxfId="1287" priority="36">
      <formula>N8&gt;15</formula>
    </cfRule>
  </conditionalFormatting>
  <conditionalFormatting sqref="N8">
    <cfRule type="expression" dxfId="1286" priority="34">
      <formula>N8&lt;1</formula>
    </cfRule>
  </conditionalFormatting>
  <conditionalFormatting sqref="F29 J29">
    <cfRule type="expression" dxfId="1285" priority="32">
      <formula>F29&lt;10</formula>
    </cfRule>
    <cfRule type="expression" dxfId="1284" priority="33">
      <formula>F29&gt;15</formula>
    </cfRule>
  </conditionalFormatting>
  <conditionalFormatting sqref="N29">
    <cfRule type="expression" dxfId="1283" priority="30">
      <formula>N29&lt;10</formula>
    </cfRule>
    <cfRule type="expression" dxfId="1282" priority="31">
      <formula>N29&gt;15</formula>
    </cfRule>
  </conditionalFormatting>
  <conditionalFormatting sqref="J29">
    <cfRule type="expression" dxfId="1281" priority="28">
      <formula>J29&lt;10</formula>
    </cfRule>
    <cfRule type="expression" dxfId="1280" priority="29">
      <formula>J29&gt;15</formula>
    </cfRule>
  </conditionalFormatting>
  <conditionalFormatting sqref="N29">
    <cfRule type="expression" dxfId="1279" priority="26">
      <formula>N29&lt;10</formula>
    </cfRule>
    <cfRule type="expression" dxfId="1278" priority="27">
      <formula>N29&gt;15</formula>
    </cfRule>
  </conditionalFormatting>
  <conditionalFormatting sqref="F29">
    <cfRule type="expression" dxfId="1277" priority="24">
      <formula>F29&lt;10</formula>
    </cfRule>
    <cfRule type="expression" dxfId="1276" priority="25">
      <formula>F29&gt;15</formula>
    </cfRule>
  </conditionalFormatting>
  <conditionalFormatting sqref="F29 J29">
    <cfRule type="expression" dxfId="1275" priority="22">
      <formula>F29&lt;10</formula>
    </cfRule>
    <cfRule type="expression" dxfId="1274" priority="23">
      <formula>F29&gt;15</formula>
    </cfRule>
  </conditionalFormatting>
  <conditionalFormatting sqref="N29">
    <cfRule type="expression" dxfId="1273" priority="20">
      <formula>N29&lt;10</formula>
    </cfRule>
    <cfRule type="expression" dxfId="1272" priority="21">
      <formula>N29&gt;15</formula>
    </cfRule>
  </conditionalFormatting>
  <conditionalFormatting sqref="F29">
    <cfRule type="expression" dxfId="1271" priority="18">
      <formula>F29&lt;10</formula>
    </cfRule>
    <cfRule type="expression" dxfId="1270" priority="19">
      <formula>F29&gt;15</formula>
    </cfRule>
  </conditionalFormatting>
  <conditionalFormatting sqref="F29">
    <cfRule type="expression" dxfId="1269" priority="17">
      <formula>F29&lt;1</formula>
    </cfRule>
  </conditionalFormatting>
  <conditionalFormatting sqref="J29">
    <cfRule type="expression" dxfId="1268" priority="15">
      <formula>J29&lt;10</formula>
    </cfRule>
    <cfRule type="expression" dxfId="1267" priority="16">
      <formula>J29&gt;15</formula>
    </cfRule>
  </conditionalFormatting>
  <conditionalFormatting sqref="J29">
    <cfRule type="expression" dxfId="1266" priority="14">
      <formula>J29&lt;1</formula>
    </cfRule>
  </conditionalFormatting>
  <conditionalFormatting sqref="N29">
    <cfRule type="expression" dxfId="1265" priority="12">
      <formula>N29&lt;10</formula>
    </cfRule>
    <cfRule type="expression" dxfId="1264" priority="13">
      <formula>N29&gt;15</formula>
    </cfRule>
  </conditionalFormatting>
  <conditionalFormatting sqref="N29">
    <cfRule type="expression" dxfId="1263" priority="10">
      <formula>N29&lt;10</formula>
    </cfRule>
    <cfRule type="expression" dxfId="1262" priority="11">
      <formula>N29&gt;15</formula>
    </cfRule>
  </conditionalFormatting>
  <conditionalFormatting sqref="N29">
    <cfRule type="expression" dxfId="1261" priority="9">
      <formula>N29&lt;1</formula>
    </cfRule>
  </conditionalFormatting>
  <conditionalFormatting sqref="F40">
    <cfRule type="expression" dxfId="1260" priority="7">
      <formula>F40&lt;55</formula>
    </cfRule>
    <cfRule type="expression" dxfId="1259" priority="8">
      <formula>F40&gt;65</formula>
    </cfRule>
  </conditionalFormatting>
  <conditionalFormatting sqref="J40 N40">
    <cfRule type="expression" dxfId="1258" priority="5">
      <formula>J40&lt;55</formula>
    </cfRule>
    <cfRule type="expression" dxfId="1257" priority="6">
      <formula>J40&gt;65</formula>
    </cfRule>
  </conditionalFormatting>
  <conditionalFormatting sqref="F19">
    <cfRule type="expression" dxfId="1256" priority="3">
      <formula>F19&lt;55</formula>
    </cfRule>
    <cfRule type="expression" dxfId="1255" priority="4">
      <formula>F19&gt;65</formula>
    </cfRule>
  </conditionalFormatting>
  <conditionalFormatting sqref="J19 N19">
    <cfRule type="expression" dxfId="1254" priority="1">
      <formula>J19&lt;55</formula>
    </cfRule>
    <cfRule type="expression" dxfId="1253"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6">
    <tabColor rgb="FFFFC000"/>
  </sheetPr>
  <dimension ref="A1:R33"/>
  <sheetViews>
    <sheetView zoomScale="55" zoomScaleNormal="55" workbookViewId="0">
      <selection activeCell="P15" sqref="P15"/>
    </sheetView>
  </sheetViews>
  <sheetFormatPr defaultRowHeight="16.5"/>
  <cols>
    <col min="1" max="1" width="5.25" style="554" customWidth="1"/>
    <col min="2" max="2" width="31.25" style="574" customWidth="1"/>
    <col min="3" max="3" width="8.375" style="554" customWidth="1"/>
    <col min="4" max="4" width="12.375" style="554" customWidth="1"/>
    <col min="5" max="5" width="9.5" style="554" customWidth="1"/>
    <col min="6" max="6" width="3.375" style="554" customWidth="1"/>
    <col min="7" max="7" width="6.375" style="554" customWidth="1"/>
    <col min="8" max="8" width="3.625" style="554" customWidth="1"/>
    <col min="9" max="9" width="9" style="554" customWidth="1"/>
    <col min="10" max="10" width="3.625" style="554" customWidth="1"/>
    <col min="11" max="12" width="5.625" style="554" customWidth="1"/>
    <col min="13" max="14" width="7.75" style="554" customWidth="1"/>
    <col min="15" max="15" width="7.75" style="575" customWidth="1"/>
    <col min="16" max="16" width="7.75" style="554" customWidth="1"/>
    <col min="17" max="18" width="6.375" style="554" customWidth="1"/>
    <col min="19" max="16384" width="9" style="554"/>
  </cols>
  <sheetData>
    <row r="1" spans="1:18" ht="33.75" customHeight="1">
      <c r="A1" s="3621" t="s">
        <v>135</v>
      </c>
      <c r="B1" s="3621"/>
      <c r="C1" s="3621"/>
      <c r="D1" s="3621"/>
      <c r="E1" s="3621"/>
      <c r="F1" s="3621"/>
      <c r="G1" s="3621"/>
      <c r="H1" s="3621"/>
      <c r="I1" s="3621"/>
      <c r="J1" s="3621"/>
      <c r="K1" s="3621"/>
      <c r="L1" s="3621"/>
      <c r="M1" s="3621"/>
      <c r="N1" s="3621"/>
      <c r="O1" s="1214"/>
      <c r="P1" s="1214"/>
      <c r="Q1" s="1214"/>
      <c r="R1" s="1214"/>
    </row>
    <row r="2" spans="1:18" ht="45.75" customHeight="1">
      <c r="A2" s="3622" t="s">
        <v>696</v>
      </c>
      <c r="B2" s="3622"/>
      <c r="C2" s="3622"/>
      <c r="D2" s="3622"/>
      <c r="E2" s="3622"/>
      <c r="F2" s="3622"/>
      <c r="G2" s="3622"/>
      <c r="H2" s="3622"/>
      <c r="I2" s="3622"/>
      <c r="J2" s="3622"/>
      <c r="K2" s="3622"/>
      <c r="L2" s="3622"/>
      <c r="M2" s="3622"/>
      <c r="N2" s="3623"/>
      <c r="O2" s="3316" t="s">
        <v>641</v>
      </c>
      <c r="P2" s="3318"/>
      <c r="Q2" s="3316" t="s">
        <v>17</v>
      </c>
      <c r="R2" s="3318"/>
    </row>
    <row r="3" spans="1:18" ht="31.5" customHeight="1">
      <c r="A3" s="555"/>
      <c r="B3" s="2000" t="str">
        <f>MENU!$AC$9</f>
        <v>Thứ 4,</v>
      </c>
      <c r="C3" s="1822" t="str">
        <f>MENU!$AD$9</f>
        <v>2024/05/22</v>
      </c>
      <c r="D3" s="2001"/>
      <c r="E3" s="555"/>
      <c r="F3" s="555"/>
      <c r="G3" s="555"/>
      <c r="H3" s="556"/>
      <c r="I3" s="556"/>
      <c r="J3" s="556"/>
      <c r="K3" s="556"/>
      <c r="L3" s="556"/>
      <c r="M3" s="556"/>
      <c r="N3" s="556"/>
      <c r="O3" s="3619" t="str">
        <f>'1.xi den'!R3</f>
        <v>Mi</v>
      </c>
      <c r="P3" s="3620"/>
      <c r="Q3" s="3619" t="s">
        <v>697</v>
      </c>
      <c r="R3" s="3620"/>
    </row>
    <row r="4" spans="1:18" s="560" customFormat="1" ht="43.5" customHeight="1">
      <c r="A4" s="3604" t="s">
        <v>7</v>
      </c>
      <c r="B4" s="3598" t="s">
        <v>698</v>
      </c>
      <c r="C4" s="3598" t="s">
        <v>18</v>
      </c>
      <c r="D4" s="3605" t="s">
        <v>699</v>
      </c>
      <c r="E4" s="557" t="s">
        <v>700</v>
      </c>
      <c r="F4" s="558"/>
      <c r="G4" s="558"/>
      <c r="H4" s="558"/>
      <c r="I4" s="558"/>
      <c r="J4" s="558"/>
      <c r="K4" s="558"/>
      <c r="L4" s="559"/>
      <c r="M4" s="3505" t="s">
        <v>701</v>
      </c>
      <c r="N4" s="3506"/>
      <c r="O4" s="3506"/>
      <c r="P4" s="3507"/>
      <c r="Q4" s="3613" t="s">
        <v>647</v>
      </c>
      <c r="R4" s="3614"/>
    </row>
    <row r="5" spans="1:18" s="560" customFormat="1" ht="24" customHeight="1">
      <c r="A5" s="3604"/>
      <c r="B5" s="3598"/>
      <c r="C5" s="3598"/>
      <c r="D5" s="3605"/>
      <c r="E5" s="3508">
        <v>0.375</v>
      </c>
      <c r="F5" s="3317"/>
      <c r="G5" s="3317"/>
      <c r="H5" s="3318"/>
      <c r="I5" s="3508">
        <v>0.875</v>
      </c>
      <c r="J5" s="3317"/>
      <c r="K5" s="3317"/>
      <c r="L5" s="3318"/>
      <c r="M5" s="3508">
        <v>0.375</v>
      </c>
      <c r="N5" s="3318"/>
      <c r="O5" s="3509">
        <v>0.875</v>
      </c>
      <c r="P5" s="3507"/>
      <c r="Q5" s="3615"/>
      <c r="R5" s="3616"/>
    </row>
    <row r="6" spans="1:18" s="560" customFormat="1" ht="55.5" customHeight="1">
      <c r="A6" s="3604"/>
      <c r="B6" s="3604"/>
      <c r="C6" s="3604"/>
      <c r="D6" s="3606"/>
      <c r="E6" s="1207" t="s">
        <v>702</v>
      </c>
      <c r="F6" s="3610" t="s">
        <v>703</v>
      </c>
      <c r="G6" s="3611"/>
      <c r="H6" s="3612"/>
      <c r="I6" s="1207" t="s">
        <v>702</v>
      </c>
      <c r="J6" s="3610" t="s">
        <v>703</v>
      </c>
      <c r="K6" s="3611"/>
      <c r="L6" s="3612"/>
      <c r="M6" s="2054" t="s">
        <v>704</v>
      </c>
      <c r="N6" s="2055" t="s">
        <v>705</v>
      </c>
      <c r="O6" s="2054" t="s">
        <v>704</v>
      </c>
      <c r="P6" s="2055" t="s">
        <v>705</v>
      </c>
      <c r="Q6" s="3617"/>
      <c r="R6" s="3618"/>
    </row>
    <row r="7" spans="1:18" ht="39.75" customHeight="1">
      <c r="A7" s="1208">
        <v>1</v>
      </c>
      <c r="B7" s="1208" t="s">
        <v>706</v>
      </c>
      <c r="C7" s="1208" t="s">
        <v>4</v>
      </c>
      <c r="D7" s="563" t="s">
        <v>529</v>
      </c>
      <c r="E7" s="35">
        <f>'R.FILE GOC'!H89</f>
        <v>24.016000000000002</v>
      </c>
      <c r="F7" s="1215" t="s">
        <v>8</v>
      </c>
      <c r="G7" s="1216">
        <f>'R.FILE GOC'!K89</f>
        <v>1.6058879999999971</v>
      </c>
      <c r="H7" s="1217" t="s">
        <v>9</v>
      </c>
      <c r="I7" s="35">
        <f>'R.FILE GOC'!N89</f>
        <v>25.3</v>
      </c>
      <c r="J7" s="1215" t="s">
        <v>8</v>
      </c>
      <c r="K7" s="1216">
        <f>'R.FILE GOC'!Q89</f>
        <v>0</v>
      </c>
      <c r="L7" s="1217" t="s">
        <v>9</v>
      </c>
      <c r="M7" s="564">
        <v>24.5</v>
      </c>
      <c r="N7" s="565" t="s">
        <v>1670</v>
      </c>
      <c r="O7" s="564"/>
      <c r="P7" s="565"/>
      <c r="Q7" s="3607" t="s">
        <v>12</v>
      </c>
      <c r="R7" s="3608"/>
    </row>
    <row r="8" spans="1:18" ht="39.75" customHeight="1">
      <c r="A8" s="1208">
        <v>2</v>
      </c>
      <c r="B8" s="1208" t="s">
        <v>707</v>
      </c>
      <c r="C8" s="1208" t="s">
        <v>4</v>
      </c>
      <c r="D8" s="563" t="s">
        <v>529</v>
      </c>
      <c r="E8" s="35">
        <f>'R.FILE GOC'!H90</f>
        <v>25.596000000000004</v>
      </c>
      <c r="F8" s="1215" t="s">
        <v>8</v>
      </c>
      <c r="G8" s="1216">
        <f>'R.FILE GOC'!K90</f>
        <v>0</v>
      </c>
      <c r="H8" s="1217" t="s">
        <v>9</v>
      </c>
      <c r="I8" s="35">
        <f>'R.FILE GOC'!N90</f>
        <v>25.3</v>
      </c>
      <c r="J8" s="1215" t="s">
        <v>8</v>
      </c>
      <c r="K8" s="1216">
        <f>'R.FILE GOC'!Q90</f>
        <v>0</v>
      </c>
      <c r="L8" s="1217" t="s">
        <v>9</v>
      </c>
      <c r="M8" s="564"/>
      <c r="N8" s="565"/>
      <c r="O8" s="564"/>
      <c r="P8" s="565"/>
      <c r="Q8" s="3607" t="s">
        <v>12</v>
      </c>
      <c r="R8" s="3608"/>
    </row>
    <row r="9" spans="1:18" ht="39.75" customHeight="1">
      <c r="A9" s="1208">
        <v>3</v>
      </c>
      <c r="B9" s="1208" t="s">
        <v>708</v>
      </c>
      <c r="C9" s="1208" t="s">
        <v>55</v>
      </c>
      <c r="D9" s="563" t="s">
        <v>1409</v>
      </c>
      <c r="E9" s="35">
        <f>'R.FILE GOC'!H91</f>
        <v>248.5</v>
      </c>
      <c r="F9" s="1215" t="s">
        <v>8</v>
      </c>
      <c r="G9" s="1216">
        <f>'R.FILE GOC'!K91</f>
        <v>2.448</v>
      </c>
      <c r="H9" s="1217" t="s">
        <v>1158</v>
      </c>
      <c r="I9" s="35">
        <f>'R.FILE GOC'!N91</f>
        <v>250</v>
      </c>
      <c r="J9" s="1215" t="s">
        <v>8</v>
      </c>
      <c r="K9" s="1216">
        <f>'R.FILE GOC'!Q91</f>
        <v>0</v>
      </c>
      <c r="L9" s="1217" t="s">
        <v>1158</v>
      </c>
      <c r="M9" s="564">
        <v>250</v>
      </c>
      <c r="N9" s="565" t="s">
        <v>1670</v>
      </c>
      <c r="O9" s="564"/>
      <c r="P9" s="565"/>
      <c r="Q9" s="3607" t="s">
        <v>16</v>
      </c>
      <c r="R9" s="3608"/>
    </row>
    <row r="10" spans="1:18" ht="39.75" customHeight="1">
      <c r="A10" s="1208">
        <v>4</v>
      </c>
      <c r="B10" s="1209" t="s">
        <v>1159</v>
      </c>
      <c r="C10" s="1208" t="s">
        <v>4</v>
      </c>
      <c r="D10" s="1552" t="s">
        <v>1410</v>
      </c>
      <c r="E10" s="35">
        <f>'R.FILE GOC'!H92</f>
        <v>125</v>
      </c>
      <c r="F10" s="1215" t="s">
        <v>8</v>
      </c>
      <c r="G10" s="1216">
        <f>'R.FILE GOC'!K92</f>
        <v>8.64</v>
      </c>
      <c r="H10" s="1217" t="s">
        <v>9</v>
      </c>
      <c r="I10" s="35">
        <f>'R.FILE GOC'!N92</f>
        <v>127.3</v>
      </c>
      <c r="J10" s="1215" t="s">
        <v>8</v>
      </c>
      <c r="K10" s="1216">
        <f>'R.FILE GOC'!Q92</f>
        <v>4.6656000000000049</v>
      </c>
      <c r="L10" s="1217" t="s">
        <v>9</v>
      </c>
      <c r="M10" s="564">
        <v>126.5</v>
      </c>
      <c r="N10" s="565" t="s">
        <v>1670</v>
      </c>
      <c r="O10" s="564">
        <v>128.30000000000001</v>
      </c>
      <c r="P10" s="565" t="s">
        <v>1670</v>
      </c>
      <c r="Q10" s="3607" t="s">
        <v>709</v>
      </c>
      <c r="R10" s="3608"/>
    </row>
    <row r="11" spans="1:18" ht="39.75" customHeight="1">
      <c r="A11" s="1208">
        <v>5</v>
      </c>
      <c r="B11" s="1209" t="s">
        <v>1160</v>
      </c>
      <c r="C11" s="1208" t="s">
        <v>4</v>
      </c>
      <c r="D11" s="566" t="s">
        <v>539</v>
      </c>
      <c r="E11" s="35">
        <f>'R.FILE GOC'!H93</f>
        <v>1.1250000000000004</v>
      </c>
      <c r="F11" s="1215" t="s">
        <v>8</v>
      </c>
      <c r="G11" s="1216" t="str">
        <f>'R.FILE GOC'!K93</f>
        <v>N/A</v>
      </c>
      <c r="H11" s="1217" t="s">
        <v>9</v>
      </c>
      <c r="I11" s="35">
        <f>'R.FILE GOC'!N93</f>
        <v>1.3749999999999996</v>
      </c>
      <c r="J11" s="1215" t="s">
        <v>8</v>
      </c>
      <c r="K11" s="1216" t="str">
        <f>'R.FILE GOC'!Q93</f>
        <v>N/A</v>
      </c>
      <c r="L11" s="1217" t="s">
        <v>9</v>
      </c>
      <c r="M11" s="564"/>
      <c r="N11" s="565"/>
      <c r="O11" s="564"/>
      <c r="P11" s="565"/>
      <c r="Q11" s="3607" t="s">
        <v>710</v>
      </c>
      <c r="R11" s="3608"/>
    </row>
    <row r="12" spans="1:18" ht="39.75" customHeight="1">
      <c r="A12" s="1208">
        <v>6</v>
      </c>
      <c r="B12" s="1209" t="s">
        <v>1161</v>
      </c>
      <c r="C12" s="1208" t="s">
        <v>4</v>
      </c>
      <c r="D12" s="1552" t="s">
        <v>1410</v>
      </c>
      <c r="E12" s="35">
        <f>'R.FILE GOC'!H94</f>
        <v>126.25</v>
      </c>
      <c r="F12" s="1215" t="s">
        <v>8</v>
      </c>
      <c r="G12" s="1216">
        <f>'R.FILE GOC'!K94</f>
        <v>6.48</v>
      </c>
      <c r="H12" s="1217" t="s">
        <v>9</v>
      </c>
      <c r="I12" s="35">
        <f>'R.FILE GOC'!N94</f>
        <v>128.19999999999999</v>
      </c>
      <c r="J12" s="1215" t="s">
        <v>8</v>
      </c>
      <c r="K12" s="1216">
        <f>'R.FILE GOC'!Q94</f>
        <v>3.1104000000000198</v>
      </c>
      <c r="L12" s="1217" t="s">
        <v>9</v>
      </c>
      <c r="M12" s="564">
        <v>126</v>
      </c>
      <c r="N12" s="565" t="s">
        <v>1670</v>
      </c>
      <c r="O12" s="564">
        <v>129.30000000000001</v>
      </c>
      <c r="P12" s="565" t="s">
        <v>1670</v>
      </c>
      <c r="Q12" s="3607" t="s">
        <v>709</v>
      </c>
      <c r="R12" s="3608"/>
    </row>
    <row r="13" spans="1:18" ht="39.75" customHeight="1">
      <c r="A13" s="1208">
        <v>7</v>
      </c>
      <c r="B13" s="1209" t="s">
        <v>1162</v>
      </c>
      <c r="C13" s="1208" t="s">
        <v>4</v>
      </c>
      <c r="D13" s="566" t="s">
        <v>539</v>
      </c>
      <c r="E13" s="35">
        <f>'R.FILE GOC'!H95</f>
        <v>1.25</v>
      </c>
      <c r="F13" s="1215" t="s">
        <v>8</v>
      </c>
      <c r="G13" s="1216" t="str">
        <f>'R.FILE GOC'!K95</f>
        <v>N/A</v>
      </c>
      <c r="H13" s="1217" t="s">
        <v>9</v>
      </c>
      <c r="I13" s="35">
        <f>'R.FILE GOC'!N95</f>
        <v>1.3749999999999996</v>
      </c>
      <c r="J13" s="1215" t="s">
        <v>8</v>
      </c>
      <c r="K13" s="1216" t="str">
        <f>'R.FILE GOC'!Q95</f>
        <v>N/A</v>
      </c>
      <c r="L13" s="1217" t="s">
        <v>9</v>
      </c>
      <c r="M13" s="564"/>
      <c r="N13" s="565"/>
      <c r="O13" s="564"/>
      <c r="P13" s="565"/>
      <c r="Q13" s="3607" t="s">
        <v>710</v>
      </c>
      <c r="R13" s="3608"/>
    </row>
    <row r="14" spans="1:18" ht="39.75" customHeight="1">
      <c r="A14" s="1208">
        <v>8</v>
      </c>
      <c r="B14" s="1209" t="s">
        <v>1163</v>
      </c>
      <c r="C14" s="1208" t="s">
        <v>4</v>
      </c>
      <c r="D14" s="1552" t="s">
        <v>1410</v>
      </c>
      <c r="E14" s="35">
        <f>'R.FILE GOC'!H96</f>
        <v>123.75</v>
      </c>
      <c r="F14" s="1215" t="s">
        <v>8</v>
      </c>
      <c r="G14" s="1216">
        <f>'R.FILE GOC'!K96</f>
        <v>10.8</v>
      </c>
      <c r="H14" s="1217" t="s">
        <v>9</v>
      </c>
      <c r="I14" s="35">
        <f>'R.FILE GOC'!N96</f>
        <v>125.3</v>
      </c>
      <c r="J14" s="1215" t="s">
        <v>8</v>
      </c>
      <c r="K14" s="1216">
        <f>'R.FILE GOC'!Q96</f>
        <v>8.1216000000000044</v>
      </c>
      <c r="L14" s="1217" t="s">
        <v>9</v>
      </c>
      <c r="M14" s="564">
        <v>125.5</v>
      </c>
      <c r="N14" s="565" t="s">
        <v>1670</v>
      </c>
      <c r="O14" s="564">
        <v>126.5</v>
      </c>
      <c r="P14" s="565" t="s">
        <v>1670</v>
      </c>
      <c r="Q14" s="3607" t="s">
        <v>709</v>
      </c>
      <c r="R14" s="3608"/>
    </row>
    <row r="15" spans="1:18" ht="39.75" customHeight="1">
      <c r="A15" s="1208">
        <v>9</v>
      </c>
      <c r="B15" s="1209" t="s">
        <v>1164</v>
      </c>
      <c r="C15" s="1208" t="s">
        <v>4</v>
      </c>
      <c r="D15" s="566" t="s">
        <v>539</v>
      </c>
      <c r="E15" s="35">
        <f>'R.FILE GOC'!H97</f>
        <v>1.2</v>
      </c>
      <c r="F15" s="1215" t="s">
        <v>8</v>
      </c>
      <c r="G15" s="1216" t="str">
        <f>'R.FILE GOC'!K97</f>
        <v>N/A</v>
      </c>
      <c r="H15" s="1217" t="s">
        <v>9</v>
      </c>
      <c r="I15" s="35">
        <f>'R.FILE GOC'!N97</f>
        <v>1.3749999999999996</v>
      </c>
      <c r="J15" s="1215" t="s">
        <v>8</v>
      </c>
      <c r="K15" s="1216" t="str">
        <f>'R.FILE GOC'!Q97</f>
        <v>N/A</v>
      </c>
      <c r="L15" s="1217" t="s">
        <v>9</v>
      </c>
      <c r="M15" s="564"/>
      <c r="N15" s="565"/>
      <c r="O15" s="564"/>
      <c r="P15" s="565"/>
      <c r="Q15" s="3607" t="s">
        <v>710</v>
      </c>
      <c r="R15" s="3608"/>
    </row>
    <row r="16" spans="1:18" ht="39.75" customHeight="1">
      <c r="A16" s="3594">
        <v>10</v>
      </c>
      <c r="B16" s="3602" t="s">
        <v>711</v>
      </c>
      <c r="C16" s="1208" t="s">
        <v>4</v>
      </c>
      <c r="D16" s="563" t="s">
        <v>546</v>
      </c>
      <c r="E16" s="35">
        <f>'R.FILE GOC'!H98</f>
        <v>11.232000000000001</v>
      </c>
      <c r="F16" s="1215" t="s">
        <v>8</v>
      </c>
      <c r="G16" s="1216">
        <f>'R.FILE GOC'!K98</f>
        <v>0</v>
      </c>
      <c r="H16" s="1217" t="s">
        <v>9</v>
      </c>
      <c r="I16" s="35">
        <f>'R.FILE GOC'!N98</f>
        <v>11.023999999999999</v>
      </c>
      <c r="J16" s="1215" t="s">
        <v>8</v>
      </c>
      <c r="K16" s="1216">
        <f>'R.FILE GOC'!Q98</f>
        <v>0</v>
      </c>
      <c r="L16" s="1217" t="s">
        <v>9</v>
      </c>
      <c r="M16" s="564"/>
      <c r="N16" s="565"/>
      <c r="O16" s="564"/>
      <c r="P16" s="565"/>
      <c r="Q16" s="3607" t="s">
        <v>712</v>
      </c>
      <c r="R16" s="3608"/>
    </row>
    <row r="17" spans="1:18" ht="33" customHeight="1">
      <c r="A17" s="3595"/>
      <c r="B17" s="3603"/>
      <c r="C17" s="1208" t="s">
        <v>5</v>
      </c>
      <c r="D17" s="563" t="s">
        <v>548</v>
      </c>
      <c r="E17" s="609">
        <f>'R.FILE GOC'!H99</f>
        <v>6.6</v>
      </c>
      <c r="F17" s="1218"/>
      <c r="G17" s="1218"/>
      <c r="H17" s="1218"/>
      <c r="I17" s="609">
        <f>'R.FILE GOC'!N99</f>
        <v>6.6</v>
      </c>
      <c r="J17" s="1219"/>
      <c r="K17" s="1219"/>
      <c r="L17" s="1220"/>
      <c r="M17" s="564"/>
      <c r="N17" s="565"/>
      <c r="O17" s="564"/>
      <c r="P17" s="565"/>
      <c r="Q17" s="3609"/>
      <c r="R17" s="3608"/>
    </row>
    <row r="18" spans="1:18" ht="30" hidden="1" customHeight="1">
      <c r="A18" s="1208">
        <v>11</v>
      </c>
      <c r="B18" s="567" t="s">
        <v>713</v>
      </c>
      <c r="C18" s="1210" t="s">
        <v>5</v>
      </c>
      <c r="D18" s="48" t="s">
        <v>1412</v>
      </c>
      <c r="E18" s="1554">
        <f>'R.FILE GOC'!H100</f>
        <v>0</v>
      </c>
      <c r="F18" s="1555"/>
      <c r="G18" s="1555"/>
      <c r="H18" s="1555"/>
      <c r="I18" s="1554">
        <f>'R.FILE GOC'!N100</f>
        <v>0</v>
      </c>
      <c r="J18" s="1219"/>
      <c r="K18" s="1219"/>
      <c r="L18" s="1220"/>
      <c r="M18" s="564"/>
      <c r="N18" s="565"/>
      <c r="O18" s="568"/>
      <c r="P18" s="565"/>
      <c r="Q18" s="3586"/>
      <c r="R18" s="3587"/>
    </row>
    <row r="19" spans="1:18" ht="31.5" hidden="1" customHeight="1">
      <c r="A19" s="1208">
        <v>12</v>
      </c>
      <c r="B19" s="569" t="s">
        <v>714</v>
      </c>
      <c r="C19" s="1210" t="s">
        <v>5</v>
      </c>
      <c r="D19" s="48" t="s">
        <v>1412</v>
      </c>
      <c r="E19" s="1554">
        <f>'R.FILE GOC'!H101</f>
        <v>0</v>
      </c>
      <c r="F19" s="1555"/>
      <c r="G19" s="1555"/>
      <c r="H19" s="1555"/>
      <c r="I19" s="1554">
        <f>'R.FILE GOC'!N101</f>
        <v>0</v>
      </c>
      <c r="J19" s="1221"/>
      <c r="K19" s="1221"/>
      <c r="L19" s="1222"/>
      <c r="M19" s="564"/>
      <c r="N19" s="565"/>
      <c r="O19" s="568"/>
      <c r="P19" s="565"/>
      <c r="Q19" s="3586"/>
      <c r="R19" s="3587"/>
    </row>
    <row r="20" spans="1:18" ht="32.25" customHeight="1">
      <c r="A20" s="1208">
        <v>13</v>
      </c>
      <c r="B20" s="567" t="s">
        <v>715</v>
      </c>
      <c r="C20" s="1210" t="s">
        <v>5</v>
      </c>
      <c r="D20" s="48" t="s">
        <v>1412</v>
      </c>
      <c r="E20" s="1554">
        <f>'R.FILE GOC'!H102</f>
        <v>5.8</v>
      </c>
      <c r="F20" s="1555"/>
      <c r="G20" s="1555"/>
      <c r="H20" s="1555"/>
      <c r="I20" s="1554">
        <f>'R.FILE GOC'!N102</f>
        <v>5.7</v>
      </c>
      <c r="J20" s="1221"/>
      <c r="K20" s="1221"/>
      <c r="L20" s="1222"/>
      <c r="M20" s="564"/>
      <c r="N20" s="565"/>
      <c r="O20" s="568"/>
      <c r="P20" s="565"/>
      <c r="Q20" s="3586"/>
      <c r="R20" s="3587"/>
    </row>
    <row r="21" spans="1:18" ht="31.5" customHeight="1">
      <c r="A21" s="1208"/>
      <c r="B21" s="570" t="s">
        <v>137</v>
      </c>
      <c r="C21" s="571"/>
      <c r="D21" s="571"/>
      <c r="E21" s="571"/>
      <c r="F21" s="571"/>
      <c r="G21" s="571"/>
      <c r="H21" s="571"/>
      <c r="I21" s="571"/>
      <c r="J21" s="571"/>
      <c r="K21" s="571"/>
      <c r="L21" s="571"/>
      <c r="M21" s="571"/>
      <c r="N21" s="571"/>
      <c r="O21" s="571"/>
      <c r="P21" s="571"/>
      <c r="Q21" s="571"/>
      <c r="R21" s="572"/>
    </row>
    <row r="22" spans="1:18" ht="43.5" customHeight="1">
      <c r="A22" s="3594" t="s">
        <v>7</v>
      </c>
      <c r="B22" s="3596" t="s">
        <v>21</v>
      </c>
      <c r="C22" s="3596" t="s">
        <v>22</v>
      </c>
      <c r="D22" s="3596" t="s">
        <v>23</v>
      </c>
      <c r="E22" s="3598" t="s">
        <v>45</v>
      </c>
      <c r="F22" s="3598"/>
      <c r="G22" s="3599" t="s">
        <v>62</v>
      </c>
      <c r="H22" s="3599"/>
      <c r="I22" s="3598" t="s">
        <v>45</v>
      </c>
      <c r="J22" s="3598"/>
      <c r="K22" s="3599" t="s">
        <v>62</v>
      </c>
      <c r="L22" s="3599"/>
      <c r="M22" s="3600"/>
      <c r="N22" s="3600"/>
      <c r="O22" s="3596"/>
      <c r="P22" s="3600"/>
      <c r="Q22" s="3590"/>
      <c r="R22" s="3591"/>
    </row>
    <row r="23" spans="1:18" ht="22.5" customHeight="1">
      <c r="A23" s="3595"/>
      <c r="B23" s="3597"/>
      <c r="C23" s="3597"/>
      <c r="D23" s="3597"/>
      <c r="E23" s="3508">
        <v>0.375</v>
      </c>
      <c r="F23" s="3317"/>
      <c r="G23" s="3317"/>
      <c r="H23" s="3318"/>
      <c r="I23" s="3508">
        <v>0.875</v>
      </c>
      <c r="J23" s="3317"/>
      <c r="K23" s="3317"/>
      <c r="L23" s="3318"/>
      <c r="M23" s="3601"/>
      <c r="N23" s="3601"/>
      <c r="O23" s="3597"/>
      <c r="P23" s="3601"/>
      <c r="Q23" s="3592"/>
      <c r="R23" s="3593"/>
    </row>
    <row r="24" spans="1:18" ht="36.75" customHeight="1">
      <c r="A24" s="1208">
        <v>1</v>
      </c>
      <c r="B24" s="1208" t="s">
        <v>706</v>
      </c>
      <c r="C24" s="573" t="s">
        <v>26</v>
      </c>
      <c r="D24" s="1553" t="s">
        <v>1414</v>
      </c>
      <c r="E24" s="3198">
        <f>'R.FILE GOC'!H105</f>
        <v>61</v>
      </c>
      <c r="F24" s="3230"/>
      <c r="G24" s="3198">
        <f>'R.FILE GOC'!K105</f>
        <v>64</v>
      </c>
      <c r="H24" s="3230"/>
      <c r="I24" s="3166">
        <f>'R.FILE GOC'!N105</f>
        <v>60</v>
      </c>
      <c r="J24" s="3166"/>
      <c r="K24" s="3166">
        <f>'R.FILE GOC'!Q105</f>
        <v>63</v>
      </c>
      <c r="L24" s="3166"/>
      <c r="M24" s="1203"/>
      <c r="N24" s="1203"/>
      <c r="O24" s="3584"/>
      <c r="P24" s="3585"/>
      <c r="Q24" s="3586"/>
      <c r="R24" s="3587"/>
    </row>
    <row r="25" spans="1:18" ht="36.75" customHeight="1">
      <c r="A25" s="1208">
        <v>2</v>
      </c>
      <c r="B25" s="1208" t="s">
        <v>707</v>
      </c>
      <c r="C25" s="573" t="s">
        <v>26</v>
      </c>
      <c r="D25" s="1553" t="s">
        <v>1414</v>
      </c>
      <c r="E25" s="3198">
        <f>'R.FILE GOC'!H106</f>
        <v>55</v>
      </c>
      <c r="F25" s="3230"/>
      <c r="G25" s="3198">
        <f>'R.FILE GOC'!K106</f>
        <v>61</v>
      </c>
      <c r="H25" s="3230"/>
      <c r="I25" s="3166">
        <f>'R.FILE GOC'!N106</f>
        <v>54</v>
      </c>
      <c r="J25" s="3166"/>
      <c r="K25" s="3166">
        <f>'R.FILE GOC'!Q106</f>
        <v>60</v>
      </c>
      <c r="L25" s="3166"/>
      <c r="M25" s="1203"/>
      <c r="N25" s="1203"/>
      <c r="O25" s="3584"/>
      <c r="P25" s="3585"/>
      <c r="Q25" s="3586"/>
      <c r="R25" s="3587"/>
    </row>
    <row r="26" spans="1:18" ht="36.75" customHeight="1">
      <c r="A26" s="1208">
        <v>3</v>
      </c>
      <c r="B26" s="1209" t="s">
        <v>1165</v>
      </c>
      <c r="C26" s="573" t="s">
        <v>26</v>
      </c>
      <c r="D26" s="1553" t="s">
        <v>1415</v>
      </c>
      <c r="E26" s="3198">
        <f>'R.FILE GOC'!H107</f>
        <v>23</v>
      </c>
      <c r="F26" s="3230"/>
      <c r="G26" s="3198">
        <f>'R.FILE GOC'!K107</f>
        <v>20</v>
      </c>
      <c r="H26" s="3230"/>
      <c r="I26" s="3198">
        <f>'R.FILE GOC'!N107</f>
        <v>25</v>
      </c>
      <c r="J26" s="3230"/>
      <c r="K26" s="3166">
        <f>'R.FILE GOC'!Q107</f>
        <v>23</v>
      </c>
      <c r="L26" s="3166"/>
      <c r="M26" s="1203"/>
      <c r="N26" s="1203"/>
      <c r="O26" s="3584"/>
      <c r="P26" s="3585"/>
      <c r="Q26" s="3586"/>
      <c r="R26" s="3587"/>
    </row>
    <row r="27" spans="1:18" ht="36.75" customHeight="1">
      <c r="A27" s="1208">
        <v>4</v>
      </c>
      <c r="B27" s="1209" t="s">
        <v>1166</v>
      </c>
      <c r="C27" s="573" t="s">
        <v>26</v>
      </c>
      <c r="D27" s="1553" t="s">
        <v>1415</v>
      </c>
      <c r="E27" s="3198">
        <f>'R.FILE GOC'!H108</f>
        <v>23</v>
      </c>
      <c r="F27" s="3230"/>
      <c r="G27" s="3198">
        <f>'R.FILE GOC'!K108</f>
        <v>22</v>
      </c>
      <c r="H27" s="3230"/>
      <c r="I27" s="3198">
        <f>'R.FILE GOC'!N108</f>
        <v>23</v>
      </c>
      <c r="J27" s="3230"/>
      <c r="K27" s="3166">
        <f>'R.FILE GOC'!Q108</f>
        <v>21</v>
      </c>
      <c r="L27" s="3166"/>
      <c r="M27" s="1203"/>
      <c r="N27" s="1203"/>
      <c r="O27" s="3584"/>
      <c r="P27" s="3585"/>
      <c r="Q27" s="3586"/>
      <c r="R27" s="3587"/>
    </row>
    <row r="28" spans="1:18" ht="36.75" customHeight="1">
      <c r="A28" s="1208">
        <v>5</v>
      </c>
      <c r="B28" s="1209" t="s">
        <v>1167</v>
      </c>
      <c r="C28" s="573" t="s">
        <v>26</v>
      </c>
      <c r="D28" s="1553" t="s">
        <v>1415</v>
      </c>
      <c r="E28" s="3198">
        <f>'R.FILE GOC'!H109</f>
        <v>22</v>
      </c>
      <c r="F28" s="3230"/>
      <c r="G28" s="3198">
        <f>'R.FILE GOC'!K109</f>
        <v>19</v>
      </c>
      <c r="H28" s="3230"/>
      <c r="I28" s="3198">
        <f>'R.FILE GOC'!N109</f>
        <v>22</v>
      </c>
      <c r="J28" s="3230"/>
      <c r="K28" s="3166">
        <f>'R.FILE GOC'!Q109</f>
        <v>20</v>
      </c>
      <c r="L28" s="3166"/>
      <c r="M28" s="1203"/>
      <c r="N28" s="1203"/>
      <c r="O28" s="3584"/>
      <c r="P28" s="3585"/>
      <c r="Q28" s="3586"/>
      <c r="R28" s="3587"/>
    </row>
    <row r="29" spans="1:18" ht="36.75" customHeight="1">
      <c r="A29" s="1208">
        <v>6</v>
      </c>
      <c r="B29" s="1209" t="s">
        <v>716</v>
      </c>
      <c r="C29" s="573" t="s">
        <v>26</v>
      </c>
      <c r="D29" s="1553" t="s">
        <v>1586</v>
      </c>
      <c r="E29" s="3166">
        <v>48</v>
      </c>
      <c r="F29" s="3166"/>
      <c r="G29" s="3166">
        <v>49</v>
      </c>
      <c r="H29" s="3166"/>
      <c r="I29" s="3166">
        <v>50</v>
      </c>
      <c r="J29" s="3166"/>
      <c r="K29" s="3166">
        <v>51</v>
      </c>
      <c r="L29" s="3166"/>
      <c r="M29" s="1203"/>
      <c r="N29" s="1203"/>
      <c r="O29" s="3584"/>
      <c r="P29" s="3585"/>
      <c r="Q29" s="3586"/>
      <c r="R29" s="3587"/>
    </row>
    <row r="30" spans="1:18" ht="33.75" hidden="1" customHeight="1">
      <c r="A30" s="1208">
        <v>7</v>
      </c>
      <c r="B30" s="567" t="s">
        <v>713</v>
      </c>
      <c r="C30" s="573" t="s">
        <v>26</v>
      </c>
      <c r="D30" s="1553" t="s">
        <v>1456</v>
      </c>
      <c r="E30" s="3166">
        <f>'R.FILE GOC'!H111</f>
        <v>0</v>
      </c>
      <c r="F30" s="3166"/>
      <c r="G30" s="3166">
        <f>'R.FILE GOC'!K111</f>
        <v>0</v>
      </c>
      <c r="H30" s="3166"/>
      <c r="I30" s="3166">
        <f>'R.FILE GOC'!N111</f>
        <v>0</v>
      </c>
      <c r="J30" s="3166"/>
      <c r="K30" s="3166">
        <f>'R.FILE GOC'!Q111</f>
        <v>0</v>
      </c>
      <c r="L30" s="3166"/>
      <c r="M30" s="1203"/>
      <c r="N30" s="1203"/>
      <c r="O30" s="3588"/>
      <c r="P30" s="3589"/>
      <c r="Q30" s="3586"/>
      <c r="R30" s="3587"/>
    </row>
    <row r="31" spans="1:18" ht="35.25" hidden="1" customHeight="1">
      <c r="A31" s="1208">
        <v>8</v>
      </c>
      <c r="B31" s="569" t="s">
        <v>714</v>
      </c>
      <c r="C31" s="573" t="s">
        <v>26</v>
      </c>
      <c r="D31" s="1553" t="s">
        <v>1457</v>
      </c>
      <c r="E31" s="3166">
        <f>'R.FILE GOC'!H112</f>
        <v>0</v>
      </c>
      <c r="F31" s="3166"/>
      <c r="G31" s="3166">
        <f>'R.FILE GOC'!K112</f>
        <v>0</v>
      </c>
      <c r="H31" s="3166"/>
      <c r="I31" s="3166">
        <f>'R.FILE GOC'!N112</f>
        <v>0</v>
      </c>
      <c r="J31" s="3166"/>
      <c r="K31" s="3166">
        <f>'R.FILE GOC'!Q112</f>
        <v>0</v>
      </c>
      <c r="L31" s="3166"/>
      <c r="M31" s="1203"/>
      <c r="N31" s="1203"/>
      <c r="O31" s="3588"/>
      <c r="P31" s="3589"/>
      <c r="Q31" s="3586"/>
      <c r="R31" s="3587"/>
    </row>
    <row r="32" spans="1:18" ht="36.75" customHeight="1">
      <c r="A32" s="1208">
        <v>9</v>
      </c>
      <c r="B32" s="567" t="s">
        <v>715</v>
      </c>
      <c r="C32" s="573" t="s">
        <v>26</v>
      </c>
      <c r="D32" s="1553" t="s">
        <v>1456</v>
      </c>
      <c r="E32" s="3166">
        <f>'R.FILE GOC'!H113</f>
        <v>62</v>
      </c>
      <c r="F32" s="3166"/>
      <c r="G32" s="3166">
        <f>'R.FILE GOC'!K113</f>
        <v>61</v>
      </c>
      <c r="H32" s="3166"/>
      <c r="I32" s="3166">
        <f>'R.FILE GOC'!N113</f>
        <v>64</v>
      </c>
      <c r="J32" s="3166"/>
      <c r="K32" s="3166">
        <f>'R.FILE GOC'!Q113</f>
        <v>60</v>
      </c>
      <c r="L32" s="3166"/>
      <c r="M32" s="1203"/>
      <c r="N32" s="1203"/>
      <c r="O32" s="3588"/>
      <c r="P32" s="3589"/>
      <c r="Q32" s="3586"/>
      <c r="R32" s="3587"/>
    </row>
    <row r="33" spans="1:18" ht="36.75" customHeight="1">
      <c r="A33" s="1208">
        <v>11</v>
      </c>
      <c r="B33" s="1209" t="s">
        <v>717</v>
      </c>
      <c r="C33" s="573" t="s">
        <v>26</v>
      </c>
      <c r="D33" s="1553" t="s">
        <v>1416</v>
      </c>
      <c r="E33" s="3624" t="str">
        <f>'R.FILE GOC'!H114</f>
        <v>\</v>
      </c>
      <c r="F33" s="3625"/>
      <c r="G33" s="3198">
        <f>'R.FILE GOC'!K114</f>
        <v>109</v>
      </c>
      <c r="H33" s="3230"/>
      <c r="I33" s="3626" t="str">
        <f>'R.FILE GOC'!N114</f>
        <v>\</v>
      </c>
      <c r="J33" s="3626"/>
      <c r="K33" s="3166">
        <f>'R.FILE GOC'!Q114</f>
        <v>109</v>
      </c>
      <c r="L33" s="3166"/>
      <c r="M33" s="1203"/>
      <c r="N33" s="1203"/>
      <c r="O33" s="3588"/>
      <c r="P33" s="3589"/>
      <c r="Q33" s="3586"/>
      <c r="R33" s="3587"/>
    </row>
  </sheetData>
  <mergeCells count="109">
    <mergeCell ref="I32:J32"/>
    <mergeCell ref="K32:L32"/>
    <mergeCell ref="I33:J33"/>
    <mergeCell ref="K33:L33"/>
    <mergeCell ref="I29:J29"/>
    <mergeCell ref="K29:L29"/>
    <mergeCell ref="I30:J30"/>
    <mergeCell ref="K30:L30"/>
    <mergeCell ref="I31:J31"/>
    <mergeCell ref="K31:L31"/>
    <mergeCell ref="I26:J26"/>
    <mergeCell ref="K26:L26"/>
    <mergeCell ref="I27:J27"/>
    <mergeCell ref="K27:L27"/>
    <mergeCell ref="I28:J28"/>
    <mergeCell ref="K28:L28"/>
    <mergeCell ref="E29:F29"/>
    <mergeCell ref="E30:F30"/>
    <mergeCell ref="E31:F31"/>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Q2:R2"/>
    <mergeCell ref="O3:P3"/>
    <mergeCell ref="Q3:R3"/>
    <mergeCell ref="E5:H5"/>
    <mergeCell ref="I5:L5"/>
    <mergeCell ref="M5:N5"/>
    <mergeCell ref="O5:P5"/>
    <mergeCell ref="A1:N1"/>
    <mergeCell ref="A2:N2"/>
    <mergeCell ref="O2:P2"/>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O24:P24"/>
    <mergeCell ref="Q24:R24"/>
    <mergeCell ref="O25:P25"/>
    <mergeCell ref="Q25:R25"/>
    <mergeCell ref="Q22:R23"/>
    <mergeCell ref="I24:J24"/>
    <mergeCell ref="K24:L24"/>
    <mergeCell ref="I25:J25"/>
    <mergeCell ref="K25:L25"/>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s>
  <phoneticPr fontId="7" type="noConversion"/>
  <conditionalFormatting sqref="E7:E8 I7:I8">
    <cfRule type="expression" dxfId="1252" priority="123">
      <formula>E7&lt;20</formula>
    </cfRule>
    <cfRule type="expression" dxfId="1251" priority="124">
      <formula>E7&gt;30</formula>
    </cfRule>
  </conditionalFormatting>
  <conditionalFormatting sqref="E9 I9">
    <cfRule type="expression" dxfId="1250" priority="121">
      <formula>E9&lt;210</formula>
    </cfRule>
    <cfRule type="expression" dxfId="1249" priority="122">
      <formula>E9&gt;290</formula>
    </cfRule>
  </conditionalFormatting>
  <conditionalFormatting sqref="E10 E12 E14 I10 I12 I14">
    <cfRule type="expression" dxfId="1248" priority="119">
      <formula>E10&lt;120</formula>
    </cfRule>
    <cfRule type="expression" dxfId="1247" priority="120">
      <formula>E10&gt;150</formula>
    </cfRule>
  </conditionalFormatting>
  <conditionalFormatting sqref="E11 E13 E15 I11 I13 I15">
    <cfRule type="expression" dxfId="1246" priority="117">
      <formula>E11&lt;1</formula>
    </cfRule>
    <cfRule type="expression" dxfId="1245" priority="118">
      <formula>E11&gt;5</formula>
    </cfRule>
  </conditionalFormatting>
  <conditionalFormatting sqref="E16 I16">
    <cfRule type="expression" dxfId="1244" priority="115">
      <formula>E16&lt;8</formula>
    </cfRule>
    <cfRule type="expression" dxfId="1243" priority="116">
      <formula>E16&gt;12</formula>
    </cfRule>
  </conditionalFormatting>
  <conditionalFormatting sqref="E17">
    <cfRule type="expression" dxfId="1242" priority="113">
      <formula>E17&lt;6</formula>
    </cfRule>
    <cfRule type="expression" dxfId="1241" priority="114">
      <formula>E17&gt;8</formula>
    </cfRule>
  </conditionalFormatting>
  <conditionalFormatting sqref="E24">
    <cfRule type="expression" dxfId="1240" priority="109">
      <formula>E24&lt;45</formula>
    </cfRule>
    <cfRule type="expression" dxfId="1239" priority="110">
      <formula>E24&gt;65</formula>
    </cfRule>
  </conditionalFormatting>
  <conditionalFormatting sqref="E25">
    <cfRule type="expression" dxfId="1238" priority="107">
      <formula>E25&lt;45</formula>
    </cfRule>
    <cfRule type="expression" dxfId="1237" priority="108">
      <formula>E25&gt;65</formula>
    </cfRule>
  </conditionalFormatting>
  <conditionalFormatting sqref="G33">
    <cfRule type="expression" dxfId="1236" priority="101">
      <formula>G33&lt;100</formula>
    </cfRule>
    <cfRule type="expression" dxfId="1235" priority="102">
      <formula>G33&gt;110</formula>
    </cfRule>
  </conditionalFormatting>
  <conditionalFormatting sqref="G24">
    <cfRule type="expression" dxfId="1234" priority="99">
      <formula>G24&lt;45</formula>
    </cfRule>
    <cfRule type="expression" dxfId="1233" priority="100">
      <formula>G24&gt;65</formula>
    </cfRule>
  </conditionalFormatting>
  <conditionalFormatting sqref="G25">
    <cfRule type="expression" dxfId="1232" priority="97">
      <formula>G25&lt;45</formula>
    </cfRule>
    <cfRule type="expression" dxfId="1231" priority="98">
      <formula>G25&gt;65</formula>
    </cfRule>
  </conditionalFormatting>
  <conditionalFormatting sqref="I17">
    <cfRule type="expression" dxfId="1230" priority="91">
      <formula>I17&lt;6</formula>
    </cfRule>
    <cfRule type="expression" dxfId="1229" priority="92">
      <formula>I17&gt;8</formula>
    </cfRule>
  </conditionalFormatting>
  <conditionalFormatting sqref="I24">
    <cfRule type="expression" dxfId="1228" priority="87">
      <formula>I24&lt;45</formula>
    </cfRule>
    <cfRule type="expression" dxfId="1227" priority="88">
      <formula>I24&gt;65</formula>
    </cfRule>
  </conditionalFormatting>
  <conditionalFormatting sqref="I25">
    <cfRule type="expression" dxfId="1226" priority="85">
      <formula>I25&lt;45</formula>
    </cfRule>
    <cfRule type="expression" dxfId="1225" priority="86">
      <formula>I25&gt;65</formula>
    </cfRule>
  </conditionalFormatting>
  <conditionalFormatting sqref="K33">
    <cfRule type="expression" dxfId="1224" priority="79">
      <formula>K33&lt;100</formula>
    </cfRule>
    <cfRule type="expression" dxfId="1223" priority="80">
      <formula>K33&gt;110</formula>
    </cfRule>
  </conditionalFormatting>
  <conditionalFormatting sqref="K24">
    <cfRule type="expression" dxfId="1222" priority="77">
      <formula>K24&lt;45</formula>
    </cfRule>
    <cfRule type="expression" dxfId="1221" priority="78">
      <formula>K24&gt;65</formula>
    </cfRule>
  </conditionalFormatting>
  <conditionalFormatting sqref="K25">
    <cfRule type="expression" dxfId="1220" priority="75">
      <formula>K25&lt;45</formula>
    </cfRule>
    <cfRule type="expression" dxfId="1219" priority="76">
      <formula>K25&gt;65</formula>
    </cfRule>
  </conditionalFormatting>
  <conditionalFormatting sqref="E26">
    <cfRule type="expression" dxfId="1218" priority="69">
      <formula>E26&lt;18</formula>
    </cfRule>
    <cfRule type="expression" dxfId="1217" priority="70">
      <formula>E26&gt;25</formula>
    </cfRule>
  </conditionalFormatting>
  <conditionalFormatting sqref="E27:E28">
    <cfRule type="expression" dxfId="1216" priority="67">
      <formula>E27&lt;18</formula>
    </cfRule>
    <cfRule type="expression" dxfId="1215" priority="68">
      <formula>E27&gt;25</formula>
    </cfRule>
  </conditionalFormatting>
  <conditionalFormatting sqref="G26:G28 I26:I28 K26:K28">
    <cfRule type="expression" dxfId="1214" priority="65">
      <formula>G26&lt;18</formula>
    </cfRule>
    <cfRule type="expression" dxfId="1213" priority="66">
      <formula>G26&gt;25</formula>
    </cfRule>
  </conditionalFormatting>
  <conditionalFormatting sqref="E18">
    <cfRule type="expression" dxfId="1212" priority="55">
      <formula>E18&lt;5.5</formula>
    </cfRule>
    <cfRule type="expression" dxfId="1211" priority="56">
      <formula>E18&gt;6</formula>
    </cfRule>
  </conditionalFormatting>
  <conditionalFormatting sqref="E19:E20">
    <cfRule type="expression" dxfId="1210" priority="53">
      <formula>E19&lt;5.5</formula>
    </cfRule>
    <cfRule type="expression" dxfId="1209" priority="54">
      <formula>E19&gt;6</formula>
    </cfRule>
  </conditionalFormatting>
  <conditionalFormatting sqref="I18">
    <cfRule type="expression" dxfId="1208" priority="51">
      <formula>I18&lt;5.5</formula>
    </cfRule>
    <cfRule type="expression" dxfId="1207" priority="52">
      <formula>I18&gt;6</formula>
    </cfRule>
  </conditionalFormatting>
  <conditionalFormatting sqref="I19:I20">
    <cfRule type="expression" dxfId="1206" priority="49">
      <formula>I19&lt;5.5</formula>
    </cfRule>
    <cfRule type="expression" dxfId="1205" priority="50">
      <formula>I19&gt;6</formula>
    </cfRule>
  </conditionalFormatting>
  <conditionalFormatting sqref="E30">
    <cfRule type="expression" dxfId="1204" priority="45">
      <formula>E30&lt;55</formula>
    </cfRule>
    <cfRule type="expression" dxfId="1203" priority="46">
      <formula>E30&gt;65</formula>
    </cfRule>
  </conditionalFormatting>
  <conditionalFormatting sqref="E32">
    <cfRule type="expression" dxfId="1202" priority="43">
      <formula>E32&lt;55</formula>
    </cfRule>
    <cfRule type="expression" dxfId="1201" priority="44">
      <formula>E32&gt;65</formula>
    </cfRule>
  </conditionalFormatting>
  <conditionalFormatting sqref="E31">
    <cfRule type="expression" dxfId="1200" priority="41">
      <formula>E31&lt;42</formula>
    </cfRule>
    <cfRule type="expression" dxfId="1199" priority="42">
      <formula>E31&gt;47</formula>
    </cfRule>
  </conditionalFormatting>
  <conditionalFormatting sqref="G30">
    <cfRule type="expression" dxfId="1198" priority="37">
      <formula>G30&lt;55</formula>
    </cfRule>
    <cfRule type="expression" dxfId="1197" priority="38">
      <formula>G30&gt;65</formula>
    </cfRule>
  </conditionalFormatting>
  <conditionalFormatting sqref="G32">
    <cfRule type="expression" dxfId="1196" priority="35">
      <formula>G32&lt;55</formula>
    </cfRule>
    <cfRule type="expression" dxfId="1195" priority="36">
      <formula>G32&gt;65</formula>
    </cfRule>
  </conditionalFormatting>
  <conditionalFormatting sqref="G31">
    <cfRule type="expression" dxfId="1194" priority="33">
      <formula>G31&lt;42</formula>
    </cfRule>
    <cfRule type="expression" dxfId="1193" priority="34">
      <formula>G31&gt;47</formula>
    </cfRule>
  </conditionalFormatting>
  <conditionalFormatting sqref="I30">
    <cfRule type="expression" dxfId="1192" priority="29">
      <formula>I30&lt;55</formula>
    </cfRule>
    <cfRule type="expression" dxfId="1191" priority="30">
      <formula>I30&gt;65</formula>
    </cfRule>
  </conditionalFormatting>
  <conditionalFormatting sqref="I32">
    <cfRule type="expression" dxfId="1190" priority="27">
      <formula>I32&lt;55</formula>
    </cfRule>
    <cfRule type="expression" dxfId="1189" priority="28">
      <formula>I32&gt;65</formula>
    </cfRule>
  </conditionalFormatting>
  <conditionalFormatting sqref="I31">
    <cfRule type="expression" dxfId="1188" priority="25">
      <formula>I31&lt;42</formula>
    </cfRule>
    <cfRule type="expression" dxfId="1187" priority="26">
      <formula>I31&gt;47</formula>
    </cfRule>
  </conditionalFormatting>
  <conditionalFormatting sqref="K30">
    <cfRule type="expression" dxfId="1186" priority="21">
      <formula>K30&lt;55</formula>
    </cfRule>
    <cfRule type="expression" dxfId="1185" priority="22">
      <formula>K30&gt;65</formula>
    </cfRule>
  </conditionalFormatting>
  <conditionalFormatting sqref="K32">
    <cfRule type="expression" dxfId="1184" priority="19">
      <formula>K32&lt;55</formula>
    </cfRule>
    <cfRule type="expression" dxfId="1183" priority="20">
      <formula>K32&gt;65</formula>
    </cfRule>
  </conditionalFormatting>
  <conditionalFormatting sqref="K31">
    <cfRule type="expression" dxfId="1182" priority="17">
      <formula>K31&lt;42</formula>
    </cfRule>
    <cfRule type="expression" dxfId="1181" priority="18">
      <formula>K31&gt;47</formula>
    </cfRule>
  </conditionalFormatting>
  <conditionalFormatting sqref="E29">
    <cfRule type="expression" dxfId="1180" priority="7">
      <formula>E29&lt;45</formula>
    </cfRule>
    <cfRule type="expression" dxfId="1179" priority="8">
      <formula>E29&gt;60</formula>
    </cfRule>
  </conditionalFormatting>
  <conditionalFormatting sqref="G29">
    <cfRule type="expression" dxfId="1178" priority="5">
      <formula>G29&lt;45</formula>
    </cfRule>
    <cfRule type="expression" dxfId="1177" priority="6">
      <formula>G29&gt;60</formula>
    </cfRule>
  </conditionalFormatting>
  <conditionalFormatting sqref="I29">
    <cfRule type="expression" dxfId="1176" priority="3">
      <formula>I29&lt;45</formula>
    </cfRule>
    <cfRule type="expression" dxfId="1175" priority="4">
      <formula>I29&gt;60</formula>
    </cfRule>
  </conditionalFormatting>
  <conditionalFormatting sqref="K29">
    <cfRule type="expression" dxfId="1174" priority="1">
      <formula>K29&lt;45</formula>
    </cfRule>
    <cfRule type="expression" dxfId="1173" priority="2">
      <formula>K29&gt;60</formula>
    </cfRule>
  </conditionalFormatting>
  <pageMargins left="0.39"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27">
    <tabColor rgb="FFFF0000"/>
  </sheetPr>
  <dimension ref="A1:AG34"/>
  <sheetViews>
    <sheetView zoomScale="55" zoomScaleNormal="55" workbookViewId="0">
      <selection activeCell="B3" sqref="B3:K31"/>
    </sheetView>
  </sheetViews>
  <sheetFormatPr defaultRowHeight="15"/>
  <cols>
    <col min="1" max="1" width="6.625" style="245" customWidth="1"/>
    <col min="2" max="2" width="8.875" style="599" customWidth="1"/>
    <col min="3" max="3" width="6.125" style="599" customWidth="1"/>
    <col min="4" max="4" width="2.875" style="599" customWidth="1"/>
    <col min="5" max="5" width="11.25" style="599" customWidth="1"/>
    <col min="6" max="6" width="9.25" style="245" customWidth="1"/>
    <col min="7" max="7" width="17" style="600" customWidth="1"/>
    <col min="8" max="8" width="12.875" style="245" customWidth="1"/>
    <col min="9" max="9" width="3.75" style="245" customWidth="1"/>
    <col min="10" max="10" width="7.875" style="245" customWidth="1"/>
    <col min="11" max="11" width="3.75" style="245" customWidth="1"/>
    <col min="12" max="12" width="12.875" style="245" customWidth="1"/>
    <col min="13" max="13" width="5" style="245" customWidth="1"/>
    <col min="14" max="14" width="8.5" style="245" customWidth="1"/>
    <col min="15" max="15" width="4.875" style="245" customWidth="1"/>
    <col min="16" max="16" width="15.625" style="245" customWidth="1"/>
    <col min="17" max="17" width="4.125" style="245" customWidth="1"/>
    <col min="18" max="18" width="7.25" style="245" hidden="1" customWidth="1"/>
    <col min="19" max="19" width="0" style="245" hidden="1" customWidth="1"/>
    <col min="20" max="20" width="3.75" style="245" hidden="1" customWidth="1"/>
    <col min="21" max="21" width="2.875" style="245" hidden="1" customWidth="1"/>
    <col min="22" max="22" width="10.25" style="245" hidden="1" customWidth="1"/>
    <col min="23" max="23" width="0" style="245" hidden="1" customWidth="1"/>
    <col min="24" max="24" width="16.25" style="245" hidden="1" customWidth="1"/>
    <col min="25" max="25" width="15.25" style="245" hidden="1" customWidth="1"/>
    <col min="26" max="26" width="4.625" style="245" hidden="1" customWidth="1"/>
    <col min="27" max="27" width="8.125" style="245" hidden="1" customWidth="1"/>
    <col min="28" max="28" width="4.75" style="245" hidden="1" customWidth="1"/>
    <col min="29" max="29" width="14.25" style="245" hidden="1" customWidth="1"/>
    <col min="30" max="30" width="4.125" style="245" hidden="1" customWidth="1"/>
    <col min="31" max="31" width="7.5" style="245" hidden="1" customWidth="1"/>
    <col min="32" max="32" width="4.5" style="245" hidden="1" customWidth="1"/>
    <col min="33" max="33" width="13.875" style="245" hidden="1" customWidth="1"/>
    <col min="34" max="16384" width="9" style="245"/>
  </cols>
  <sheetData>
    <row r="1" spans="1:33" ht="36" customHeight="1">
      <c r="A1" s="3649" t="s">
        <v>567</v>
      </c>
      <c r="B1" s="3649"/>
      <c r="C1" s="3649"/>
      <c r="D1" s="3649"/>
      <c r="E1" s="3649"/>
      <c r="F1" s="3649"/>
      <c r="G1" s="3649"/>
      <c r="H1" s="3649"/>
      <c r="I1" s="3649"/>
      <c r="J1" s="3649"/>
      <c r="K1" s="576"/>
      <c r="L1" s="577"/>
      <c r="M1" s="577"/>
      <c r="N1" s="576"/>
      <c r="O1" s="576"/>
      <c r="P1" s="576"/>
      <c r="R1" s="3649" t="s">
        <v>567</v>
      </c>
      <c r="S1" s="3649"/>
      <c r="T1" s="3649"/>
      <c r="U1" s="3649"/>
      <c r="V1" s="3649"/>
      <c r="W1" s="3649"/>
      <c r="X1" s="3649"/>
      <c r="Y1" s="3649"/>
      <c r="Z1" s="3649"/>
      <c r="AA1" s="3649"/>
      <c r="AB1" s="576"/>
      <c r="AC1" s="2364"/>
      <c r="AD1" s="2364"/>
      <c r="AE1" s="576"/>
      <c r="AF1" s="576"/>
      <c r="AG1" s="576"/>
    </row>
    <row r="2" spans="1:33" ht="56.25" customHeight="1">
      <c r="A2" s="3650" t="s">
        <v>718</v>
      </c>
      <c r="B2" s="3650"/>
      <c r="C2" s="3650"/>
      <c r="D2" s="3650"/>
      <c r="E2" s="3650"/>
      <c r="F2" s="3650"/>
      <c r="G2" s="3650"/>
      <c r="H2" s="3650"/>
      <c r="I2" s="3650"/>
      <c r="J2" s="3650"/>
      <c r="K2" s="3650"/>
      <c r="L2" s="3650"/>
      <c r="M2" s="3651"/>
      <c r="N2" s="3652" t="s">
        <v>88</v>
      </c>
      <c r="O2" s="3066"/>
      <c r="P2" s="578" t="s">
        <v>89</v>
      </c>
      <c r="R2" s="3650" t="s">
        <v>718</v>
      </c>
      <c r="S2" s="3650"/>
      <c r="T2" s="3650"/>
      <c r="U2" s="3650"/>
      <c r="V2" s="3650"/>
      <c r="W2" s="3650"/>
      <c r="X2" s="3650"/>
      <c r="Y2" s="3650"/>
      <c r="Z2" s="3650"/>
      <c r="AA2" s="3650"/>
      <c r="AB2" s="3650"/>
      <c r="AC2" s="3650"/>
      <c r="AD2" s="3651"/>
      <c r="AE2" s="3652" t="s">
        <v>88</v>
      </c>
      <c r="AF2" s="3066"/>
      <c r="AG2" s="2355" t="s">
        <v>89</v>
      </c>
    </row>
    <row r="3" spans="1:33" ht="38.25" customHeight="1">
      <c r="A3" s="579"/>
      <c r="B3" s="580"/>
      <c r="C3" s="581"/>
      <c r="D3" s="581"/>
      <c r="E3" s="2403"/>
      <c r="F3" s="1999" t="str">
        <f>MENU!$AC$9</f>
        <v>Thứ 4,</v>
      </c>
      <c r="G3" s="1822" t="str">
        <f>MENU!$AD$9</f>
        <v>2024/05/22</v>
      </c>
      <c r="H3" s="583"/>
      <c r="I3" s="583"/>
      <c r="J3" s="583"/>
      <c r="K3" s="583"/>
      <c r="L3" s="583"/>
      <c r="M3" s="583"/>
      <c r="N3" s="3665" t="str">
        <f>'1.xi den'!$R$3</f>
        <v>Mi</v>
      </c>
      <c r="O3" s="3666"/>
      <c r="P3" s="584" t="s">
        <v>11</v>
      </c>
      <c r="R3" s="579"/>
      <c r="S3" s="580"/>
      <c r="T3" s="581"/>
      <c r="U3" s="2403"/>
      <c r="V3" s="2403" t="s">
        <v>1588</v>
      </c>
      <c r="W3" s="1999" t="str">
        <f>MENU!$AC$9</f>
        <v>Thứ 4,</v>
      </c>
      <c r="X3" s="1822" t="str">
        <f>MENU!$AD$9</f>
        <v>2024/05/22</v>
      </c>
      <c r="Y3" s="583"/>
      <c r="Z3" s="583"/>
      <c r="AA3" s="583"/>
      <c r="AB3" s="583"/>
      <c r="AC3" s="583"/>
      <c r="AD3" s="583"/>
      <c r="AE3" s="3484" t="str">
        <f>MENU!$AE$7</f>
        <v>L.Yen</v>
      </c>
      <c r="AF3" s="3485"/>
      <c r="AG3" s="584" t="s">
        <v>11</v>
      </c>
    </row>
    <row r="4" spans="1:33" s="585" customFormat="1" ht="43.5" customHeight="1">
      <c r="A4" s="3653" t="s">
        <v>7</v>
      </c>
      <c r="B4" s="3654" t="s">
        <v>76</v>
      </c>
      <c r="C4" s="3655"/>
      <c r="D4" s="3655"/>
      <c r="E4" s="3656"/>
      <c r="F4" s="3642" t="s">
        <v>93</v>
      </c>
      <c r="G4" s="3663" t="s">
        <v>64</v>
      </c>
      <c r="H4" s="2406" t="s">
        <v>719</v>
      </c>
      <c r="I4" s="2407"/>
      <c r="J4" s="2407"/>
      <c r="K4" s="2407"/>
      <c r="L4" s="2407"/>
      <c r="M4" s="2407"/>
      <c r="N4" s="2407"/>
      <c r="O4" s="2408"/>
      <c r="P4" s="3638" t="s">
        <v>90</v>
      </c>
      <c r="R4" s="3653" t="s">
        <v>7</v>
      </c>
      <c r="S4" s="3654" t="s">
        <v>76</v>
      </c>
      <c r="T4" s="3655"/>
      <c r="U4" s="3655"/>
      <c r="V4" s="3656"/>
      <c r="W4" s="3642" t="s">
        <v>93</v>
      </c>
      <c r="X4" s="3663" t="s">
        <v>64</v>
      </c>
      <c r="Y4" s="2406" t="s">
        <v>719</v>
      </c>
      <c r="Z4" s="2407"/>
      <c r="AA4" s="2407"/>
      <c r="AB4" s="2407"/>
      <c r="AC4" s="2407"/>
      <c r="AD4" s="2407"/>
      <c r="AE4" s="2407"/>
      <c r="AF4" s="2408"/>
      <c r="AG4" s="3638" t="s">
        <v>90</v>
      </c>
    </row>
    <row r="5" spans="1:33" s="585" customFormat="1" ht="43.5" customHeight="1">
      <c r="A5" s="3653"/>
      <c r="B5" s="3657"/>
      <c r="C5" s="3658"/>
      <c r="D5" s="3658"/>
      <c r="E5" s="3659"/>
      <c r="F5" s="3642"/>
      <c r="G5" s="3663"/>
      <c r="H5" s="3641">
        <v>0.375</v>
      </c>
      <c r="I5" s="3642"/>
      <c r="J5" s="3642"/>
      <c r="K5" s="3642"/>
      <c r="L5" s="3641">
        <v>0.875</v>
      </c>
      <c r="M5" s="3642"/>
      <c r="N5" s="3642"/>
      <c r="O5" s="3642"/>
      <c r="P5" s="3639"/>
      <c r="R5" s="3653"/>
      <c r="S5" s="3657"/>
      <c r="T5" s="3658"/>
      <c r="U5" s="3658"/>
      <c r="V5" s="3659"/>
      <c r="W5" s="3642"/>
      <c r="X5" s="3663"/>
      <c r="Y5" s="3641">
        <v>0.875</v>
      </c>
      <c r="Z5" s="3642"/>
      <c r="AA5" s="3642"/>
      <c r="AB5" s="3642"/>
      <c r="AC5" s="3667">
        <v>0.125</v>
      </c>
      <c r="AD5" s="3668"/>
      <c r="AE5" s="3668"/>
      <c r="AF5" s="3669"/>
      <c r="AG5" s="3639"/>
    </row>
    <row r="6" spans="1:33" s="585" customFormat="1" ht="43.5" customHeight="1">
      <c r="A6" s="3653"/>
      <c r="B6" s="3660"/>
      <c r="C6" s="3661"/>
      <c r="D6" s="3661"/>
      <c r="E6" s="3662"/>
      <c r="F6" s="3653"/>
      <c r="G6" s="3664"/>
      <c r="H6" s="586" t="s">
        <v>570</v>
      </c>
      <c r="I6" s="3642" t="s">
        <v>1</v>
      </c>
      <c r="J6" s="3642"/>
      <c r="K6" s="3642"/>
      <c r="L6" s="586" t="s">
        <v>570</v>
      </c>
      <c r="M6" s="3643" t="s">
        <v>1</v>
      </c>
      <c r="N6" s="3644"/>
      <c r="O6" s="3645"/>
      <c r="P6" s="3640"/>
      <c r="R6" s="3653"/>
      <c r="S6" s="3660"/>
      <c r="T6" s="3661"/>
      <c r="U6" s="3661"/>
      <c r="V6" s="3662"/>
      <c r="W6" s="3653"/>
      <c r="X6" s="3664"/>
      <c r="Y6" s="586" t="s">
        <v>570</v>
      </c>
      <c r="Z6" s="3642" t="s">
        <v>1</v>
      </c>
      <c r="AA6" s="3642"/>
      <c r="AB6" s="3642"/>
      <c r="AC6" s="586" t="s">
        <v>570</v>
      </c>
      <c r="AD6" s="3643" t="s">
        <v>1</v>
      </c>
      <c r="AE6" s="3644"/>
      <c r="AF6" s="3645"/>
      <c r="AG6" s="3640"/>
    </row>
    <row r="7" spans="1:33" ht="43.5" customHeight="1">
      <c r="A7" s="2356">
        <v>1</v>
      </c>
      <c r="B7" s="3251" t="s">
        <v>856</v>
      </c>
      <c r="C7" s="3252"/>
      <c r="D7" s="3252" t="s">
        <v>100</v>
      </c>
      <c r="E7" s="3253"/>
      <c r="F7" s="45" t="s">
        <v>4</v>
      </c>
      <c r="G7" s="102" t="s">
        <v>475</v>
      </c>
      <c r="H7" s="301">
        <f>'R.GUI MAIL'!H57</f>
        <v>15.4</v>
      </c>
      <c r="I7" s="59" t="s">
        <v>8</v>
      </c>
      <c r="J7" s="587">
        <f>'R.GUI MAIL'!K57</f>
        <v>0</v>
      </c>
      <c r="K7" s="588" t="s">
        <v>9</v>
      </c>
      <c r="L7" s="301">
        <f>'R.GUI MAIL'!N57</f>
        <v>0</v>
      </c>
      <c r="M7" s="59" t="s">
        <v>8</v>
      </c>
      <c r="N7" s="587">
        <f>'R.GUI MAIL'!Q57</f>
        <v>0</v>
      </c>
      <c r="O7" s="588" t="s">
        <v>9</v>
      </c>
      <c r="P7" s="589"/>
      <c r="R7" s="2356">
        <v>1</v>
      </c>
      <c r="S7" s="3251" t="s">
        <v>856</v>
      </c>
      <c r="T7" s="3252"/>
      <c r="U7" s="3252" t="s">
        <v>100</v>
      </c>
      <c r="V7" s="3253"/>
      <c r="W7" s="2358" t="s">
        <v>4</v>
      </c>
      <c r="X7" s="102" t="s">
        <v>475</v>
      </c>
      <c r="Y7" s="301">
        <f>'R.GUI MAIL'!T57</f>
        <v>0</v>
      </c>
      <c r="Z7" s="59" t="s">
        <v>8</v>
      </c>
      <c r="AA7" s="587">
        <f>'R.GUI MAIL'!W57</f>
        <v>0</v>
      </c>
      <c r="AB7" s="588" t="s">
        <v>9</v>
      </c>
      <c r="AC7" s="301">
        <f>'R.GUI MAIL'!Z57</f>
        <v>0</v>
      </c>
      <c r="AD7" s="59" t="s">
        <v>8</v>
      </c>
      <c r="AE7" s="587">
        <f>'R.GUI MAIL'!AC57</f>
        <v>0</v>
      </c>
      <c r="AF7" s="588" t="s">
        <v>9</v>
      </c>
      <c r="AG7" s="589"/>
    </row>
    <row r="8" spans="1:33" ht="43.5" customHeight="1">
      <c r="A8" s="2356">
        <v>2</v>
      </c>
      <c r="B8" s="3251" t="s">
        <v>857</v>
      </c>
      <c r="C8" s="3252" t="s">
        <v>478</v>
      </c>
      <c r="D8" s="3252" t="s">
        <v>478</v>
      </c>
      <c r="E8" s="3253" t="s">
        <v>478</v>
      </c>
      <c r="F8" s="45" t="s">
        <v>4</v>
      </c>
      <c r="G8" s="1837" t="s">
        <v>1513</v>
      </c>
      <c r="H8" s="1404">
        <f>'R.GUI MAIL'!H58</f>
        <v>46.079000000000001</v>
      </c>
      <c r="I8" s="59" t="s">
        <v>8</v>
      </c>
      <c r="J8" s="587">
        <f>'R.GUI MAIL'!K58</f>
        <v>28.287662399999995</v>
      </c>
      <c r="K8" s="588" t="s">
        <v>9</v>
      </c>
      <c r="L8" s="1404">
        <f>'R.GUI MAIL'!N58</f>
        <v>0</v>
      </c>
      <c r="M8" s="59" t="s">
        <v>8</v>
      </c>
      <c r="N8" s="587">
        <f>'R.GUI MAIL'!Q58</f>
        <v>0</v>
      </c>
      <c r="O8" s="588" t="s">
        <v>9</v>
      </c>
      <c r="P8" s="406"/>
      <c r="R8" s="2356">
        <v>2</v>
      </c>
      <c r="S8" s="3251" t="s">
        <v>857</v>
      </c>
      <c r="T8" s="3252" t="s">
        <v>478</v>
      </c>
      <c r="U8" s="3252" t="s">
        <v>478</v>
      </c>
      <c r="V8" s="3253" t="s">
        <v>478</v>
      </c>
      <c r="W8" s="2358" t="s">
        <v>4</v>
      </c>
      <c r="X8" s="1837" t="s">
        <v>1513</v>
      </c>
      <c r="Y8" s="1404">
        <f>'R.GUI MAIL'!T58</f>
        <v>0</v>
      </c>
      <c r="Z8" s="59" t="s">
        <v>8</v>
      </c>
      <c r="AA8" s="587">
        <f>'R.GUI MAIL'!W58</f>
        <v>0</v>
      </c>
      <c r="AB8" s="588" t="s">
        <v>9</v>
      </c>
      <c r="AC8" s="1404">
        <f>'R.GUI MAIL'!Z58</f>
        <v>0</v>
      </c>
      <c r="AD8" s="59" t="s">
        <v>8</v>
      </c>
      <c r="AE8" s="587">
        <f>'R.GUI MAIL'!AC58</f>
        <v>0</v>
      </c>
      <c r="AF8" s="588" t="s">
        <v>9</v>
      </c>
      <c r="AG8" s="406"/>
    </row>
    <row r="9" spans="1:33" ht="43.5" customHeight="1">
      <c r="A9" s="2356">
        <v>3</v>
      </c>
      <c r="B9" s="3251" t="s">
        <v>858</v>
      </c>
      <c r="C9" s="3252" t="s">
        <v>574</v>
      </c>
      <c r="D9" s="3252" t="s">
        <v>574</v>
      </c>
      <c r="E9" s="3253" t="s">
        <v>574</v>
      </c>
      <c r="F9" s="45" t="s">
        <v>4</v>
      </c>
      <c r="G9" s="1837" t="s">
        <v>1513</v>
      </c>
      <c r="H9" s="1404">
        <f>'R.GUI MAIL'!H59</f>
        <v>53.867000000000004</v>
      </c>
      <c r="I9" s="59" t="s">
        <v>8</v>
      </c>
      <c r="J9" s="587">
        <f>'R.GUI MAIL'!K59</f>
        <v>0</v>
      </c>
      <c r="K9" s="588" t="s">
        <v>10</v>
      </c>
      <c r="L9" s="1404">
        <f>'R.GUI MAIL'!N59</f>
        <v>0</v>
      </c>
      <c r="M9" s="59" t="s">
        <v>8</v>
      </c>
      <c r="N9" s="587">
        <f>'R.GUI MAIL'!Q59</f>
        <v>0</v>
      </c>
      <c r="O9" s="588" t="s">
        <v>10</v>
      </c>
      <c r="P9" s="406"/>
      <c r="R9" s="2356">
        <v>3</v>
      </c>
      <c r="S9" s="3251" t="s">
        <v>858</v>
      </c>
      <c r="T9" s="3252" t="s">
        <v>574</v>
      </c>
      <c r="U9" s="3252" t="s">
        <v>574</v>
      </c>
      <c r="V9" s="3253" t="s">
        <v>574</v>
      </c>
      <c r="W9" s="2358" t="s">
        <v>4</v>
      </c>
      <c r="X9" s="1837" t="s">
        <v>1513</v>
      </c>
      <c r="Y9" s="1404">
        <f>'R.GUI MAIL'!T59</f>
        <v>0</v>
      </c>
      <c r="Z9" s="59" t="s">
        <v>8</v>
      </c>
      <c r="AA9" s="587">
        <f>'R.GUI MAIL'!W59</f>
        <v>0</v>
      </c>
      <c r="AB9" s="588" t="s">
        <v>10</v>
      </c>
      <c r="AC9" s="1404">
        <f>'R.GUI MAIL'!Z59</f>
        <v>0</v>
      </c>
      <c r="AD9" s="59" t="s">
        <v>8</v>
      </c>
      <c r="AE9" s="587">
        <f>'R.GUI MAIL'!AC59</f>
        <v>0</v>
      </c>
      <c r="AF9" s="588" t="s">
        <v>10</v>
      </c>
      <c r="AG9" s="406"/>
    </row>
    <row r="10" spans="1:33" ht="43.5" hidden="1" customHeight="1">
      <c r="A10" s="2356">
        <v>4</v>
      </c>
      <c r="B10" s="3095" t="s">
        <v>575</v>
      </c>
      <c r="C10" s="3120" t="s">
        <v>576</v>
      </c>
      <c r="D10" s="3120" t="s">
        <v>576</v>
      </c>
      <c r="E10" s="3096" t="s">
        <v>576</v>
      </c>
      <c r="F10" s="43" t="s">
        <v>431</v>
      </c>
      <c r="G10" s="48" t="s">
        <v>975</v>
      </c>
      <c r="H10" s="301">
        <f>'R.GUI MAIL'!H60</f>
        <v>0</v>
      </c>
      <c r="I10" s="59" t="s">
        <v>8</v>
      </c>
      <c r="J10" s="587">
        <f>'R.GUI MAIL'!K60</f>
        <v>124.63199999999999</v>
      </c>
      <c r="K10" s="588" t="s">
        <v>9</v>
      </c>
      <c r="L10" s="301">
        <f>'R.GUI MAIL'!N60</f>
        <v>0</v>
      </c>
      <c r="M10" s="59" t="s">
        <v>8</v>
      </c>
      <c r="N10" s="587">
        <f>'R.GUI MAIL'!Q60</f>
        <v>124.63199999999999</v>
      </c>
      <c r="O10" s="588" t="s">
        <v>9</v>
      </c>
      <c r="P10" s="589"/>
      <c r="R10" s="2356">
        <v>4</v>
      </c>
      <c r="S10" s="3095" t="s">
        <v>575</v>
      </c>
      <c r="T10" s="3120" t="s">
        <v>576</v>
      </c>
      <c r="U10" s="3120" t="s">
        <v>576</v>
      </c>
      <c r="V10" s="3096" t="s">
        <v>576</v>
      </c>
      <c r="W10" s="1069" t="s">
        <v>431</v>
      </c>
      <c r="X10" s="48" t="s">
        <v>975</v>
      </c>
      <c r="Y10" s="301">
        <f>'R.GUI MAIL'!T60</f>
        <v>0</v>
      </c>
      <c r="Z10" s="59" t="s">
        <v>8</v>
      </c>
      <c r="AA10" s="587">
        <f>'R.GUI MAIL'!W60</f>
        <v>124.63199999999999</v>
      </c>
      <c r="AB10" s="588" t="s">
        <v>9</v>
      </c>
      <c r="AC10" s="301">
        <f>'R.GUI MAIL'!Z60</f>
        <v>0</v>
      </c>
      <c r="AD10" s="59" t="s">
        <v>8</v>
      </c>
      <c r="AE10" s="587">
        <f>'R.GUI MAIL'!AC60</f>
        <v>124.63199999999999</v>
      </c>
      <c r="AF10" s="588" t="s">
        <v>9</v>
      </c>
      <c r="AG10" s="589"/>
    </row>
    <row r="11" spans="1:33" ht="43.5" customHeight="1">
      <c r="A11" s="2356">
        <v>5</v>
      </c>
      <c r="B11" s="3629" t="s">
        <v>577</v>
      </c>
      <c r="C11" s="3630" t="s">
        <v>578</v>
      </c>
      <c r="D11" s="3630" t="s">
        <v>578</v>
      </c>
      <c r="E11" s="3631" t="s">
        <v>578</v>
      </c>
      <c r="F11" s="43" t="s">
        <v>431</v>
      </c>
      <c r="G11" s="48" t="s">
        <v>485</v>
      </c>
      <c r="H11" s="413">
        <f>'R.GUI MAIL'!H61</f>
        <v>1.1399999999999999</v>
      </c>
      <c r="I11" s="59" t="s">
        <v>8</v>
      </c>
      <c r="J11" s="587">
        <f>'R.GUI MAIL'!K61</f>
        <v>0</v>
      </c>
      <c r="K11" s="588" t="s">
        <v>9</v>
      </c>
      <c r="L11" s="413">
        <f>'R.GUI MAIL'!N61</f>
        <v>0</v>
      </c>
      <c r="M11" s="59" t="s">
        <v>8</v>
      </c>
      <c r="N11" s="587">
        <f>'R.GUI MAIL'!Q61</f>
        <v>0</v>
      </c>
      <c r="O11" s="588" t="s">
        <v>9</v>
      </c>
      <c r="P11" s="406"/>
      <c r="R11" s="2356">
        <v>5</v>
      </c>
      <c r="S11" s="3629" t="s">
        <v>577</v>
      </c>
      <c r="T11" s="3630" t="s">
        <v>578</v>
      </c>
      <c r="U11" s="3630" t="s">
        <v>578</v>
      </c>
      <c r="V11" s="3631" t="s">
        <v>578</v>
      </c>
      <c r="W11" s="1069" t="s">
        <v>431</v>
      </c>
      <c r="X11" s="48" t="s">
        <v>485</v>
      </c>
      <c r="Y11" s="413">
        <f>'R.GUI MAIL'!T61</f>
        <v>0</v>
      </c>
      <c r="Z11" s="59" t="s">
        <v>8</v>
      </c>
      <c r="AA11" s="587">
        <f>'R.GUI MAIL'!W61</f>
        <v>0</v>
      </c>
      <c r="AB11" s="588" t="s">
        <v>9</v>
      </c>
      <c r="AC11" s="413">
        <f>'R.GUI MAIL'!Z61</f>
        <v>0</v>
      </c>
      <c r="AD11" s="59" t="s">
        <v>8</v>
      </c>
      <c r="AE11" s="587">
        <f>'R.GUI MAIL'!AC61</f>
        <v>0</v>
      </c>
      <c r="AF11" s="588" t="s">
        <v>9</v>
      </c>
      <c r="AG11" s="406"/>
    </row>
    <row r="12" spans="1:33" ht="43.5" customHeight="1">
      <c r="A12" s="2356">
        <v>6</v>
      </c>
      <c r="B12" s="3646" t="s">
        <v>579</v>
      </c>
      <c r="C12" s="3647" t="s">
        <v>580</v>
      </c>
      <c r="D12" s="3647" t="s">
        <v>580</v>
      </c>
      <c r="E12" s="3648" t="s">
        <v>580</v>
      </c>
      <c r="F12" s="421" t="s">
        <v>431</v>
      </c>
      <c r="G12" s="1318" t="s">
        <v>488</v>
      </c>
      <c r="H12" s="1319">
        <f>'R.GUI MAIL'!H62</f>
        <v>23.5</v>
      </c>
      <c r="I12" s="1320" t="s">
        <v>8</v>
      </c>
      <c r="J12" s="1321">
        <f>'R.GUI MAIL'!K62</f>
        <v>0</v>
      </c>
      <c r="K12" s="1322" t="s">
        <v>9</v>
      </c>
      <c r="L12" s="1319">
        <f>'R.GUI MAIL'!N62</f>
        <v>0</v>
      </c>
      <c r="M12" s="1320" t="s">
        <v>8</v>
      </c>
      <c r="N12" s="1321">
        <f>'R.GUI MAIL'!Q62</f>
        <v>0</v>
      </c>
      <c r="O12" s="1322" t="s">
        <v>9</v>
      </c>
      <c r="P12" s="1323"/>
      <c r="R12" s="2356">
        <v>6</v>
      </c>
      <c r="S12" s="3646" t="s">
        <v>579</v>
      </c>
      <c r="T12" s="3647" t="s">
        <v>580</v>
      </c>
      <c r="U12" s="3647" t="s">
        <v>580</v>
      </c>
      <c r="V12" s="3648" t="s">
        <v>580</v>
      </c>
      <c r="W12" s="421" t="s">
        <v>431</v>
      </c>
      <c r="X12" s="1318" t="s">
        <v>488</v>
      </c>
      <c r="Y12" s="1319">
        <f>'R.GUI MAIL'!T62</f>
        <v>0</v>
      </c>
      <c r="Z12" s="1320" t="s">
        <v>8</v>
      </c>
      <c r="AA12" s="1321">
        <f>'R.GUI MAIL'!W62</f>
        <v>0</v>
      </c>
      <c r="AB12" s="1322" t="s">
        <v>9</v>
      </c>
      <c r="AC12" s="1319">
        <f>'R.GUI MAIL'!Z62</f>
        <v>0</v>
      </c>
      <c r="AD12" s="1320" t="s">
        <v>8</v>
      </c>
      <c r="AE12" s="1321">
        <f>'R.GUI MAIL'!AC62</f>
        <v>0</v>
      </c>
      <c r="AF12" s="1322" t="s">
        <v>9</v>
      </c>
      <c r="AG12" s="1323"/>
    </row>
    <row r="13" spans="1:33" ht="43.5" hidden="1" customHeight="1">
      <c r="A13" s="2402">
        <v>7</v>
      </c>
      <c r="B13" s="3635" t="s">
        <v>581</v>
      </c>
      <c r="C13" s="3636" t="s">
        <v>582</v>
      </c>
      <c r="D13" s="3636" t="s">
        <v>582</v>
      </c>
      <c r="E13" s="3637" t="s">
        <v>582</v>
      </c>
      <c r="F13" s="1324" t="s">
        <v>431</v>
      </c>
      <c r="G13" s="1325" t="s">
        <v>491</v>
      </c>
      <c r="H13" s="1326">
        <f>'R.GUI MAIL'!H63</f>
        <v>8.3000000000000007</v>
      </c>
      <c r="I13" s="1327" t="s">
        <v>8</v>
      </c>
      <c r="J13" s="1328">
        <f>'R.GUI MAIL'!K63</f>
        <v>0</v>
      </c>
      <c r="K13" s="1329" t="s">
        <v>9</v>
      </c>
      <c r="L13" s="1326">
        <f>'R.GUI MAIL'!N63</f>
        <v>0</v>
      </c>
      <c r="M13" s="1327" t="s">
        <v>8</v>
      </c>
      <c r="N13" s="1328">
        <f>'R.GUI MAIL'!Q63</f>
        <v>0</v>
      </c>
      <c r="O13" s="1329" t="s">
        <v>9</v>
      </c>
      <c r="P13" s="1330"/>
      <c r="R13" s="2402">
        <v>7</v>
      </c>
      <c r="S13" s="3635" t="s">
        <v>581</v>
      </c>
      <c r="T13" s="3636" t="s">
        <v>582</v>
      </c>
      <c r="U13" s="3636" t="s">
        <v>582</v>
      </c>
      <c r="V13" s="3637" t="s">
        <v>582</v>
      </c>
      <c r="W13" s="1324" t="s">
        <v>431</v>
      </c>
      <c r="X13" s="1325" t="s">
        <v>491</v>
      </c>
      <c r="Y13" s="1326">
        <f>'R.GUI MAIL'!Y63</f>
        <v>0</v>
      </c>
      <c r="Z13" s="1327" t="s">
        <v>8</v>
      </c>
      <c r="AA13" s="1328" t="str">
        <f>'R.GUI MAIL'!AB63</f>
        <v>+</v>
      </c>
      <c r="AB13" s="1329" t="s">
        <v>9</v>
      </c>
      <c r="AC13" s="1326">
        <f>'R.GUI MAIL'!AE63</f>
        <v>0</v>
      </c>
      <c r="AD13" s="1327" t="s">
        <v>8</v>
      </c>
      <c r="AE13" s="1328">
        <f>'R.GUI MAIL'!AH63</f>
        <v>0</v>
      </c>
      <c r="AF13" s="1329" t="s">
        <v>9</v>
      </c>
      <c r="AG13" s="1330"/>
    </row>
    <row r="14" spans="1:33" ht="43.5" hidden="1" customHeight="1">
      <c r="A14" s="2368">
        <v>8</v>
      </c>
      <c r="B14" s="3095" t="s">
        <v>583</v>
      </c>
      <c r="C14" s="3120" t="s">
        <v>493</v>
      </c>
      <c r="D14" s="3120" t="s">
        <v>493</v>
      </c>
      <c r="E14" s="3096" t="s">
        <v>493</v>
      </c>
      <c r="F14" s="1069" t="s">
        <v>5</v>
      </c>
      <c r="G14" s="48" t="s">
        <v>494</v>
      </c>
      <c r="H14" s="301">
        <f>'R.GUI MAIL'!H64</f>
        <v>7.3</v>
      </c>
      <c r="I14" s="59"/>
      <c r="J14" s="587"/>
      <c r="K14" s="588"/>
      <c r="L14" s="301">
        <f>'R.GUI MAIL'!N64</f>
        <v>0</v>
      </c>
      <c r="M14" s="59"/>
      <c r="N14" s="587"/>
      <c r="O14" s="588"/>
      <c r="P14" s="406"/>
      <c r="R14" s="2368">
        <v>8</v>
      </c>
      <c r="S14" s="3095" t="s">
        <v>583</v>
      </c>
      <c r="T14" s="3120" t="s">
        <v>493</v>
      </c>
      <c r="U14" s="3120" t="s">
        <v>493</v>
      </c>
      <c r="V14" s="3096" t="s">
        <v>493</v>
      </c>
      <c r="W14" s="1069" t="s">
        <v>5</v>
      </c>
      <c r="X14" s="48" t="s">
        <v>494</v>
      </c>
      <c r="Y14" s="301">
        <f>'R.GUI MAIL'!Y64</f>
        <v>0</v>
      </c>
      <c r="Z14" s="59"/>
      <c r="AA14" s="587"/>
      <c r="AB14" s="588"/>
      <c r="AC14" s="301">
        <f>'R.GUI MAIL'!AE64</f>
        <v>0</v>
      </c>
      <c r="AD14" s="59"/>
      <c r="AE14" s="587"/>
      <c r="AF14" s="588"/>
      <c r="AG14" s="406"/>
    </row>
    <row r="15" spans="1:33" ht="43.5" hidden="1" customHeight="1">
      <c r="A15" s="2356">
        <v>9</v>
      </c>
      <c r="B15" s="3629" t="s">
        <v>584</v>
      </c>
      <c r="C15" s="3630" t="s">
        <v>582</v>
      </c>
      <c r="D15" s="3630" t="s">
        <v>582</v>
      </c>
      <c r="E15" s="3631" t="s">
        <v>582</v>
      </c>
      <c r="F15" s="43" t="s">
        <v>5</v>
      </c>
      <c r="G15" s="48" t="s">
        <v>497</v>
      </c>
      <c r="H15" s="590">
        <f>'R.GUI MAIL'!H65</f>
        <v>5.4</v>
      </c>
      <c r="I15" s="59"/>
      <c r="J15" s="587"/>
      <c r="K15" s="588"/>
      <c r="L15" s="590">
        <f>'R.GUI MAIL'!N65</f>
        <v>0</v>
      </c>
      <c r="M15" s="59"/>
      <c r="N15" s="587"/>
      <c r="O15" s="588"/>
      <c r="P15" s="406"/>
      <c r="R15" s="2356">
        <v>9</v>
      </c>
      <c r="S15" s="3629" t="s">
        <v>584</v>
      </c>
      <c r="T15" s="3630" t="s">
        <v>582</v>
      </c>
      <c r="U15" s="3630" t="s">
        <v>582</v>
      </c>
      <c r="V15" s="3631" t="s">
        <v>582</v>
      </c>
      <c r="W15" s="1069" t="s">
        <v>5</v>
      </c>
      <c r="X15" s="48" t="s">
        <v>497</v>
      </c>
      <c r="Y15" s="590">
        <f>'R.GUI MAIL'!Y65</f>
        <v>0</v>
      </c>
      <c r="Z15" s="59"/>
      <c r="AA15" s="587"/>
      <c r="AB15" s="588"/>
      <c r="AC15" s="590">
        <f>'R.GUI MAIL'!AE65</f>
        <v>0</v>
      </c>
      <c r="AD15" s="59"/>
      <c r="AE15" s="587"/>
      <c r="AF15" s="588"/>
      <c r="AG15" s="406"/>
    </row>
    <row r="16" spans="1:33" ht="43.5" hidden="1" customHeight="1">
      <c r="A16" s="2356">
        <v>10</v>
      </c>
      <c r="B16" s="3629" t="s">
        <v>585</v>
      </c>
      <c r="C16" s="3630" t="s">
        <v>582</v>
      </c>
      <c r="D16" s="3630" t="s">
        <v>582</v>
      </c>
      <c r="E16" s="3631" t="s">
        <v>582</v>
      </c>
      <c r="F16" s="43" t="s">
        <v>5</v>
      </c>
      <c r="G16" s="48" t="s">
        <v>497</v>
      </c>
      <c r="H16" s="591">
        <f>'R.GUI MAIL'!H66</f>
        <v>0</v>
      </c>
      <c r="I16" s="59"/>
      <c r="J16" s="587"/>
      <c r="K16" s="588"/>
      <c r="L16" s="591">
        <f>'R.GUI MAIL'!N66</f>
        <v>0</v>
      </c>
      <c r="M16" s="59"/>
      <c r="N16" s="587"/>
      <c r="O16" s="588"/>
      <c r="P16" s="406"/>
      <c r="R16" s="2356">
        <v>10</v>
      </c>
      <c r="S16" s="3629" t="s">
        <v>585</v>
      </c>
      <c r="T16" s="3630" t="s">
        <v>582</v>
      </c>
      <c r="U16" s="3630" t="s">
        <v>582</v>
      </c>
      <c r="V16" s="3631" t="s">
        <v>582</v>
      </c>
      <c r="W16" s="1069" t="s">
        <v>5</v>
      </c>
      <c r="X16" s="48" t="s">
        <v>497</v>
      </c>
      <c r="Y16" s="591">
        <f>'R.GUI MAIL'!Y66</f>
        <v>0</v>
      </c>
      <c r="Z16" s="59"/>
      <c r="AA16" s="587"/>
      <c r="AB16" s="588"/>
      <c r="AC16" s="591">
        <f>'R.GUI MAIL'!AE66</f>
        <v>0</v>
      </c>
      <c r="AD16" s="59"/>
      <c r="AE16" s="587"/>
      <c r="AF16" s="588"/>
      <c r="AG16" s="406"/>
    </row>
    <row r="17" spans="1:33" ht="43.5" hidden="1" customHeight="1">
      <c r="A17" s="2356">
        <v>11</v>
      </c>
      <c r="B17" s="3629" t="s">
        <v>373</v>
      </c>
      <c r="C17" s="3630"/>
      <c r="D17" s="3630"/>
      <c r="E17" s="3631"/>
      <c r="F17" s="43" t="s">
        <v>3</v>
      </c>
      <c r="G17" s="592" t="s">
        <v>374</v>
      </c>
      <c r="H17" s="593">
        <f>IFERROR('ED-XI DEN'!L15*100,"")</f>
        <v>15.457983884229568</v>
      </c>
      <c r="I17" s="59" t="s">
        <v>8</v>
      </c>
      <c r="J17" s="587">
        <f>'R.GUI MAIL'!K67</f>
        <v>0</v>
      </c>
      <c r="K17" s="588" t="s">
        <v>10</v>
      </c>
      <c r="L17" s="406" t="s">
        <v>976</v>
      </c>
      <c r="M17" s="59"/>
      <c r="N17" s="587"/>
      <c r="O17" s="588"/>
      <c r="P17" s="406"/>
      <c r="R17" s="2356">
        <v>11</v>
      </c>
      <c r="S17" s="3629" t="s">
        <v>373</v>
      </c>
      <c r="T17" s="3630"/>
      <c r="U17" s="3630"/>
      <c r="V17" s="3631"/>
      <c r="W17" s="1069" t="s">
        <v>3</v>
      </c>
      <c r="X17" s="592" t="s">
        <v>374</v>
      </c>
      <c r="Y17" s="593">
        <f>IFERROR('ED-XI DEN'!AC15*100,"")</f>
        <v>0</v>
      </c>
      <c r="Z17" s="59" t="s">
        <v>8</v>
      </c>
      <c r="AA17" s="587">
        <f>'R.GUI MAIL'!AB67</f>
        <v>0</v>
      </c>
      <c r="AB17" s="588" t="s">
        <v>10</v>
      </c>
      <c r="AC17" s="406" t="s">
        <v>976</v>
      </c>
      <c r="AD17" s="59"/>
      <c r="AE17" s="587"/>
      <c r="AF17" s="588"/>
      <c r="AG17" s="406"/>
    </row>
    <row r="18" spans="1:33" ht="43.5" hidden="1" customHeight="1">
      <c r="A18" s="2356">
        <v>12</v>
      </c>
      <c r="B18" s="3629" t="s">
        <v>375</v>
      </c>
      <c r="C18" s="3630"/>
      <c r="D18" s="3630"/>
      <c r="E18" s="3631"/>
      <c r="F18" s="43" t="s">
        <v>3</v>
      </c>
      <c r="G18" s="592" t="s">
        <v>376</v>
      </c>
      <c r="H18" s="593">
        <f>IFERROR('ED-XI DEN'!L16*100,"")</f>
        <v>8.4863740253278852</v>
      </c>
      <c r="I18" s="59" t="s">
        <v>8</v>
      </c>
      <c r="J18" s="587">
        <f>'R.GUI MAIL'!K68</f>
        <v>80.637716118725038</v>
      </c>
      <c r="K18" s="588" t="s">
        <v>10</v>
      </c>
      <c r="L18" s="406" t="s">
        <v>976</v>
      </c>
      <c r="M18" s="59"/>
      <c r="N18" s="587"/>
      <c r="O18" s="588"/>
      <c r="P18" s="406"/>
      <c r="R18" s="2356">
        <v>12</v>
      </c>
      <c r="S18" s="3629" t="s">
        <v>375</v>
      </c>
      <c r="T18" s="3630"/>
      <c r="U18" s="3630"/>
      <c r="V18" s="3631"/>
      <c r="W18" s="1069" t="s">
        <v>3</v>
      </c>
      <c r="X18" s="592" t="s">
        <v>376</v>
      </c>
      <c r="Y18" s="593">
        <f>IFERROR('ED-XI DEN'!AC16*100,"")</f>
        <v>0</v>
      </c>
      <c r="Z18" s="59" t="s">
        <v>8</v>
      </c>
      <c r="AA18" s="587">
        <f>'R.GUI MAIL'!AB68</f>
        <v>0</v>
      </c>
      <c r="AB18" s="588" t="s">
        <v>10</v>
      </c>
      <c r="AC18" s="406" t="s">
        <v>976</v>
      </c>
      <c r="AD18" s="59"/>
      <c r="AE18" s="587"/>
      <c r="AF18" s="588"/>
      <c r="AG18" s="406"/>
    </row>
    <row r="19" spans="1:33" ht="43.5" hidden="1" customHeight="1">
      <c r="A19" s="2356">
        <v>13</v>
      </c>
      <c r="B19" s="3629" t="s">
        <v>377</v>
      </c>
      <c r="C19" s="3630"/>
      <c r="D19" s="3630"/>
      <c r="E19" s="3631"/>
      <c r="F19" s="43" t="s">
        <v>3</v>
      </c>
      <c r="G19" s="592" t="s">
        <v>374</v>
      </c>
      <c r="H19" s="594" t="str">
        <f>IFERROR('ED-XI DEN'!L17*100,"")</f>
        <v/>
      </c>
      <c r="I19" s="59"/>
      <c r="J19" s="587" t="str">
        <f>'R.GUI MAIL'!K69</f>
        <v/>
      </c>
      <c r="K19" s="588"/>
      <c r="L19" s="406" t="str">
        <f t="shared" ref="L19:L20" si="0">H19</f>
        <v/>
      </c>
      <c r="M19" s="59"/>
      <c r="N19" s="587" t="str">
        <f>J19</f>
        <v/>
      </c>
      <c r="O19" s="588"/>
      <c r="P19" s="406"/>
      <c r="R19" s="2356">
        <v>13</v>
      </c>
      <c r="S19" s="3629" t="s">
        <v>377</v>
      </c>
      <c r="T19" s="3630"/>
      <c r="U19" s="3630"/>
      <c r="V19" s="3631"/>
      <c r="W19" s="1069" t="s">
        <v>3</v>
      </c>
      <c r="X19" s="592" t="s">
        <v>374</v>
      </c>
      <c r="Y19" s="594">
        <f>IFERROR('ED-XI DEN'!AC17*100,"")</f>
        <v>0</v>
      </c>
      <c r="Z19" s="59"/>
      <c r="AA19" s="587">
        <f>'R.GUI MAIL'!AB69</f>
        <v>0</v>
      </c>
      <c r="AB19" s="588"/>
      <c r="AC19" s="406">
        <f t="shared" ref="AC19:AC20" si="1">Y19</f>
        <v>0</v>
      </c>
      <c r="AD19" s="59"/>
      <c r="AE19" s="587">
        <f>AA19</f>
        <v>0</v>
      </c>
      <c r="AF19" s="588"/>
      <c r="AG19" s="406"/>
    </row>
    <row r="20" spans="1:33" ht="43.5" hidden="1" customHeight="1">
      <c r="A20" s="2356">
        <v>14</v>
      </c>
      <c r="B20" s="3629" t="s">
        <v>378</v>
      </c>
      <c r="C20" s="3630"/>
      <c r="D20" s="3630"/>
      <c r="E20" s="3631"/>
      <c r="F20" s="43" t="s">
        <v>3</v>
      </c>
      <c r="G20" s="592" t="s">
        <v>376</v>
      </c>
      <c r="H20" s="594" t="str">
        <f>IFERROR('ED-XI DEN'!L18*100,"")</f>
        <v/>
      </c>
      <c r="I20" s="59"/>
      <c r="J20" s="587" t="str">
        <f>'R.GUI MAIL'!K70</f>
        <v/>
      </c>
      <c r="K20" s="588"/>
      <c r="L20" s="406" t="str">
        <f t="shared" si="0"/>
        <v/>
      </c>
      <c r="M20" s="59"/>
      <c r="N20" s="587" t="str">
        <f>J20</f>
        <v/>
      </c>
      <c r="O20" s="588"/>
      <c r="P20" s="406"/>
      <c r="R20" s="2356">
        <v>14</v>
      </c>
      <c r="S20" s="3629" t="s">
        <v>378</v>
      </c>
      <c r="T20" s="3630"/>
      <c r="U20" s="3630"/>
      <c r="V20" s="3631"/>
      <c r="W20" s="1069" t="s">
        <v>3</v>
      </c>
      <c r="X20" s="592" t="s">
        <v>376</v>
      </c>
      <c r="Y20" s="594">
        <f>IFERROR('ED-XI DEN'!AC18*100,"")</f>
        <v>0</v>
      </c>
      <c r="Z20" s="59"/>
      <c r="AA20" s="587">
        <f>'R.GUI MAIL'!AB70</f>
        <v>0</v>
      </c>
      <c r="AB20" s="588"/>
      <c r="AC20" s="406">
        <f t="shared" si="1"/>
        <v>0</v>
      </c>
      <c r="AD20" s="59"/>
      <c r="AE20" s="587">
        <f>AA20</f>
        <v>0</v>
      </c>
      <c r="AF20" s="588"/>
      <c r="AG20" s="406"/>
    </row>
    <row r="21" spans="1:33" ht="43.5" hidden="1" customHeight="1">
      <c r="A21" s="2356">
        <v>15</v>
      </c>
      <c r="B21" s="3629" t="s">
        <v>379</v>
      </c>
      <c r="C21" s="3630" t="s">
        <v>379</v>
      </c>
      <c r="D21" s="3630" t="s">
        <v>379</v>
      </c>
      <c r="E21" s="3631" t="s">
        <v>379</v>
      </c>
      <c r="F21" s="43" t="s">
        <v>3</v>
      </c>
      <c r="G21" s="48" t="s">
        <v>380</v>
      </c>
      <c r="H21" s="595">
        <f>IFERROR('ED-XI DEN'!L19*100,"")</f>
        <v>0.84937712344280936</v>
      </c>
      <c r="I21" s="59"/>
      <c r="J21" s="587"/>
      <c r="K21" s="588"/>
      <c r="L21" s="406" t="s">
        <v>976</v>
      </c>
      <c r="M21" s="59"/>
      <c r="N21" s="587"/>
      <c r="O21" s="588"/>
      <c r="P21" s="406"/>
      <c r="R21" s="2356">
        <v>15</v>
      </c>
      <c r="S21" s="3629" t="s">
        <v>379</v>
      </c>
      <c r="T21" s="3630" t="s">
        <v>379</v>
      </c>
      <c r="U21" s="3630" t="s">
        <v>379</v>
      </c>
      <c r="V21" s="3631" t="s">
        <v>379</v>
      </c>
      <c r="W21" s="1069" t="s">
        <v>3</v>
      </c>
      <c r="X21" s="48" t="s">
        <v>380</v>
      </c>
      <c r="Y21" s="595">
        <f>IFERROR('ED-XI DEN'!AC19*100,"")</f>
        <v>0</v>
      </c>
      <c r="Z21" s="59"/>
      <c r="AA21" s="587"/>
      <c r="AB21" s="588"/>
      <c r="AC21" s="406" t="s">
        <v>976</v>
      </c>
      <c r="AD21" s="59"/>
      <c r="AE21" s="587"/>
      <c r="AF21" s="588"/>
      <c r="AG21" s="406"/>
    </row>
    <row r="22" spans="1:33" ht="43.5" hidden="1" customHeight="1">
      <c r="A22" s="2356">
        <v>16</v>
      </c>
      <c r="B22" s="3629" t="s">
        <v>382</v>
      </c>
      <c r="C22" s="3630" t="s">
        <v>382</v>
      </c>
      <c r="D22" s="3630" t="s">
        <v>382</v>
      </c>
      <c r="E22" s="3631" t="s">
        <v>382</v>
      </c>
      <c r="F22" s="43" t="s">
        <v>3</v>
      </c>
      <c r="G22" s="48" t="s">
        <v>383</v>
      </c>
      <c r="H22" s="299">
        <f>IFERROR('ED-XI DEN'!L20*100,"")</f>
        <v>0.50395968322534201</v>
      </c>
      <c r="I22" s="59"/>
      <c r="J22" s="587"/>
      <c r="K22" s="588"/>
      <c r="L22" s="406" t="s">
        <v>976</v>
      </c>
      <c r="M22" s="59"/>
      <c r="N22" s="587"/>
      <c r="O22" s="588"/>
      <c r="P22" s="406"/>
      <c r="R22" s="2356">
        <v>16</v>
      </c>
      <c r="S22" s="3629" t="s">
        <v>382</v>
      </c>
      <c r="T22" s="3630" t="s">
        <v>382</v>
      </c>
      <c r="U22" s="3630" t="s">
        <v>382</v>
      </c>
      <c r="V22" s="3631" t="s">
        <v>382</v>
      </c>
      <c r="W22" s="1069" t="s">
        <v>3</v>
      </c>
      <c r="X22" s="48" t="s">
        <v>383</v>
      </c>
      <c r="Y22" s="299">
        <f>IFERROR('ED-XI DEN'!AC20*100,"")</f>
        <v>0</v>
      </c>
      <c r="Z22" s="59"/>
      <c r="AA22" s="587"/>
      <c r="AB22" s="588"/>
      <c r="AC22" s="406" t="s">
        <v>976</v>
      </c>
      <c r="AD22" s="59"/>
      <c r="AE22" s="587"/>
      <c r="AF22" s="588"/>
      <c r="AG22" s="406"/>
    </row>
    <row r="23" spans="1:33" ht="55.5" customHeight="1">
      <c r="A23" s="2368"/>
      <c r="B23" s="462"/>
      <c r="C23" s="463"/>
      <c r="D23" s="463"/>
      <c r="E23" s="463"/>
      <c r="F23" s="463"/>
      <c r="G23" s="463"/>
      <c r="H23" s="464" t="s">
        <v>109</v>
      </c>
      <c r="I23" s="463"/>
      <c r="J23" s="463"/>
      <c r="K23" s="463"/>
      <c r="L23" s="463"/>
      <c r="M23" s="463"/>
      <c r="N23" s="463"/>
      <c r="O23" s="463"/>
      <c r="P23" s="465"/>
      <c r="R23" s="2368"/>
      <c r="S23" s="462"/>
      <c r="T23" s="463"/>
      <c r="U23" s="463"/>
      <c r="V23" s="463"/>
      <c r="W23" s="463"/>
      <c r="X23" s="463"/>
      <c r="Y23" s="464" t="s">
        <v>109</v>
      </c>
      <c r="Z23" s="463"/>
      <c r="AA23" s="463"/>
      <c r="AB23" s="463"/>
      <c r="AC23" s="463"/>
      <c r="AD23" s="463"/>
      <c r="AE23" s="463"/>
      <c r="AF23" s="463"/>
      <c r="AG23" s="465"/>
    </row>
    <row r="24" spans="1:33" ht="43.5" customHeight="1">
      <c r="A24" s="2365" t="s">
        <v>7</v>
      </c>
      <c r="B24" s="3632" t="s">
        <v>61</v>
      </c>
      <c r="C24" s="3633"/>
      <c r="D24" s="3633"/>
      <c r="E24" s="3634"/>
      <c r="F24" s="596" t="s">
        <v>63</v>
      </c>
      <c r="G24" s="248" t="s">
        <v>64</v>
      </c>
      <c r="H24" s="597" t="s">
        <v>45</v>
      </c>
      <c r="I24" s="3140" t="s">
        <v>62</v>
      </c>
      <c r="J24" s="3142"/>
      <c r="K24" s="3142"/>
      <c r="L24" s="597" t="s">
        <v>45</v>
      </c>
      <c r="M24" s="3140" t="s">
        <v>62</v>
      </c>
      <c r="N24" s="3142"/>
      <c r="O24" s="3141"/>
      <c r="P24" s="598" t="s">
        <v>90</v>
      </c>
      <c r="R24" s="2365" t="s">
        <v>7</v>
      </c>
      <c r="S24" s="3632" t="s">
        <v>61</v>
      </c>
      <c r="T24" s="3633"/>
      <c r="U24" s="3633"/>
      <c r="V24" s="3634"/>
      <c r="W24" s="596" t="s">
        <v>63</v>
      </c>
      <c r="X24" s="2357" t="s">
        <v>64</v>
      </c>
      <c r="Y24" s="597" t="s">
        <v>45</v>
      </c>
      <c r="Z24" s="3140" t="s">
        <v>62</v>
      </c>
      <c r="AA24" s="3142"/>
      <c r="AB24" s="3142"/>
      <c r="AC24" s="597" t="s">
        <v>45</v>
      </c>
      <c r="AD24" s="3140" t="s">
        <v>62</v>
      </c>
      <c r="AE24" s="3142"/>
      <c r="AF24" s="3141"/>
      <c r="AG24" s="598" t="s">
        <v>90</v>
      </c>
    </row>
    <row r="25" spans="1:33" ht="43.5" customHeight="1">
      <c r="A25" s="2365">
        <v>1</v>
      </c>
      <c r="B25" s="3135" t="s">
        <v>474</v>
      </c>
      <c r="C25" s="3627"/>
      <c r="D25" s="3627"/>
      <c r="E25" s="3628"/>
      <c r="F25" s="247" t="s">
        <v>195</v>
      </c>
      <c r="G25" s="48" t="s">
        <v>720</v>
      </c>
      <c r="H25" s="2367">
        <f>'R.FILE GOC'!H75</f>
        <v>58</v>
      </c>
      <c r="I25" s="3475">
        <f>'R.GUI MAIL'!K75</f>
        <v>60</v>
      </c>
      <c r="J25" s="3476"/>
      <c r="K25" s="3477"/>
      <c r="L25" s="2367">
        <f>'R.FILE GOC'!N75</f>
        <v>0</v>
      </c>
      <c r="M25" s="3475">
        <f>'R.GUI MAIL'!Q75</f>
        <v>0</v>
      </c>
      <c r="N25" s="3476"/>
      <c r="O25" s="3477"/>
      <c r="P25" s="406"/>
      <c r="R25" s="2365">
        <v>1</v>
      </c>
      <c r="S25" s="3135" t="s">
        <v>474</v>
      </c>
      <c r="T25" s="3627"/>
      <c r="U25" s="3627"/>
      <c r="V25" s="3628"/>
      <c r="W25" s="247" t="s">
        <v>195</v>
      </c>
      <c r="X25" s="48" t="s">
        <v>720</v>
      </c>
      <c r="Y25" s="2367">
        <f>'R.FILE GOC'!T75</f>
        <v>0</v>
      </c>
      <c r="Z25" s="3475">
        <f>'R.GUI MAIL'!W75</f>
        <v>0</v>
      </c>
      <c r="AA25" s="3476"/>
      <c r="AB25" s="3477"/>
      <c r="AC25" s="2367">
        <f>'R.FILE GOC'!Z75</f>
        <v>0</v>
      </c>
      <c r="AD25" s="3475">
        <f>'R.GUI MAIL'!AC75</f>
        <v>0</v>
      </c>
      <c r="AE25" s="3476"/>
      <c r="AF25" s="3477"/>
      <c r="AG25" s="406"/>
    </row>
    <row r="26" spans="1:33" ht="43.5" customHeight="1">
      <c r="A26" s="2365">
        <v>2</v>
      </c>
      <c r="B26" s="3135" t="s">
        <v>478</v>
      </c>
      <c r="C26" s="3627" t="s">
        <v>478</v>
      </c>
      <c r="D26" s="3627" t="s">
        <v>478</v>
      </c>
      <c r="E26" s="3628" t="s">
        <v>478</v>
      </c>
      <c r="F26" s="247" t="s">
        <v>195</v>
      </c>
      <c r="G26" s="48" t="s">
        <v>720</v>
      </c>
      <c r="H26" s="2367">
        <f>'R.FILE GOC'!H76</f>
        <v>58</v>
      </c>
      <c r="I26" s="3475">
        <f>'R.GUI MAIL'!K76</f>
        <v>57</v>
      </c>
      <c r="J26" s="3476"/>
      <c r="K26" s="3477"/>
      <c r="L26" s="2367">
        <f>'R.FILE GOC'!N76</f>
        <v>0</v>
      </c>
      <c r="M26" s="3475">
        <f>'R.GUI MAIL'!Q76</f>
        <v>0</v>
      </c>
      <c r="N26" s="3476"/>
      <c r="O26" s="3477"/>
      <c r="P26" s="406"/>
      <c r="R26" s="2365">
        <v>2</v>
      </c>
      <c r="S26" s="3135" t="s">
        <v>478</v>
      </c>
      <c r="T26" s="3627" t="s">
        <v>478</v>
      </c>
      <c r="U26" s="3627" t="s">
        <v>478</v>
      </c>
      <c r="V26" s="3628" t="s">
        <v>478</v>
      </c>
      <c r="W26" s="247" t="s">
        <v>195</v>
      </c>
      <c r="X26" s="48" t="s">
        <v>720</v>
      </c>
      <c r="Y26" s="2367">
        <f>'R.FILE GOC'!T76</f>
        <v>0</v>
      </c>
      <c r="Z26" s="3475">
        <f>'R.GUI MAIL'!W76</f>
        <v>0</v>
      </c>
      <c r="AA26" s="3476"/>
      <c r="AB26" s="3477"/>
      <c r="AC26" s="2367">
        <f>'R.FILE GOC'!Z76</f>
        <v>0</v>
      </c>
      <c r="AD26" s="3475">
        <f>'R.GUI MAIL'!AC76</f>
        <v>0</v>
      </c>
      <c r="AE26" s="3476"/>
      <c r="AF26" s="3477"/>
      <c r="AG26" s="406"/>
    </row>
    <row r="27" spans="1:33" ht="43.5" customHeight="1">
      <c r="A27" s="2365">
        <v>3</v>
      </c>
      <c r="B27" s="3135" t="s">
        <v>480</v>
      </c>
      <c r="C27" s="3627" t="s">
        <v>480</v>
      </c>
      <c r="D27" s="3627" t="s">
        <v>480</v>
      </c>
      <c r="E27" s="3628" t="s">
        <v>480</v>
      </c>
      <c r="F27" s="247" t="s">
        <v>195</v>
      </c>
      <c r="G27" s="48" t="s">
        <v>720</v>
      </c>
      <c r="H27" s="2367">
        <f>'R.FILE GOC'!H77</f>
        <v>58</v>
      </c>
      <c r="I27" s="3475">
        <f>'R.GUI MAIL'!K77</f>
        <v>58</v>
      </c>
      <c r="J27" s="3476"/>
      <c r="K27" s="3477"/>
      <c r="L27" s="2367">
        <f>'R.FILE GOC'!N77</f>
        <v>0</v>
      </c>
      <c r="M27" s="3475">
        <f>'R.GUI MAIL'!Q77</f>
        <v>0</v>
      </c>
      <c r="N27" s="3476"/>
      <c r="O27" s="3477"/>
      <c r="P27" s="406"/>
      <c r="R27" s="2365">
        <v>3</v>
      </c>
      <c r="S27" s="3135" t="s">
        <v>480</v>
      </c>
      <c r="T27" s="3627" t="s">
        <v>480</v>
      </c>
      <c r="U27" s="3627" t="s">
        <v>480</v>
      </c>
      <c r="V27" s="3628" t="s">
        <v>480</v>
      </c>
      <c r="W27" s="247" t="s">
        <v>195</v>
      </c>
      <c r="X27" s="48" t="s">
        <v>720</v>
      </c>
      <c r="Y27" s="2367">
        <f>'R.FILE GOC'!T77</f>
        <v>0</v>
      </c>
      <c r="Z27" s="3475">
        <f>'R.GUI MAIL'!W77</f>
        <v>0</v>
      </c>
      <c r="AA27" s="3476"/>
      <c r="AB27" s="3477"/>
      <c r="AC27" s="2367">
        <f>'R.FILE GOC'!Z77</f>
        <v>0</v>
      </c>
      <c r="AD27" s="3475">
        <f>'R.GUI MAIL'!AC77</f>
        <v>0</v>
      </c>
      <c r="AE27" s="3476"/>
      <c r="AF27" s="3477"/>
      <c r="AG27" s="406"/>
    </row>
    <row r="28" spans="1:33" ht="43.5" customHeight="1">
      <c r="A28" s="2365">
        <v>4</v>
      </c>
      <c r="B28" s="3135" t="s">
        <v>511</v>
      </c>
      <c r="C28" s="3627" t="s">
        <v>511</v>
      </c>
      <c r="D28" s="3627" t="s">
        <v>511</v>
      </c>
      <c r="E28" s="3628" t="s">
        <v>511</v>
      </c>
      <c r="F28" s="247" t="s">
        <v>195</v>
      </c>
      <c r="G28" s="48" t="s">
        <v>721</v>
      </c>
      <c r="H28" s="2367">
        <f>'R.FILE GOC'!H78</f>
        <v>43</v>
      </c>
      <c r="I28" s="3475">
        <f>'R.GUI MAIL'!K78</f>
        <v>34</v>
      </c>
      <c r="J28" s="3476"/>
      <c r="K28" s="3477"/>
      <c r="L28" s="2367">
        <f>'R.FILE GOC'!N78</f>
        <v>0</v>
      </c>
      <c r="M28" s="3475">
        <f>'R.GUI MAIL'!Q78</f>
        <v>0</v>
      </c>
      <c r="N28" s="3476"/>
      <c r="O28" s="3477"/>
      <c r="P28" s="406"/>
      <c r="R28" s="2365">
        <v>4</v>
      </c>
      <c r="S28" s="3135" t="s">
        <v>511</v>
      </c>
      <c r="T28" s="3627" t="s">
        <v>511</v>
      </c>
      <c r="U28" s="3627" t="s">
        <v>511</v>
      </c>
      <c r="V28" s="3628" t="s">
        <v>511</v>
      </c>
      <c r="W28" s="247" t="s">
        <v>195</v>
      </c>
      <c r="X28" s="48" t="s">
        <v>721</v>
      </c>
      <c r="Y28" s="2367">
        <f>'R.FILE GOC'!T78</f>
        <v>0</v>
      </c>
      <c r="Z28" s="3475">
        <f>'R.GUI MAIL'!W78</f>
        <v>0</v>
      </c>
      <c r="AA28" s="3476"/>
      <c r="AB28" s="3477"/>
      <c r="AC28" s="2367">
        <f>'R.FILE GOC'!Z78</f>
        <v>0</v>
      </c>
      <c r="AD28" s="3475">
        <f>'R.GUI MAIL'!AC78</f>
        <v>0</v>
      </c>
      <c r="AE28" s="3476"/>
      <c r="AF28" s="3477"/>
      <c r="AG28" s="406"/>
    </row>
    <row r="29" spans="1:33" ht="43.5" customHeight="1">
      <c r="A29" s="2365">
        <v>5</v>
      </c>
      <c r="B29" s="3135" t="s">
        <v>586</v>
      </c>
      <c r="C29" s="3627"/>
      <c r="D29" s="3627"/>
      <c r="E29" s="3628"/>
      <c r="F29" s="247" t="s">
        <v>195</v>
      </c>
      <c r="G29" s="48" t="s">
        <v>722</v>
      </c>
      <c r="H29" s="2367">
        <f>'R.FILE GOC'!H79</f>
        <v>33</v>
      </c>
      <c r="I29" s="3475">
        <f>'R.GUI MAIL'!K79</f>
        <v>29</v>
      </c>
      <c r="J29" s="3476"/>
      <c r="K29" s="3477"/>
      <c r="L29" s="2367">
        <f>'R.FILE GOC'!N79</f>
        <v>0</v>
      </c>
      <c r="M29" s="3475">
        <f>'R.GUI MAIL'!Q79</f>
        <v>0</v>
      </c>
      <c r="N29" s="3476"/>
      <c r="O29" s="3477"/>
      <c r="P29" s="406"/>
      <c r="R29" s="2365">
        <v>5</v>
      </c>
      <c r="S29" s="3135" t="s">
        <v>586</v>
      </c>
      <c r="T29" s="3627"/>
      <c r="U29" s="3627"/>
      <c r="V29" s="3628"/>
      <c r="W29" s="247" t="s">
        <v>195</v>
      </c>
      <c r="X29" s="48" t="s">
        <v>722</v>
      </c>
      <c r="Y29" s="2367">
        <f>'R.FILE GOC'!T79</f>
        <v>0</v>
      </c>
      <c r="Z29" s="3475">
        <f>'R.GUI MAIL'!W79</f>
        <v>0</v>
      </c>
      <c r="AA29" s="3476"/>
      <c r="AB29" s="3477"/>
      <c r="AC29" s="2367">
        <f>'R.FILE GOC'!Z79</f>
        <v>0</v>
      </c>
      <c r="AD29" s="3475">
        <f>'R.GUI MAIL'!AC79</f>
        <v>0</v>
      </c>
      <c r="AE29" s="3476"/>
      <c r="AF29" s="3477"/>
      <c r="AG29" s="406"/>
    </row>
    <row r="30" spans="1:33" ht="43.5" hidden="1" customHeight="1">
      <c r="A30" s="2365"/>
      <c r="B30" s="3135" t="s">
        <v>587</v>
      </c>
      <c r="C30" s="3627"/>
      <c r="D30" s="3627"/>
      <c r="E30" s="3628"/>
      <c r="F30" s="247" t="s">
        <v>195</v>
      </c>
      <c r="G30" s="48" t="s">
        <v>722</v>
      </c>
      <c r="H30" s="2367">
        <f>'R.FILE GOC'!H80</f>
        <v>0</v>
      </c>
      <c r="I30" s="3475">
        <f>'R.GUI MAIL'!K80</f>
        <v>0</v>
      </c>
      <c r="J30" s="3476"/>
      <c r="K30" s="3477"/>
      <c r="L30" s="2367">
        <f>'R.FILE GOC'!N80</f>
        <v>0</v>
      </c>
      <c r="M30" s="3475">
        <f>'R.GUI MAIL'!Q80</f>
        <v>0</v>
      </c>
      <c r="N30" s="3476"/>
      <c r="O30" s="3477"/>
      <c r="P30" s="406"/>
      <c r="R30" s="2365"/>
      <c r="S30" s="3135" t="s">
        <v>587</v>
      </c>
      <c r="T30" s="3627"/>
      <c r="U30" s="3627"/>
      <c r="V30" s="3628"/>
      <c r="W30" s="247" t="s">
        <v>195</v>
      </c>
      <c r="X30" s="48" t="s">
        <v>722</v>
      </c>
      <c r="Y30" s="2367">
        <f>'R.FILE GOC'!T80</f>
        <v>0</v>
      </c>
      <c r="Z30" s="3475">
        <f>'R.GUI MAIL'!W80</f>
        <v>0</v>
      </c>
      <c r="AA30" s="3476"/>
      <c r="AB30" s="3477"/>
      <c r="AC30" s="2367">
        <f>'R.FILE GOC'!Z80</f>
        <v>0</v>
      </c>
      <c r="AD30" s="3475">
        <f>'R.GUI MAIL'!AC80</f>
        <v>0</v>
      </c>
      <c r="AE30" s="3476"/>
      <c r="AF30" s="3477"/>
      <c r="AG30" s="406"/>
    </row>
    <row r="31" spans="1:33" ht="43.5" customHeight="1">
      <c r="A31" s="2365">
        <v>6</v>
      </c>
      <c r="B31" s="3135" t="s">
        <v>519</v>
      </c>
      <c r="C31" s="3627" t="s">
        <v>519</v>
      </c>
      <c r="D31" s="3627" t="s">
        <v>519</v>
      </c>
      <c r="E31" s="3628" t="s">
        <v>519</v>
      </c>
      <c r="F31" s="247" t="s">
        <v>195</v>
      </c>
      <c r="G31" s="48" t="s">
        <v>723</v>
      </c>
      <c r="H31" s="2366" t="str">
        <f>'R.FILE GOC'!H81</f>
        <v>\</v>
      </c>
      <c r="I31" s="3475">
        <f>'R.GUI MAIL'!K81</f>
        <v>181</v>
      </c>
      <c r="J31" s="3476"/>
      <c r="K31" s="3476"/>
      <c r="L31" s="2366" t="str">
        <f>'R.FILE GOC'!N81</f>
        <v>\</v>
      </c>
      <c r="M31" s="3475">
        <f>'R.GUI MAIL'!Q81</f>
        <v>0</v>
      </c>
      <c r="N31" s="3476"/>
      <c r="O31" s="3476"/>
      <c r="P31" s="406"/>
      <c r="R31" s="2365">
        <v>6</v>
      </c>
      <c r="S31" s="3135" t="s">
        <v>519</v>
      </c>
      <c r="T31" s="3627" t="s">
        <v>519</v>
      </c>
      <c r="U31" s="3627" t="s">
        <v>519</v>
      </c>
      <c r="V31" s="3628" t="s">
        <v>519</v>
      </c>
      <c r="W31" s="247" t="s">
        <v>195</v>
      </c>
      <c r="X31" s="48" t="s">
        <v>723</v>
      </c>
      <c r="Y31" s="2366" t="str">
        <f>'R.FILE GOC'!T81</f>
        <v>\</v>
      </c>
      <c r="Z31" s="3475">
        <f>'R.GUI MAIL'!W81</f>
        <v>0</v>
      </c>
      <c r="AA31" s="3476"/>
      <c r="AB31" s="3476"/>
      <c r="AC31" s="2366" t="str">
        <f>'R.FILE GOC'!Z81</f>
        <v>\</v>
      </c>
      <c r="AD31" s="3475">
        <f>'R.GUI MAIL'!AC81</f>
        <v>0</v>
      </c>
      <c r="AE31" s="3476"/>
      <c r="AF31" s="3476"/>
      <c r="AG31" s="406"/>
    </row>
    <row r="32" spans="1:33" ht="45" hidden="1" customHeight="1">
      <c r="A32" s="2368"/>
      <c r="B32" s="468"/>
      <c r="C32" s="469"/>
      <c r="D32" s="469"/>
      <c r="E32" s="469"/>
      <c r="F32" s="469"/>
      <c r="G32" s="469"/>
      <c r="H32" s="470" t="s">
        <v>521</v>
      </c>
      <c r="I32" s="469"/>
      <c r="J32" s="469"/>
      <c r="K32" s="469"/>
      <c r="L32" s="469"/>
      <c r="M32" s="469"/>
      <c r="N32" s="469"/>
      <c r="O32" s="469"/>
      <c r="P32" s="471"/>
    </row>
    <row r="33" spans="1:16" ht="45" hidden="1" customHeight="1">
      <c r="A33" s="2365">
        <v>1</v>
      </c>
      <c r="B33" s="3095" t="s">
        <v>521</v>
      </c>
      <c r="C33" s="3120"/>
      <c r="D33" s="3120"/>
      <c r="E33" s="3096"/>
      <c r="F33" s="248" t="s">
        <v>522</v>
      </c>
      <c r="G33" s="248" t="s">
        <v>523</v>
      </c>
      <c r="H33" s="3140">
        <f>'R.FILE GOC'!H83</f>
        <v>0</v>
      </c>
      <c r="I33" s="3142"/>
      <c r="J33" s="3142"/>
      <c r="K33" s="3142"/>
      <c r="L33" s="3140">
        <f>'R.FILE GOC'!N83</f>
        <v>0</v>
      </c>
      <c r="M33" s="3142"/>
      <c r="N33" s="3142"/>
      <c r="O33" s="3141"/>
      <c r="P33" s="598"/>
    </row>
    <row r="34" spans="1:16" ht="45" hidden="1" customHeight="1">
      <c r="A34" s="2365">
        <v>2</v>
      </c>
      <c r="B34" s="3135" t="s">
        <v>524</v>
      </c>
      <c r="C34" s="3627"/>
      <c r="D34" s="3627"/>
      <c r="E34" s="3628"/>
      <c r="F34" s="248" t="s">
        <v>522</v>
      </c>
      <c r="G34" s="48" t="s">
        <v>525</v>
      </c>
      <c r="H34" s="3140">
        <f>'R.FILE GOC'!H84</f>
        <v>0</v>
      </c>
      <c r="I34" s="3142"/>
      <c r="J34" s="3142"/>
      <c r="K34" s="3142"/>
      <c r="L34" s="3140">
        <f>'R.FILE GOC'!N84</f>
        <v>0</v>
      </c>
      <c r="M34" s="3142"/>
      <c r="N34" s="3142"/>
      <c r="O34" s="3141"/>
      <c r="P34" s="406"/>
    </row>
  </sheetData>
  <sheetProtection formatCells="0" formatColumns="0" formatRows="0" insertColumns="0" insertRows="0" insertHyperlinks="0" deleteColumns="0" deleteRows="0" selectLockedCells="1" sort="0" autoFilter="0" pivotTables="0"/>
  <mergeCells count="112">
    <mergeCell ref="S30:V30"/>
    <mergeCell ref="Z30:AB30"/>
    <mergeCell ref="AD30:AF30"/>
    <mergeCell ref="S31:V31"/>
    <mergeCell ref="Z31:AB31"/>
    <mergeCell ref="AD31:AF31"/>
    <mergeCell ref="S28:V28"/>
    <mergeCell ref="Z28:AB28"/>
    <mergeCell ref="AD28:AF28"/>
    <mergeCell ref="S29:V29"/>
    <mergeCell ref="Z29:AB29"/>
    <mergeCell ref="AD29:AF29"/>
    <mergeCell ref="S26:V26"/>
    <mergeCell ref="Z26:AB26"/>
    <mergeCell ref="AD26:AF26"/>
    <mergeCell ref="S27:V27"/>
    <mergeCell ref="Z27:AB27"/>
    <mergeCell ref="AD27:AF27"/>
    <mergeCell ref="S22:V22"/>
    <mergeCell ref="S24:V24"/>
    <mergeCell ref="Z24:AB24"/>
    <mergeCell ref="AD24:AF24"/>
    <mergeCell ref="S25:V25"/>
    <mergeCell ref="Z25:AB25"/>
    <mergeCell ref="AD25:AF25"/>
    <mergeCell ref="S17:V17"/>
    <mergeCell ref="S18:V18"/>
    <mergeCell ref="S19:V19"/>
    <mergeCell ref="S20:V20"/>
    <mergeCell ref="S21:V21"/>
    <mergeCell ref="S12:V12"/>
    <mergeCell ref="S13:V13"/>
    <mergeCell ref="S14:V14"/>
    <mergeCell ref="S15:V15"/>
    <mergeCell ref="S16:V16"/>
    <mergeCell ref="S7:V7"/>
    <mergeCell ref="S8:V8"/>
    <mergeCell ref="S9:V9"/>
    <mergeCell ref="S10:V10"/>
    <mergeCell ref="S11:V11"/>
    <mergeCell ref="AG4:AG6"/>
    <mergeCell ref="Y5:AB5"/>
    <mergeCell ref="AC5:AF5"/>
    <mergeCell ref="Z6:AB6"/>
    <mergeCell ref="AD6:AF6"/>
    <mergeCell ref="R1:AA1"/>
    <mergeCell ref="R2:AD2"/>
    <mergeCell ref="AE2:AF2"/>
    <mergeCell ref="AE3:AF3"/>
    <mergeCell ref="R4:R6"/>
    <mergeCell ref="S4:V6"/>
    <mergeCell ref="W4:W6"/>
    <mergeCell ref="X4:X6"/>
    <mergeCell ref="A1:J1"/>
    <mergeCell ref="A2:M2"/>
    <mergeCell ref="N2:O2"/>
    <mergeCell ref="N3:O3"/>
    <mergeCell ref="A4:A6"/>
    <mergeCell ref="B4:E6"/>
    <mergeCell ref="F4:F6"/>
    <mergeCell ref="G4:G6"/>
    <mergeCell ref="B13:E13"/>
    <mergeCell ref="P4:P6"/>
    <mergeCell ref="H5:K5"/>
    <mergeCell ref="L5:O5"/>
    <mergeCell ref="I6:K6"/>
    <mergeCell ref="M6:O6"/>
    <mergeCell ref="B7:E7"/>
    <mergeCell ref="B8:E8"/>
    <mergeCell ref="B9:E9"/>
    <mergeCell ref="B10:E10"/>
    <mergeCell ref="B11:E11"/>
    <mergeCell ref="B12:E12"/>
    <mergeCell ref="M24:O24"/>
    <mergeCell ref="B14:E14"/>
    <mergeCell ref="B15:E15"/>
    <mergeCell ref="B16:E16"/>
    <mergeCell ref="B17:E17"/>
    <mergeCell ref="B18:E18"/>
    <mergeCell ref="B19:E19"/>
    <mergeCell ref="B20:E20"/>
    <mergeCell ref="B21:E21"/>
    <mergeCell ref="B22:E22"/>
    <mergeCell ref="B24:E24"/>
    <mergeCell ref="I24:K24"/>
    <mergeCell ref="B25:E25"/>
    <mergeCell ref="I25:K25"/>
    <mergeCell ref="M25:O25"/>
    <mergeCell ref="B26:E26"/>
    <mergeCell ref="I26:K26"/>
    <mergeCell ref="M26:O26"/>
    <mergeCell ref="B27:E27"/>
    <mergeCell ref="I27:K27"/>
    <mergeCell ref="M27:O27"/>
    <mergeCell ref="B28:E28"/>
    <mergeCell ref="I28:K28"/>
    <mergeCell ref="M28:O28"/>
    <mergeCell ref="B29:E29"/>
    <mergeCell ref="I29:K29"/>
    <mergeCell ref="M29:O29"/>
    <mergeCell ref="B30:E30"/>
    <mergeCell ref="I30:K30"/>
    <mergeCell ref="M30:O30"/>
    <mergeCell ref="B34:E34"/>
    <mergeCell ref="H34:K34"/>
    <mergeCell ref="L34:O34"/>
    <mergeCell ref="B31:E31"/>
    <mergeCell ref="I31:K31"/>
    <mergeCell ref="M31:O31"/>
    <mergeCell ref="B33:E33"/>
    <mergeCell ref="H33:K33"/>
    <mergeCell ref="L33:O33"/>
  </mergeCells>
  <phoneticPr fontId="7" type="noConversion"/>
  <conditionalFormatting sqref="H10">
    <cfRule type="expression" dxfId="1172" priority="607">
      <formula>H10&lt;5</formula>
    </cfRule>
    <cfRule type="expression" dxfId="1171" priority="608">
      <formula>H10&gt;15</formula>
    </cfRule>
  </conditionalFormatting>
  <conditionalFormatting sqref="H11">
    <cfRule type="expression" dxfId="1170" priority="606">
      <formula>H11&gt;1.5</formula>
    </cfRule>
  </conditionalFormatting>
  <conditionalFormatting sqref="H12">
    <cfRule type="expression" dxfId="1169" priority="604">
      <formula>H12&lt;20</formula>
    </cfRule>
    <cfRule type="expression" dxfId="1168" priority="605">
      <formula>H12&gt;25</formula>
    </cfRule>
  </conditionalFormatting>
  <conditionalFormatting sqref="H13">
    <cfRule type="expression" dxfId="1167" priority="602">
      <formula>H13&lt;6</formula>
    </cfRule>
    <cfRule type="expression" dxfId="1166" priority="603">
      <formula>H13&gt;9</formula>
    </cfRule>
  </conditionalFormatting>
  <conditionalFormatting sqref="H14">
    <cfRule type="expression" dxfId="1165" priority="600">
      <formula>H14&lt;7</formula>
    </cfRule>
    <cfRule type="expression" dxfId="1164" priority="601">
      <formula>H14&gt;10</formula>
    </cfRule>
  </conditionalFormatting>
  <conditionalFormatting sqref="H15">
    <cfRule type="expression" dxfId="1163" priority="598">
      <formula>H15&lt;5.3</formula>
    </cfRule>
    <cfRule type="expression" dxfId="1162" priority="599">
      <formula>H15&gt;6</formula>
    </cfRule>
  </conditionalFormatting>
  <conditionalFormatting sqref="H16">
    <cfRule type="expression" dxfId="1161" priority="596">
      <formula>H16&lt;5.3</formula>
    </cfRule>
    <cfRule type="expression" dxfId="1160" priority="597">
      <formula>H16&gt;6</formula>
    </cfRule>
  </conditionalFormatting>
  <conditionalFormatting sqref="H17">
    <cfRule type="expression" dxfId="1159" priority="594">
      <formula>H17&lt;12</formula>
    </cfRule>
    <cfRule type="expression" dxfId="1158" priority="595">
      <formula>H17&gt;18</formula>
    </cfRule>
  </conditionalFormatting>
  <conditionalFormatting sqref="H19">
    <cfRule type="expression" dxfId="1157" priority="592">
      <formula>H19&lt;12</formula>
    </cfRule>
    <cfRule type="expression" dxfId="1156" priority="593">
      <formula>H19&gt;18</formula>
    </cfRule>
  </conditionalFormatting>
  <conditionalFormatting sqref="H18">
    <cfRule type="expression" dxfId="1155" priority="590">
      <formula>H18&lt;8</formula>
    </cfRule>
    <cfRule type="expression" dxfId="1154" priority="591">
      <formula>H18&gt;16</formula>
    </cfRule>
  </conditionalFormatting>
  <conditionalFormatting sqref="H20">
    <cfRule type="expression" dxfId="1153" priority="588">
      <formula>H20&lt;8</formula>
    </cfRule>
    <cfRule type="expression" dxfId="1152" priority="589">
      <formula>H20&gt;16</formula>
    </cfRule>
  </conditionalFormatting>
  <conditionalFormatting sqref="L10">
    <cfRule type="expression" dxfId="1151" priority="586">
      <formula>L10&lt;5</formula>
    </cfRule>
    <cfRule type="expression" dxfId="1150" priority="587">
      <formula>L10&gt;15</formula>
    </cfRule>
  </conditionalFormatting>
  <conditionalFormatting sqref="L11">
    <cfRule type="expression" dxfId="1149" priority="585">
      <formula>L11&gt;1.5</formula>
    </cfRule>
  </conditionalFormatting>
  <conditionalFormatting sqref="L12">
    <cfRule type="expression" dxfId="1148" priority="583">
      <formula>L12&lt;20</formula>
    </cfRule>
    <cfRule type="expression" dxfId="1147" priority="584">
      <formula>L12&gt;25</formula>
    </cfRule>
  </conditionalFormatting>
  <conditionalFormatting sqref="L13">
    <cfRule type="expression" dxfId="1146" priority="581">
      <formula>L13&lt;6</formula>
    </cfRule>
    <cfRule type="expression" dxfId="1145" priority="582">
      <formula>L13&gt;9</formula>
    </cfRule>
  </conditionalFormatting>
  <conditionalFormatting sqref="L14">
    <cfRule type="expression" dxfId="1144" priority="579">
      <formula>L14&lt;7</formula>
    </cfRule>
    <cfRule type="expression" dxfId="1143" priority="580">
      <formula>L14&gt;10</formula>
    </cfRule>
  </conditionalFormatting>
  <conditionalFormatting sqref="L15">
    <cfRule type="expression" dxfId="1142" priority="577">
      <formula>L15&lt;5.3</formula>
    </cfRule>
    <cfRule type="expression" dxfId="1141" priority="578">
      <formula>L15&gt;6</formula>
    </cfRule>
  </conditionalFormatting>
  <conditionalFormatting sqref="L16">
    <cfRule type="expression" dxfId="1140" priority="575">
      <formula>L16&lt;5.3</formula>
    </cfRule>
    <cfRule type="expression" dxfId="1139" priority="576">
      <formula>L16&gt;6</formula>
    </cfRule>
  </conditionalFormatting>
  <conditionalFormatting sqref="L25">
    <cfRule type="expression" dxfId="1138" priority="565">
      <formula>L25&lt;51</formula>
    </cfRule>
    <cfRule type="expression" dxfId="1137" priority="566">
      <formula>L25&gt;59</formula>
    </cfRule>
  </conditionalFormatting>
  <conditionalFormatting sqref="L25">
    <cfRule type="expression" dxfId="1136" priority="564">
      <formula>L25&lt;1</formula>
    </cfRule>
  </conditionalFormatting>
  <conditionalFormatting sqref="L26:L27">
    <cfRule type="expression" dxfId="1135" priority="562">
      <formula>L26&lt;51</formula>
    </cfRule>
    <cfRule type="expression" dxfId="1134" priority="563">
      <formula>L26&gt;59</formula>
    </cfRule>
  </conditionalFormatting>
  <conditionalFormatting sqref="L26:L27">
    <cfRule type="expression" dxfId="1133" priority="561">
      <formula>L26&lt;1</formula>
    </cfRule>
  </conditionalFormatting>
  <conditionalFormatting sqref="L28">
    <cfRule type="expression" dxfId="1132" priority="559">
      <formula>L28&lt;30</formula>
    </cfRule>
    <cfRule type="expression" dxfId="1131" priority="560">
      <formula>L28&gt;40</formula>
    </cfRule>
  </conditionalFormatting>
  <conditionalFormatting sqref="L28">
    <cfRule type="expression" dxfId="1130" priority="558">
      <formula>L28&lt;1</formula>
    </cfRule>
  </conditionalFormatting>
  <conditionalFormatting sqref="L29">
    <cfRule type="expression" dxfId="1129" priority="556">
      <formula>L29&lt;26</formula>
    </cfRule>
    <cfRule type="expression" dxfId="1128" priority="557">
      <formula>L29&gt;32</formula>
    </cfRule>
  </conditionalFormatting>
  <conditionalFormatting sqref="L29">
    <cfRule type="expression" dxfId="1127" priority="555">
      <formula>L29&lt;1</formula>
    </cfRule>
  </conditionalFormatting>
  <conditionalFormatting sqref="L30">
    <cfRule type="expression" dxfId="1126" priority="553">
      <formula>L30&lt;26</formula>
    </cfRule>
    <cfRule type="expression" dxfId="1125" priority="554">
      <formula>L30&gt;32</formula>
    </cfRule>
  </conditionalFormatting>
  <conditionalFormatting sqref="L30">
    <cfRule type="expression" dxfId="1124" priority="552">
      <formula>L30&lt;1</formula>
    </cfRule>
  </conditionalFormatting>
  <conditionalFormatting sqref="H25">
    <cfRule type="expression" dxfId="1123" priority="550">
      <formula>H25&lt;51</formula>
    </cfRule>
    <cfRule type="expression" dxfId="1122" priority="551">
      <formula>H25&gt;59</formula>
    </cfRule>
  </conditionalFormatting>
  <conditionalFormatting sqref="H25">
    <cfRule type="expression" dxfId="1121" priority="549">
      <formula>H25&lt;1</formula>
    </cfRule>
  </conditionalFormatting>
  <conditionalFormatting sqref="H26:H27">
    <cfRule type="expression" dxfId="1120" priority="547">
      <formula>H26&lt;51</formula>
    </cfRule>
    <cfRule type="expression" dxfId="1119" priority="548">
      <formula>H26&gt;59</formula>
    </cfRule>
  </conditionalFormatting>
  <conditionalFormatting sqref="H26:H27">
    <cfRule type="expression" dxfId="1118" priority="546">
      <formula>H26&lt;1</formula>
    </cfRule>
  </conditionalFormatting>
  <conditionalFormatting sqref="H28">
    <cfRule type="expression" dxfId="1117" priority="544">
      <formula>H28&lt;30</formula>
    </cfRule>
    <cfRule type="expression" dxfId="1116" priority="545">
      <formula>H28&gt;40</formula>
    </cfRule>
  </conditionalFormatting>
  <conditionalFormatting sqref="H28">
    <cfRule type="expression" dxfId="1115" priority="543">
      <formula>H28&lt;1</formula>
    </cfRule>
  </conditionalFormatting>
  <conditionalFormatting sqref="H29">
    <cfRule type="expression" dxfId="1114" priority="541">
      <formula>H29&lt;26</formula>
    </cfRule>
    <cfRule type="expression" dxfId="1113" priority="542">
      <formula>H29&gt;32</formula>
    </cfRule>
  </conditionalFormatting>
  <conditionalFormatting sqref="H29">
    <cfRule type="expression" dxfId="1112" priority="540">
      <formula>H29&lt;1</formula>
    </cfRule>
  </conditionalFormatting>
  <conditionalFormatting sqref="H30">
    <cfRule type="expression" dxfId="1111" priority="538">
      <formula>H30&lt;26</formula>
    </cfRule>
    <cfRule type="expression" dxfId="1110" priority="539">
      <formula>H30&gt;32</formula>
    </cfRule>
  </conditionalFormatting>
  <conditionalFormatting sqref="H30">
    <cfRule type="expression" dxfId="1109" priority="537">
      <formula>H30&lt;1</formula>
    </cfRule>
  </conditionalFormatting>
  <conditionalFormatting sqref="I25:K25">
    <cfRule type="expression" dxfId="1108" priority="527">
      <formula>I25&lt;51</formula>
    </cfRule>
    <cfRule type="expression" dxfId="1107" priority="528">
      <formula>I25&gt;59</formula>
    </cfRule>
  </conditionalFormatting>
  <conditionalFormatting sqref="I25:K25">
    <cfRule type="expression" dxfId="1106" priority="526">
      <formula>I25&lt;1</formula>
    </cfRule>
  </conditionalFormatting>
  <conditionalFormatting sqref="I26:K27">
    <cfRule type="expression" dxfId="1105" priority="524">
      <formula>I26&lt;51</formula>
    </cfRule>
    <cfRule type="expression" dxfId="1104" priority="525">
      <formula>I26&gt;59</formula>
    </cfRule>
  </conditionalFormatting>
  <conditionalFormatting sqref="I26:K27">
    <cfRule type="expression" dxfId="1103" priority="523">
      <formula>I26&lt;1</formula>
    </cfRule>
  </conditionalFormatting>
  <conditionalFormatting sqref="I28:K28">
    <cfRule type="expression" dxfId="1102" priority="521">
      <formula>I28&lt;30</formula>
    </cfRule>
    <cfRule type="expression" dxfId="1101" priority="522">
      <formula>I28&gt;40</formula>
    </cfRule>
  </conditionalFormatting>
  <conditionalFormatting sqref="I28:K28">
    <cfRule type="expression" dxfId="1100" priority="520">
      <formula>I28&lt;1</formula>
    </cfRule>
  </conditionalFormatting>
  <conditionalFormatting sqref="I29:K29">
    <cfRule type="expression" dxfId="1099" priority="518">
      <formula>I29&lt;26</formula>
    </cfRule>
    <cfRule type="expression" dxfId="1098" priority="519">
      <formula>I29&gt;32</formula>
    </cfRule>
  </conditionalFormatting>
  <conditionalFormatting sqref="I29:K29">
    <cfRule type="expression" dxfId="1097" priority="517">
      <formula>I29&lt;1</formula>
    </cfRule>
  </conditionalFormatting>
  <conditionalFormatting sqref="I30:K30">
    <cfRule type="expression" dxfId="1096" priority="515">
      <formula>I30&lt;26</formula>
    </cfRule>
    <cfRule type="expression" dxfId="1095" priority="516">
      <formula>I30&gt;32</formula>
    </cfRule>
  </conditionalFormatting>
  <conditionalFormatting sqref="I30:K30">
    <cfRule type="expression" dxfId="1094" priority="514">
      <formula>I30&lt;1</formula>
    </cfRule>
  </conditionalFormatting>
  <conditionalFormatting sqref="I25:K25">
    <cfRule type="expression" dxfId="1093" priority="512">
      <formula>I25&lt;51</formula>
    </cfRule>
    <cfRule type="expression" dxfId="1092" priority="513">
      <formula>I25&gt;59</formula>
    </cfRule>
  </conditionalFormatting>
  <conditionalFormatting sqref="I25:K25">
    <cfRule type="expression" dxfId="1091" priority="511">
      <formula>I25&lt;1</formula>
    </cfRule>
  </conditionalFormatting>
  <conditionalFormatting sqref="I26:K27">
    <cfRule type="expression" dxfId="1090" priority="509">
      <formula>I26&lt;51</formula>
    </cfRule>
    <cfRule type="expression" dxfId="1089" priority="510">
      <formula>I26&gt;59</formula>
    </cfRule>
  </conditionalFormatting>
  <conditionalFormatting sqref="I26:K27">
    <cfRule type="expression" dxfId="1088" priority="508">
      <formula>I26&lt;1</formula>
    </cfRule>
  </conditionalFormatting>
  <conditionalFormatting sqref="I28:K28">
    <cfRule type="expression" dxfId="1087" priority="506">
      <formula>I28&lt;30</formula>
    </cfRule>
    <cfRule type="expression" dxfId="1086" priority="507">
      <formula>I28&gt;40</formula>
    </cfRule>
  </conditionalFormatting>
  <conditionalFormatting sqref="I28:K28">
    <cfRule type="expression" dxfId="1085" priority="505">
      <formula>I28&lt;1</formula>
    </cfRule>
  </conditionalFormatting>
  <conditionalFormatting sqref="I29:K29">
    <cfRule type="expression" dxfId="1084" priority="503">
      <formula>I29&lt;26</formula>
    </cfRule>
    <cfRule type="expression" dxfId="1083" priority="504">
      <formula>I29&gt;32</formula>
    </cfRule>
  </conditionalFormatting>
  <conditionalFormatting sqref="I29:K29">
    <cfRule type="expression" dxfId="1082" priority="502">
      <formula>I29&lt;1</formula>
    </cfRule>
  </conditionalFormatting>
  <conditionalFormatting sqref="I30:K30">
    <cfRule type="expression" dxfId="1081" priority="500">
      <formula>I30&lt;26</formula>
    </cfRule>
    <cfRule type="expression" dxfId="1080" priority="501">
      <formula>I30&gt;32</formula>
    </cfRule>
  </conditionalFormatting>
  <conditionalFormatting sqref="I30:K30">
    <cfRule type="expression" dxfId="1079" priority="499">
      <formula>I30&lt;1</formula>
    </cfRule>
  </conditionalFormatting>
  <conditionalFormatting sqref="I31">
    <cfRule type="expression" dxfId="1078" priority="497">
      <formula>I31&lt;170</formula>
    </cfRule>
    <cfRule type="expression" dxfId="1077" priority="498">
      <formula>I31&gt;220</formula>
    </cfRule>
  </conditionalFormatting>
  <conditionalFormatting sqref="I31">
    <cfRule type="expression" dxfId="1076" priority="496">
      <formula>I31&lt;1</formula>
    </cfRule>
  </conditionalFormatting>
  <conditionalFormatting sqref="M25:O25">
    <cfRule type="expression" dxfId="1075" priority="494">
      <formula>M25&lt;51</formula>
    </cfRule>
    <cfRule type="expression" dxfId="1074" priority="495">
      <formula>M25&gt;59</formula>
    </cfRule>
  </conditionalFormatting>
  <conditionalFormatting sqref="M25:O25">
    <cfRule type="expression" dxfId="1073" priority="493">
      <formula>M25&lt;1</formula>
    </cfRule>
  </conditionalFormatting>
  <conditionalFormatting sqref="M26:O27">
    <cfRule type="expression" dxfId="1072" priority="491">
      <formula>M26&lt;51</formula>
    </cfRule>
    <cfRule type="expression" dxfId="1071" priority="492">
      <formula>M26&gt;59</formula>
    </cfRule>
  </conditionalFormatting>
  <conditionalFormatting sqref="M26:O27">
    <cfRule type="expression" dxfId="1070" priority="490">
      <formula>M26&lt;1</formula>
    </cfRule>
  </conditionalFormatting>
  <conditionalFormatting sqref="M28:O28">
    <cfRule type="expression" dxfId="1069" priority="488">
      <formula>M28&lt;30</formula>
    </cfRule>
    <cfRule type="expression" dxfId="1068" priority="489">
      <formula>M28&gt;40</formula>
    </cfRule>
  </conditionalFormatting>
  <conditionalFormatting sqref="M28:O28">
    <cfRule type="expression" dxfId="1067" priority="487">
      <formula>M28&lt;1</formula>
    </cfRule>
  </conditionalFormatting>
  <conditionalFormatting sqref="M29:O29">
    <cfRule type="expression" dxfId="1066" priority="485">
      <formula>M29&lt;26</formula>
    </cfRule>
    <cfRule type="expression" dxfId="1065" priority="486">
      <formula>M29&gt;32</formula>
    </cfRule>
  </conditionalFormatting>
  <conditionalFormatting sqref="M29:O29">
    <cfRule type="expression" dxfId="1064" priority="484">
      <formula>M29&lt;1</formula>
    </cfRule>
  </conditionalFormatting>
  <conditionalFormatting sqref="M30:O30">
    <cfRule type="expression" dxfId="1063" priority="482">
      <formula>M30&lt;26</formula>
    </cfRule>
    <cfRule type="expression" dxfId="1062" priority="483">
      <formula>M30&gt;32</formula>
    </cfRule>
  </conditionalFormatting>
  <conditionalFormatting sqref="M30:O30">
    <cfRule type="expression" dxfId="1061" priority="481">
      <formula>M30&lt;1</formula>
    </cfRule>
  </conditionalFormatting>
  <conditionalFormatting sqref="M25:O25">
    <cfRule type="expression" dxfId="1060" priority="479">
      <formula>M25&lt;51</formula>
    </cfRule>
    <cfRule type="expression" dxfId="1059" priority="480">
      <formula>M25&gt;59</formula>
    </cfRule>
  </conditionalFormatting>
  <conditionalFormatting sqref="M25:O25">
    <cfRule type="expression" dxfId="1058" priority="478">
      <formula>M25&lt;1</formula>
    </cfRule>
  </conditionalFormatting>
  <conditionalFormatting sqref="M26:O27">
    <cfRule type="expression" dxfId="1057" priority="476">
      <formula>M26&lt;51</formula>
    </cfRule>
    <cfRule type="expression" dxfId="1056" priority="477">
      <formula>M26&gt;59</formula>
    </cfRule>
  </conditionalFormatting>
  <conditionalFormatting sqref="M26:O27">
    <cfRule type="expression" dxfId="1055" priority="475">
      <formula>M26&lt;1</formula>
    </cfRule>
  </conditionalFormatting>
  <conditionalFormatting sqref="M28:O28">
    <cfRule type="expression" dxfId="1054" priority="473">
      <formula>M28&lt;30</formula>
    </cfRule>
    <cfRule type="expression" dxfId="1053" priority="474">
      <formula>M28&gt;40</formula>
    </cfRule>
  </conditionalFormatting>
  <conditionalFormatting sqref="M28:O28">
    <cfRule type="expression" dxfId="1052" priority="472">
      <formula>M28&lt;1</formula>
    </cfRule>
  </conditionalFormatting>
  <conditionalFormatting sqref="M29:O29">
    <cfRule type="expression" dxfId="1051" priority="470">
      <formula>M29&lt;26</formula>
    </cfRule>
    <cfRule type="expression" dxfId="1050" priority="471">
      <formula>M29&gt;32</formula>
    </cfRule>
  </conditionalFormatting>
  <conditionalFormatting sqref="M29:O29">
    <cfRule type="expression" dxfId="1049" priority="469">
      <formula>M29&lt;1</formula>
    </cfRule>
  </conditionalFormatting>
  <conditionalFormatting sqref="M30:O30">
    <cfRule type="expression" dxfId="1048" priority="467">
      <formula>M30&lt;26</formula>
    </cfRule>
    <cfRule type="expression" dxfId="1047" priority="468">
      <formula>M30&gt;32</formula>
    </cfRule>
  </conditionalFormatting>
  <conditionalFormatting sqref="M30:O30">
    <cfRule type="expression" dxfId="1046" priority="466">
      <formula>M30&lt;1</formula>
    </cfRule>
  </conditionalFormatting>
  <conditionalFormatting sqref="M31">
    <cfRule type="expression" dxfId="1045" priority="464">
      <formula>M31&lt;170</formula>
    </cfRule>
    <cfRule type="expression" dxfId="1044" priority="465">
      <formula>M31&gt;220</formula>
    </cfRule>
  </conditionalFormatting>
  <conditionalFormatting sqref="M31">
    <cfRule type="expression" dxfId="1043" priority="463">
      <formula>M31&lt;1</formula>
    </cfRule>
  </conditionalFormatting>
  <conditionalFormatting sqref="H7">
    <cfRule type="expression" dxfId="1042" priority="429">
      <formula>H7&lt;10</formula>
    </cfRule>
    <cfRule type="expression" dxfId="1041" priority="430">
      <formula>H7&gt;20</formula>
    </cfRule>
  </conditionalFormatting>
  <conditionalFormatting sqref="L7">
    <cfRule type="expression" dxfId="1040" priority="427">
      <formula>L7&lt;10</formula>
    </cfRule>
    <cfRule type="expression" dxfId="1039" priority="428">
      <formula>L7&gt;20</formula>
    </cfRule>
  </conditionalFormatting>
  <conditionalFormatting sqref="H8">
    <cfRule type="cellIs" dxfId="1038" priority="415" operator="between">
      <formula>40</formula>
      <formula>44.99</formula>
    </cfRule>
    <cfRule type="cellIs" dxfId="1037" priority="416" operator="between">
      <formula>55.1</formula>
      <formula>60</formula>
    </cfRule>
    <cfRule type="expression" dxfId="1036" priority="417">
      <formula>H8&lt;40</formula>
    </cfRule>
    <cfRule type="expression" dxfId="1035" priority="418">
      <formula>H8&gt;60</formula>
    </cfRule>
  </conditionalFormatting>
  <conditionalFormatting sqref="H9">
    <cfRule type="cellIs" dxfId="1034" priority="411" operator="between">
      <formula>40</formula>
      <formula>44.99</formula>
    </cfRule>
    <cfRule type="cellIs" dxfId="1033" priority="412" operator="between">
      <formula>55.1</formula>
      <formula>60</formula>
    </cfRule>
    <cfRule type="expression" dxfId="1032" priority="413">
      <formula>H9&lt;40</formula>
    </cfRule>
    <cfRule type="expression" dxfId="1031" priority="414">
      <formula>H9&gt;60</formula>
    </cfRule>
  </conditionalFormatting>
  <conditionalFormatting sqref="L8">
    <cfRule type="cellIs" dxfId="1030" priority="407" operator="between">
      <formula>40</formula>
      <formula>44.99</formula>
    </cfRule>
    <cfRule type="cellIs" dxfId="1029" priority="408" operator="between">
      <formula>55.1</formula>
      <formula>60</formula>
    </cfRule>
    <cfRule type="expression" dxfId="1028" priority="409">
      <formula>L8&lt;40</formula>
    </cfRule>
    <cfRule type="expression" dxfId="1027" priority="410">
      <formula>L8&gt;60</formula>
    </cfRule>
  </conditionalFormatting>
  <conditionalFormatting sqref="L9">
    <cfRule type="cellIs" dxfId="1026" priority="403" operator="between">
      <formula>40</formula>
      <formula>44.99</formula>
    </cfRule>
    <cfRule type="cellIs" dxfId="1025" priority="404" operator="between">
      <formula>55.1</formula>
      <formula>60</formula>
    </cfRule>
    <cfRule type="expression" dxfId="1024" priority="405">
      <formula>L9&lt;40</formula>
    </cfRule>
    <cfRule type="expression" dxfId="1023" priority="406">
      <formula>L9&gt;60</formula>
    </cfRule>
  </conditionalFormatting>
  <conditionalFormatting sqref="Y13">
    <cfRule type="expression" dxfId="1022" priority="396">
      <formula>Y13&lt;6</formula>
    </cfRule>
    <cfRule type="expression" dxfId="1021" priority="397">
      <formula>Y13&gt;9</formula>
    </cfRule>
  </conditionalFormatting>
  <conditionalFormatting sqref="Y14">
    <cfRule type="expression" dxfId="1020" priority="394">
      <formula>Y14&lt;7</formula>
    </cfRule>
    <cfRule type="expression" dxfId="1019" priority="395">
      <formula>Y14&gt;10</formula>
    </cfRule>
  </conditionalFormatting>
  <conditionalFormatting sqref="Y15">
    <cfRule type="expression" dxfId="1018" priority="392">
      <formula>Y15&lt;5.3</formula>
    </cfRule>
    <cfRule type="expression" dxfId="1017" priority="393">
      <formula>Y15&gt;6</formula>
    </cfRule>
  </conditionalFormatting>
  <conditionalFormatting sqref="Y16">
    <cfRule type="expression" dxfId="1016" priority="390">
      <formula>Y16&lt;5.3</formula>
    </cfRule>
    <cfRule type="expression" dxfId="1015" priority="391">
      <formula>Y16&gt;6</formula>
    </cfRule>
  </conditionalFormatting>
  <conditionalFormatting sqref="Y17">
    <cfRule type="expression" dxfId="1014" priority="388">
      <formula>Y17&lt;12</formula>
    </cfRule>
    <cfRule type="expression" dxfId="1013" priority="389">
      <formula>Y17&gt;18</formula>
    </cfRule>
  </conditionalFormatting>
  <conditionalFormatting sqref="Y19">
    <cfRule type="expression" dxfId="1012" priority="386">
      <formula>Y19&lt;12</formula>
    </cfRule>
    <cfRule type="expression" dxfId="1011" priority="387">
      <formula>Y19&gt;18</formula>
    </cfRule>
  </conditionalFormatting>
  <conditionalFormatting sqref="Y18">
    <cfRule type="expression" dxfId="1010" priority="384">
      <formula>Y18&lt;8</formula>
    </cfRule>
    <cfRule type="expression" dxfId="1009" priority="385">
      <formula>Y18&gt;16</formula>
    </cfRule>
  </conditionalFormatting>
  <conditionalFormatting sqref="Y20">
    <cfRule type="expression" dxfId="1008" priority="382">
      <formula>Y20&lt;8</formula>
    </cfRule>
    <cfRule type="expression" dxfId="1007" priority="383">
      <formula>Y20&gt;16</formula>
    </cfRule>
  </conditionalFormatting>
  <conditionalFormatting sqref="AC13">
    <cfRule type="expression" dxfId="1006" priority="375">
      <formula>AC13&lt;6</formula>
    </cfRule>
    <cfRule type="expression" dxfId="1005" priority="376">
      <formula>AC13&gt;9</formula>
    </cfRule>
  </conditionalFormatting>
  <conditionalFormatting sqref="AC14">
    <cfRule type="expression" dxfId="1004" priority="373">
      <formula>AC14&lt;7</formula>
    </cfRule>
    <cfRule type="expression" dxfId="1003" priority="374">
      <formula>AC14&gt;10</formula>
    </cfRule>
  </conditionalFormatting>
  <conditionalFormatting sqref="AC15">
    <cfRule type="expression" dxfId="1002" priority="371">
      <formula>AC15&lt;5.3</formula>
    </cfRule>
    <cfRule type="expression" dxfId="1001" priority="372">
      <formula>AC15&gt;6</formula>
    </cfRule>
  </conditionalFormatting>
  <conditionalFormatting sqref="AC16">
    <cfRule type="expression" dxfId="1000" priority="369">
      <formula>AC16&lt;5.3</formula>
    </cfRule>
    <cfRule type="expression" dxfId="999" priority="370">
      <formula>AC16&gt;6</formula>
    </cfRule>
  </conditionalFormatting>
  <conditionalFormatting sqref="AC25">
    <cfRule type="expression" dxfId="998" priority="251">
      <formula>AC25&lt;51</formula>
    </cfRule>
    <cfRule type="expression" dxfId="997" priority="252">
      <formula>AC25&gt;59</formula>
    </cfRule>
  </conditionalFormatting>
  <conditionalFormatting sqref="AC25">
    <cfRule type="expression" dxfId="996" priority="250">
      <formula>AC25&lt;1</formula>
    </cfRule>
  </conditionalFormatting>
  <conditionalFormatting sqref="AC26:AC27">
    <cfRule type="expression" dxfId="995" priority="248">
      <formula>AC26&lt;51</formula>
    </cfRule>
    <cfRule type="expression" dxfId="994" priority="249">
      <formula>AC26&gt;59</formula>
    </cfRule>
  </conditionalFormatting>
  <conditionalFormatting sqref="AC26:AC27">
    <cfRule type="expression" dxfId="993" priority="247">
      <formula>AC26&lt;1</formula>
    </cfRule>
  </conditionalFormatting>
  <conditionalFormatting sqref="AC28">
    <cfRule type="expression" dxfId="992" priority="245">
      <formula>AC28&lt;30</formula>
    </cfRule>
    <cfRule type="expression" dxfId="991" priority="246">
      <formula>AC28&gt;40</formula>
    </cfRule>
  </conditionalFormatting>
  <conditionalFormatting sqref="AC28">
    <cfRule type="expression" dxfId="990" priority="244">
      <formula>AC28&lt;1</formula>
    </cfRule>
  </conditionalFormatting>
  <conditionalFormatting sqref="AC29">
    <cfRule type="expression" dxfId="989" priority="242">
      <formula>AC29&lt;26</formula>
    </cfRule>
    <cfRule type="expression" dxfId="988" priority="243">
      <formula>AC29&gt;32</formula>
    </cfRule>
  </conditionalFormatting>
  <conditionalFormatting sqref="AC29">
    <cfRule type="expression" dxfId="987" priority="241">
      <formula>AC29&lt;1</formula>
    </cfRule>
  </conditionalFormatting>
  <conditionalFormatting sqref="AC30">
    <cfRule type="expression" dxfId="986" priority="239">
      <formula>AC30&lt;26</formula>
    </cfRule>
    <cfRule type="expression" dxfId="985" priority="240">
      <formula>AC30&gt;32</formula>
    </cfRule>
  </conditionalFormatting>
  <conditionalFormatting sqref="AC30">
    <cfRule type="expression" dxfId="984" priority="238">
      <formula>AC30&lt;1</formula>
    </cfRule>
  </conditionalFormatting>
  <conditionalFormatting sqref="Y25">
    <cfRule type="expression" dxfId="983" priority="236">
      <formula>Y25&lt;51</formula>
    </cfRule>
    <cfRule type="expression" dxfId="982" priority="237">
      <formula>Y25&gt;59</formula>
    </cfRule>
  </conditionalFormatting>
  <conditionalFormatting sqref="Y25">
    <cfRule type="expression" dxfId="981" priority="235">
      <formula>Y25&lt;1</formula>
    </cfRule>
  </conditionalFormatting>
  <conditionalFormatting sqref="Y26:Y27">
    <cfRule type="expression" dxfId="980" priority="233">
      <formula>Y26&lt;51</formula>
    </cfRule>
    <cfRule type="expression" dxfId="979" priority="234">
      <formula>Y26&gt;59</formula>
    </cfRule>
  </conditionalFormatting>
  <conditionalFormatting sqref="Y26:Y27">
    <cfRule type="expression" dxfId="978" priority="232">
      <formula>Y26&lt;1</formula>
    </cfRule>
  </conditionalFormatting>
  <conditionalFormatting sqref="Y28">
    <cfRule type="expression" dxfId="977" priority="230">
      <formula>Y28&lt;30</formula>
    </cfRule>
    <cfRule type="expression" dxfId="976" priority="231">
      <formula>Y28&gt;40</formula>
    </cfRule>
  </conditionalFormatting>
  <conditionalFormatting sqref="Y28">
    <cfRule type="expression" dxfId="975" priority="229">
      <formula>Y28&lt;1</formula>
    </cfRule>
  </conditionalFormatting>
  <conditionalFormatting sqref="Y29">
    <cfRule type="expression" dxfId="974" priority="227">
      <formula>Y29&lt;26</formula>
    </cfRule>
    <cfRule type="expression" dxfId="973" priority="228">
      <formula>Y29&gt;32</formula>
    </cfRule>
  </conditionalFormatting>
  <conditionalFormatting sqref="Y29">
    <cfRule type="expression" dxfId="972" priority="226">
      <formula>Y29&lt;1</formula>
    </cfRule>
  </conditionalFormatting>
  <conditionalFormatting sqref="Y30">
    <cfRule type="expression" dxfId="971" priority="224">
      <formula>Y30&lt;26</formula>
    </cfRule>
    <cfRule type="expression" dxfId="970" priority="225">
      <formula>Y30&gt;32</formula>
    </cfRule>
  </conditionalFormatting>
  <conditionalFormatting sqref="Y30">
    <cfRule type="expression" dxfId="969" priority="223">
      <formula>Y30&lt;1</formula>
    </cfRule>
  </conditionalFormatting>
  <conditionalFormatting sqref="Z25:AB25">
    <cfRule type="expression" dxfId="968" priority="221">
      <formula>Z25&lt;51</formula>
    </cfRule>
    <cfRule type="expression" dxfId="967" priority="222">
      <formula>Z25&gt;59</formula>
    </cfRule>
  </conditionalFormatting>
  <conditionalFormatting sqref="Z25:AB25">
    <cfRule type="expression" dxfId="966" priority="220">
      <formula>Z25&lt;1</formula>
    </cfRule>
  </conditionalFormatting>
  <conditionalFormatting sqref="Z26:AB27">
    <cfRule type="expression" dxfId="965" priority="218">
      <formula>Z26&lt;51</formula>
    </cfRule>
    <cfRule type="expression" dxfId="964" priority="219">
      <formula>Z26&gt;59</formula>
    </cfRule>
  </conditionalFormatting>
  <conditionalFormatting sqref="Z26:AB27">
    <cfRule type="expression" dxfId="963" priority="217">
      <formula>Z26&lt;1</formula>
    </cfRule>
  </conditionalFormatting>
  <conditionalFormatting sqref="Z28:AB28">
    <cfRule type="expression" dxfId="962" priority="215">
      <formula>Z28&lt;30</formula>
    </cfRule>
    <cfRule type="expression" dxfId="961" priority="216">
      <formula>Z28&gt;40</formula>
    </cfRule>
  </conditionalFormatting>
  <conditionalFormatting sqref="Z28:AB28">
    <cfRule type="expression" dxfId="960" priority="214">
      <formula>Z28&lt;1</formula>
    </cfRule>
  </conditionalFormatting>
  <conditionalFormatting sqref="Z29:AB29">
    <cfRule type="expression" dxfId="959" priority="212">
      <formula>Z29&lt;26</formula>
    </cfRule>
    <cfRule type="expression" dxfId="958" priority="213">
      <formula>Z29&gt;32</formula>
    </cfRule>
  </conditionalFormatting>
  <conditionalFormatting sqref="Z29:AB29">
    <cfRule type="expression" dxfId="957" priority="211">
      <formula>Z29&lt;1</formula>
    </cfRule>
  </conditionalFormatting>
  <conditionalFormatting sqref="Z30:AB30">
    <cfRule type="expression" dxfId="956" priority="209">
      <formula>Z30&lt;26</formula>
    </cfRule>
    <cfRule type="expression" dxfId="955" priority="210">
      <formula>Z30&gt;32</formula>
    </cfRule>
  </conditionalFormatting>
  <conditionalFormatting sqref="Z30:AB30">
    <cfRule type="expression" dxfId="954" priority="208">
      <formula>Z30&lt;1</formula>
    </cfRule>
  </conditionalFormatting>
  <conditionalFormatting sqref="Z25:AB25">
    <cfRule type="expression" dxfId="953" priority="206">
      <formula>Z25&lt;51</formula>
    </cfRule>
    <cfRule type="expression" dxfId="952" priority="207">
      <formula>Z25&gt;59</formula>
    </cfRule>
  </conditionalFormatting>
  <conditionalFormatting sqref="Z25:AB25">
    <cfRule type="expression" dxfId="951" priority="205">
      <formula>Z25&lt;1</formula>
    </cfRule>
  </conditionalFormatting>
  <conditionalFormatting sqref="Z26:AB27">
    <cfRule type="expression" dxfId="950" priority="203">
      <formula>Z26&lt;51</formula>
    </cfRule>
    <cfRule type="expression" dxfId="949" priority="204">
      <formula>Z26&gt;59</formula>
    </cfRule>
  </conditionalFormatting>
  <conditionalFormatting sqref="Z26:AB27">
    <cfRule type="expression" dxfId="948" priority="202">
      <formula>Z26&lt;1</formula>
    </cfRule>
  </conditionalFormatting>
  <conditionalFormatting sqref="Z28:AB28">
    <cfRule type="expression" dxfId="947" priority="200">
      <formula>Z28&lt;30</formula>
    </cfRule>
    <cfRule type="expression" dxfId="946" priority="201">
      <formula>Z28&gt;40</formula>
    </cfRule>
  </conditionalFormatting>
  <conditionalFormatting sqref="Z28:AB28">
    <cfRule type="expression" dxfId="945" priority="199">
      <formula>Z28&lt;1</formula>
    </cfRule>
  </conditionalFormatting>
  <conditionalFormatting sqref="Z29:AB29">
    <cfRule type="expression" dxfId="944" priority="197">
      <formula>Z29&lt;26</formula>
    </cfRule>
    <cfRule type="expression" dxfId="943" priority="198">
      <formula>Z29&gt;32</formula>
    </cfRule>
  </conditionalFormatting>
  <conditionalFormatting sqref="Z29:AB29">
    <cfRule type="expression" dxfId="942" priority="196">
      <formula>Z29&lt;1</formula>
    </cfRule>
  </conditionalFormatting>
  <conditionalFormatting sqref="Z30:AB30">
    <cfRule type="expression" dxfId="941" priority="194">
      <formula>Z30&lt;26</formula>
    </cfRule>
    <cfRule type="expression" dxfId="940" priority="195">
      <formula>Z30&gt;32</formula>
    </cfRule>
  </conditionalFormatting>
  <conditionalFormatting sqref="Z30:AB30">
    <cfRule type="expression" dxfId="939" priority="193">
      <formula>Z30&lt;1</formula>
    </cfRule>
  </conditionalFormatting>
  <conditionalFormatting sqref="Z31">
    <cfRule type="expression" dxfId="938" priority="191">
      <formula>Z31&lt;170</formula>
    </cfRule>
    <cfRule type="expression" dxfId="937" priority="192">
      <formula>Z31&gt;220</formula>
    </cfRule>
  </conditionalFormatting>
  <conditionalFormatting sqref="Z31">
    <cfRule type="expression" dxfId="936" priority="190">
      <formula>Z31&lt;1</formula>
    </cfRule>
  </conditionalFormatting>
  <conditionalFormatting sqref="AD25:AF25">
    <cfRule type="expression" dxfId="935" priority="188">
      <formula>AD25&lt;51</formula>
    </cfRule>
    <cfRule type="expression" dxfId="934" priority="189">
      <formula>AD25&gt;59</formula>
    </cfRule>
  </conditionalFormatting>
  <conditionalFormatting sqref="AD25:AF25">
    <cfRule type="expression" dxfId="933" priority="187">
      <formula>AD25&lt;1</formula>
    </cfRule>
  </conditionalFormatting>
  <conditionalFormatting sqref="AD26:AF27">
    <cfRule type="expression" dxfId="932" priority="185">
      <formula>AD26&lt;51</formula>
    </cfRule>
    <cfRule type="expression" dxfId="931" priority="186">
      <formula>AD26&gt;59</formula>
    </cfRule>
  </conditionalFormatting>
  <conditionalFormatting sqref="AD26:AF27">
    <cfRule type="expression" dxfId="930" priority="184">
      <formula>AD26&lt;1</formula>
    </cfRule>
  </conditionalFormatting>
  <conditionalFormatting sqref="AD28:AF28">
    <cfRule type="expression" dxfId="929" priority="182">
      <formula>AD28&lt;30</formula>
    </cfRule>
    <cfRule type="expression" dxfId="928" priority="183">
      <formula>AD28&gt;40</formula>
    </cfRule>
  </conditionalFormatting>
  <conditionalFormatting sqref="AD28:AF28">
    <cfRule type="expression" dxfId="927" priority="181">
      <formula>AD28&lt;1</formula>
    </cfRule>
  </conditionalFormatting>
  <conditionalFormatting sqref="AD29:AF29">
    <cfRule type="expression" dxfId="926" priority="179">
      <formula>AD29&lt;26</formula>
    </cfRule>
    <cfRule type="expression" dxfId="925" priority="180">
      <formula>AD29&gt;32</formula>
    </cfRule>
  </conditionalFormatting>
  <conditionalFormatting sqref="AD29:AF29">
    <cfRule type="expression" dxfId="924" priority="178">
      <formula>AD29&lt;1</formula>
    </cfRule>
  </conditionalFormatting>
  <conditionalFormatting sqref="AD30:AF30">
    <cfRule type="expression" dxfId="923" priority="176">
      <formula>AD30&lt;26</formula>
    </cfRule>
    <cfRule type="expression" dxfId="922" priority="177">
      <formula>AD30&gt;32</formula>
    </cfRule>
  </conditionalFormatting>
  <conditionalFormatting sqref="AD30:AF30">
    <cfRule type="expression" dxfId="921" priority="175">
      <formula>AD30&lt;1</formula>
    </cfRule>
  </conditionalFormatting>
  <conditionalFormatting sqref="AD25:AF25">
    <cfRule type="expression" dxfId="920" priority="173">
      <formula>AD25&lt;51</formula>
    </cfRule>
    <cfRule type="expression" dxfId="919" priority="174">
      <formula>AD25&gt;59</formula>
    </cfRule>
  </conditionalFormatting>
  <conditionalFormatting sqref="AD25:AF25">
    <cfRule type="expression" dxfId="918" priority="172">
      <formula>AD25&lt;1</formula>
    </cfRule>
  </conditionalFormatting>
  <conditionalFormatting sqref="AD26:AF27">
    <cfRule type="expression" dxfId="917" priority="170">
      <formula>AD26&lt;51</formula>
    </cfRule>
    <cfRule type="expression" dxfId="916" priority="171">
      <formula>AD26&gt;59</formula>
    </cfRule>
  </conditionalFormatting>
  <conditionalFormatting sqref="AD26:AF27">
    <cfRule type="expression" dxfId="915" priority="169">
      <formula>AD26&lt;1</formula>
    </cfRule>
  </conditionalFormatting>
  <conditionalFormatting sqref="AD28:AF28">
    <cfRule type="expression" dxfId="914" priority="167">
      <formula>AD28&lt;30</formula>
    </cfRule>
    <cfRule type="expression" dxfId="913" priority="168">
      <formula>AD28&gt;40</formula>
    </cfRule>
  </conditionalFormatting>
  <conditionalFormatting sqref="AD28:AF28">
    <cfRule type="expression" dxfId="912" priority="166">
      <formula>AD28&lt;1</formula>
    </cfRule>
  </conditionalFormatting>
  <conditionalFormatting sqref="AD29:AF29">
    <cfRule type="expression" dxfId="911" priority="164">
      <formula>AD29&lt;26</formula>
    </cfRule>
    <cfRule type="expression" dxfId="910" priority="165">
      <formula>AD29&gt;32</formula>
    </cfRule>
  </conditionalFormatting>
  <conditionalFormatting sqref="AD29:AF29">
    <cfRule type="expression" dxfId="909" priority="163">
      <formula>AD29&lt;1</formula>
    </cfRule>
  </conditionalFormatting>
  <conditionalFormatting sqref="AD30:AF30">
    <cfRule type="expression" dxfId="908" priority="161">
      <formula>AD30&lt;26</formula>
    </cfRule>
    <cfRule type="expression" dxfId="907" priority="162">
      <formula>AD30&gt;32</formula>
    </cfRule>
  </conditionalFormatting>
  <conditionalFormatting sqref="AD30:AF30">
    <cfRule type="expression" dxfId="906" priority="160">
      <formula>AD30&lt;1</formula>
    </cfRule>
  </conditionalFormatting>
  <conditionalFormatting sqref="AD31">
    <cfRule type="expression" dxfId="905" priority="158">
      <formula>AD31&lt;170</formula>
    </cfRule>
    <cfRule type="expression" dxfId="904" priority="159">
      <formula>AD31&gt;220</formula>
    </cfRule>
  </conditionalFormatting>
  <conditionalFormatting sqref="AD31">
    <cfRule type="expression" dxfId="903" priority="157">
      <formula>AD31&lt;1</formula>
    </cfRule>
  </conditionalFormatting>
  <conditionalFormatting sqref="AC25">
    <cfRule type="expression" dxfId="902" priority="155">
      <formula>AC25&lt;51</formula>
    </cfRule>
    <cfRule type="expression" dxfId="901" priority="156">
      <formula>AC25&gt;59</formula>
    </cfRule>
  </conditionalFormatting>
  <conditionalFormatting sqref="AC25">
    <cfRule type="expression" dxfId="900" priority="154">
      <formula>AC25&lt;1</formula>
    </cfRule>
  </conditionalFormatting>
  <conditionalFormatting sqref="AC26:AC27">
    <cfRule type="expression" dxfId="899" priority="152">
      <formula>AC26&lt;51</formula>
    </cfRule>
    <cfRule type="expression" dxfId="898" priority="153">
      <formula>AC26&gt;59</formula>
    </cfRule>
  </conditionalFormatting>
  <conditionalFormatting sqref="AC26:AC27">
    <cfRule type="expression" dxfId="897" priority="151">
      <formula>AC26&lt;1</formula>
    </cfRule>
  </conditionalFormatting>
  <conditionalFormatting sqref="AC28">
    <cfRule type="expression" dxfId="896" priority="149">
      <formula>AC28&lt;30</formula>
    </cfRule>
    <cfRule type="expression" dxfId="895" priority="150">
      <formula>AC28&gt;40</formula>
    </cfRule>
  </conditionalFormatting>
  <conditionalFormatting sqref="AC28">
    <cfRule type="expression" dxfId="894" priority="148">
      <formula>AC28&lt;1</formula>
    </cfRule>
  </conditionalFormatting>
  <conditionalFormatting sqref="AC29">
    <cfRule type="expression" dxfId="893" priority="146">
      <formula>AC29&lt;26</formula>
    </cfRule>
    <cfRule type="expression" dxfId="892" priority="147">
      <formula>AC29&gt;32</formula>
    </cfRule>
  </conditionalFormatting>
  <conditionalFormatting sqref="AC29">
    <cfRule type="expression" dxfId="891" priority="145">
      <formula>AC29&lt;1</formula>
    </cfRule>
  </conditionalFormatting>
  <conditionalFormatting sqref="AC30">
    <cfRule type="expression" dxfId="890" priority="143">
      <formula>AC30&lt;26</formula>
    </cfRule>
    <cfRule type="expression" dxfId="889" priority="144">
      <formula>AC30&gt;32</formula>
    </cfRule>
  </conditionalFormatting>
  <conditionalFormatting sqref="AC30">
    <cfRule type="expression" dxfId="888" priority="142">
      <formula>AC30&lt;1</formula>
    </cfRule>
  </conditionalFormatting>
  <conditionalFormatting sqref="Y25">
    <cfRule type="expression" dxfId="887" priority="140">
      <formula>Y25&lt;51</formula>
    </cfRule>
    <cfRule type="expression" dxfId="886" priority="141">
      <formula>Y25&gt;59</formula>
    </cfRule>
  </conditionalFormatting>
  <conditionalFormatting sqref="Y25">
    <cfRule type="expression" dxfId="885" priority="139">
      <formula>Y25&lt;1</formula>
    </cfRule>
  </conditionalFormatting>
  <conditionalFormatting sqref="Y26:Y27">
    <cfRule type="expression" dxfId="884" priority="137">
      <formula>Y26&lt;51</formula>
    </cfRule>
    <cfRule type="expression" dxfId="883" priority="138">
      <formula>Y26&gt;59</formula>
    </cfRule>
  </conditionalFormatting>
  <conditionalFormatting sqref="Y26:Y27">
    <cfRule type="expression" dxfId="882" priority="136">
      <formula>Y26&lt;1</formula>
    </cfRule>
  </conditionalFormatting>
  <conditionalFormatting sqref="Y28">
    <cfRule type="expression" dxfId="881" priority="134">
      <formula>Y28&lt;30</formula>
    </cfRule>
    <cfRule type="expression" dxfId="880" priority="135">
      <formula>Y28&gt;40</formula>
    </cfRule>
  </conditionalFormatting>
  <conditionalFormatting sqref="Y28">
    <cfRule type="expression" dxfId="879" priority="133">
      <formula>Y28&lt;1</formula>
    </cfRule>
  </conditionalFormatting>
  <conditionalFormatting sqref="Y29">
    <cfRule type="expression" dxfId="878" priority="131">
      <formula>Y29&lt;26</formula>
    </cfRule>
    <cfRule type="expression" dxfId="877" priority="132">
      <formula>Y29&gt;32</formula>
    </cfRule>
  </conditionalFormatting>
  <conditionalFormatting sqref="Y29">
    <cfRule type="expression" dxfId="876" priority="130">
      <formula>Y29&lt;1</formula>
    </cfRule>
  </conditionalFormatting>
  <conditionalFormatting sqref="Y30">
    <cfRule type="expression" dxfId="875" priority="128">
      <formula>Y30&lt;26</formula>
    </cfRule>
    <cfRule type="expression" dxfId="874" priority="129">
      <formula>Y30&gt;32</formula>
    </cfRule>
  </conditionalFormatting>
  <conditionalFormatting sqref="Y30">
    <cfRule type="expression" dxfId="873" priority="127">
      <formula>Y30&lt;1</formula>
    </cfRule>
  </conditionalFormatting>
  <conditionalFormatting sqref="Z25:AB25">
    <cfRule type="expression" dxfId="872" priority="125">
      <formula>Z25&lt;51</formula>
    </cfRule>
    <cfRule type="expression" dxfId="871" priority="126">
      <formula>Z25&gt;59</formula>
    </cfRule>
  </conditionalFormatting>
  <conditionalFormatting sqref="Z25:AB25">
    <cfRule type="expression" dxfId="870" priority="124">
      <formula>Z25&lt;1</formula>
    </cfRule>
  </conditionalFormatting>
  <conditionalFormatting sqref="Z26:AB27">
    <cfRule type="expression" dxfId="869" priority="122">
      <formula>Z26&lt;51</formula>
    </cfRule>
    <cfRule type="expression" dxfId="868" priority="123">
      <formula>Z26&gt;59</formula>
    </cfRule>
  </conditionalFormatting>
  <conditionalFormatting sqref="Z26:AB27">
    <cfRule type="expression" dxfId="867" priority="121">
      <formula>Z26&lt;1</formula>
    </cfRule>
  </conditionalFormatting>
  <conditionalFormatting sqref="Z28:AB28">
    <cfRule type="expression" dxfId="866" priority="119">
      <formula>Z28&lt;30</formula>
    </cfRule>
    <cfRule type="expression" dxfId="865" priority="120">
      <formula>Z28&gt;40</formula>
    </cfRule>
  </conditionalFormatting>
  <conditionalFormatting sqref="Z28:AB28">
    <cfRule type="expression" dxfId="864" priority="118">
      <formula>Z28&lt;1</formula>
    </cfRule>
  </conditionalFormatting>
  <conditionalFormatting sqref="Z29:AB29">
    <cfRule type="expression" dxfId="863" priority="116">
      <formula>Z29&lt;26</formula>
    </cfRule>
    <cfRule type="expression" dxfId="862" priority="117">
      <formula>Z29&gt;32</formula>
    </cfRule>
  </conditionalFormatting>
  <conditionalFormatting sqref="Z29:AB29">
    <cfRule type="expression" dxfId="861" priority="115">
      <formula>Z29&lt;1</formula>
    </cfRule>
  </conditionalFormatting>
  <conditionalFormatting sqref="Z30:AB30">
    <cfRule type="expression" dxfId="860" priority="113">
      <formula>Z30&lt;26</formula>
    </cfRule>
    <cfRule type="expression" dxfId="859" priority="114">
      <formula>Z30&gt;32</formula>
    </cfRule>
  </conditionalFormatting>
  <conditionalFormatting sqref="Z30:AB30">
    <cfRule type="expression" dxfId="858" priority="112">
      <formula>Z30&lt;1</formula>
    </cfRule>
  </conditionalFormatting>
  <conditionalFormatting sqref="Z25:AB25">
    <cfRule type="expression" dxfId="857" priority="110">
      <formula>Z25&lt;51</formula>
    </cfRule>
    <cfRule type="expression" dxfId="856" priority="111">
      <formula>Z25&gt;59</formula>
    </cfRule>
  </conditionalFormatting>
  <conditionalFormatting sqref="Z25:AB25">
    <cfRule type="expression" dxfId="855" priority="109">
      <formula>Z25&lt;1</formula>
    </cfRule>
  </conditionalFormatting>
  <conditionalFormatting sqref="Z26:AB27">
    <cfRule type="expression" dxfId="854" priority="107">
      <formula>Z26&lt;51</formula>
    </cfRule>
    <cfRule type="expression" dxfId="853" priority="108">
      <formula>Z26&gt;59</formula>
    </cfRule>
  </conditionalFormatting>
  <conditionalFormatting sqref="Z26:AB27">
    <cfRule type="expression" dxfId="852" priority="106">
      <formula>Z26&lt;1</formula>
    </cfRule>
  </conditionalFormatting>
  <conditionalFormatting sqref="Z28:AB28">
    <cfRule type="expression" dxfId="851" priority="104">
      <formula>Z28&lt;30</formula>
    </cfRule>
    <cfRule type="expression" dxfId="850" priority="105">
      <formula>Z28&gt;40</formula>
    </cfRule>
  </conditionalFormatting>
  <conditionalFormatting sqref="Z28:AB28">
    <cfRule type="expression" dxfId="849" priority="103">
      <formula>Z28&lt;1</formula>
    </cfRule>
  </conditionalFormatting>
  <conditionalFormatting sqref="Z29:AB29">
    <cfRule type="expression" dxfId="848" priority="101">
      <formula>Z29&lt;26</formula>
    </cfRule>
    <cfRule type="expression" dxfId="847" priority="102">
      <formula>Z29&gt;32</formula>
    </cfRule>
  </conditionalFormatting>
  <conditionalFormatting sqref="Z29:AB29">
    <cfRule type="expression" dxfId="846" priority="100">
      <formula>Z29&lt;1</formula>
    </cfRule>
  </conditionalFormatting>
  <conditionalFormatting sqref="Z30:AB30">
    <cfRule type="expression" dxfId="845" priority="98">
      <formula>Z30&lt;26</formula>
    </cfRule>
    <cfRule type="expression" dxfId="844" priority="99">
      <formula>Z30&gt;32</formula>
    </cfRule>
  </conditionalFormatting>
  <conditionalFormatting sqref="Z30:AB30">
    <cfRule type="expression" dxfId="843" priority="97">
      <formula>Z30&lt;1</formula>
    </cfRule>
  </conditionalFormatting>
  <conditionalFormatting sqref="Z31">
    <cfRule type="expression" dxfId="842" priority="95">
      <formula>Z31&lt;170</formula>
    </cfRule>
    <cfRule type="expression" dxfId="841" priority="96">
      <formula>Z31&gt;220</formula>
    </cfRule>
  </conditionalFormatting>
  <conditionalFormatting sqref="Z31">
    <cfRule type="expression" dxfId="840" priority="94">
      <formula>Z31&lt;1</formula>
    </cfRule>
  </conditionalFormatting>
  <conditionalFormatting sqref="AD25:AF25">
    <cfRule type="expression" dxfId="839" priority="92">
      <formula>AD25&lt;51</formula>
    </cfRule>
    <cfRule type="expression" dxfId="838" priority="93">
      <formula>AD25&gt;59</formula>
    </cfRule>
  </conditionalFormatting>
  <conditionalFormatting sqref="AD25:AF25">
    <cfRule type="expression" dxfId="837" priority="91">
      <formula>AD25&lt;1</formula>
    </cfRule>
  </conditionalFormatting>
  <conditionalFormatting sqref="AD26:AF27">
    <cfRule type="expression" dxfId="836" priority="89">
      <formula>AD26&lt;51</formula>
    </cfRule>
    <cfRule type="expression" dxfId="835" priority="90">
      <formula>AD26&gt;59</formula>
    </cfRule>
  </conditionalFormatting>
  <conditionalFormatting sqref="AD26:AF27">
    <cfRule type="expression" dxfId="834" priority="88">
      <formula>AD26&lt;1</formula>
    </cfRule>
  </conditionalFormatting>
  <conditionalFormatting sqref="AD28:AF28">
    <cfRule type="expression" dxfId="833" priority="86">
      <formula>AD28&lt;30</formula>
    </cfRule>
    <cfRule type="expression" dxfId="832" priority="87">
      <formula>AD28&gt;40</formula>
    </cfRule>
  </conditionalFormatting>
  <conditionalFormatting sqref="AD28:AF28">
    <cfRule type="expression" dxfId="831" priority="85">
      <formula>AD28&lt;1</formula>
    </cfRule>
  </conditionalFormatting>
  <conditionalFormatting sqref="AD29:AF29">
    <cfRule type="expression" dxfId="830" priority="83">
      <formula>AD29&lt;26</formula>
    </cfRule>
    <cfRule type="expression" dxfId="829" priority="84">
      <formula>AD29&gt;32</formula>
    </cfRule>
  </conditionalFormatting>
  <conditionalFormatting sqref="AD29:AF29">
    <cfRule type="expression" dxfId="828" priority="82">
      <formula>AD29&lt;1</formula>
    </cfRule>
  </conditionalFormatting>
  <conditionalFormatting sqref="AD30:AF30">
    <cfRule type="expression" dxfId="827" priority="80">
      <formula>AD30&lt;26</formula>
    </cfRule>
    <cfRule type="expression" dxfId="826" priority="81">
      <formula>AD30&gt;32</formula>
    </cfRule>
  </conditionalFormatting>
  <conditionalFormatting sqref="AD30:AF30">
    <cfRule type="expression" dxfId="825" priority="79">
      <formula>AD30&lt;1</formula>
    </cfRule>
  </conditionalFormatting>
  <conditionalFormatting sqref="AD25:AF25">
    <cfRule type="expression" dxfId="824" priority="77">
      <formula>AD25&lt;51</formula>
    </cfRule>
    <cfRule type="expression" dxfId="823" priority="78">
      <formula>AD25&gt;59</formula>
    </cfRule>
  </conditionalFormatting>
  <conditionalFormatting sqref="AD25:AF25">
    <cfRule type="expression" dxfId="822" priority="76">
      <formula>AD25&lt;1</formula>
    </cfRule>
  </conditionalFormatting>
  <conditionalFormatting sqref="AD26:AF27">
    <cfRule type="expression" dxfId="821" priority="74">
      <formula>AD26&lt;51</formula>
    </cfRule>
    <cfRule type="expression" dxfId="820" priority="75">
      <formula>AD26&gt;59</formula>
    </cfRule>
  </conditionalFormatting>
  <conditionalFormatting sqref="AD26:AF27">
    <cfRule type="expression" dxfId="819" priority="73">
      <formula>AD26&lt;1</formula>
    </cfRule>
  </conditionalFormatting>
  <conditionalFormatting sqref="AD28:AF28">
    <cfRule type="expression" dxfId="818" priority="71">
      <formula>AD28&lt;30</formula>
    </cfRule>
    <cfRule type="expression" dxfId="817" priority="72">
      <formula>AD28&gt;40</formula>
    </cfRule>
  </conditionalFormatting>
  <conditionalFormatting sqref="AD28:AF28">
    <cfRule type="expression" dxfId="816" priority="70">
      <formula>AD28&lt;1</formula>
    </cfRule>
  </conditionalFormatting>
  <conditionalFormatting sqref="AD29:AF29">
    <cfRule type="expression" dxfId="815" priority="68">
      <formula>AD29&lt;26</formula>
    </cfRule>
    <cfRule type="expression" dxfId="814" priority="69">
      <formula>AD29&gt;32</formula>
    </cfRule>
  </conditionalFormatting>
  <conditionalFormatting sqref="AD29:AF29">
    <cfRule type="expression" dxfId="813" priority="67">
      <formula>AD29&lt;1</formula>
    </cfRule>
  </conditionalFormatting>
  <conditionalFormatting sqref="AD30:AF30">
    <cfRule type="expression" dxfId="812" priority="65">
      <formula>AD30&lt;26</formula>
    </cfRule>
    <cfRule type="expression" dxfId="811" priority="66">
      <formula>AD30&gt;32</formula>
    </cfRule>
  </conditionalFormatting>
  <conditionalFormatting sqref="AD30:AF30">
    <cfRule type="expression" dxfId="810" priority="64">
      <formula>AD30&lt;1</formula>
    </cfRule>
  </conditionalFormatting>
  <conditionalFormatting sqref="AD31">
    <cfRule type="expression" dxfId="809" priority="62">
      <formula>AD31&lt;170</formula>
    </cfRule>
    <cfRule type="expression" dxfId="808" priority="63">
      <formula>AD31&gt;220</formula>
    </cfRule>
  </conditionalFormatting>
  <conditionalFormatting sqref="AD31">
    <cfRule type="expression" dxfId="807" priority="61">
      <formula>AD31&lt;1</formula>
    </cfRule>
  </conditionalFormatting>
  <conditionalFormatting sqref="Y10">
    <cfRule type="expression" dxfId="806" priority="29">
      <formula>Y10&lt;5</formula>
    </cfRule>
    <cfRule type="expression" dxfId="805" priority="30">
      <formula>Y10&gt;15</formula>
    </cfRule>
  </conditionalFormatting>
  <conditionalFormatting sqref="Y11">
    <cfRule type="expression" dxfId="804" priority="28">
      <formula>Y11&gt;1.5</formula>
    </cfRule>
  </conditionalFormatting>
  <conditionalFormatting sqref="Y12">
    <cfRule type="expression" dxfId="803" priority="26">
      <formula>Y12&lt;20</formula>
    </cfRule>
    <cfRule type="expression" dxfId="802" priority="27">
      <formula>Y12&gt;25</formula>
    </cfRule>
  </conditionalFormatting>
  <conditionalFormatting sqref="AC10">
    <cfRule type="expression" dxfId="801" priority="24">
      <formula>AC10&lt;5</formula>
    </cfRule>
    <cfRule type="expression" dxfId="800" priority="25">
      <formula>AC10&gt;15</formula>
    </cfRule>
  </conditionalFormatting>
  <conditionalFormatting sqref="AC11">
    <cfRule type="expression" dxfId="799" priority="23">
      <formula>AC11&gt;1.5</formula>
    </cfRule>
  </conditionalFormatting>
  <conditionalFormatting sqref="AC12">
    <cfRule type="expression" dxfId="798" priority="21">
      <formula>AC12&lt;20</formula>
    </cfRule>
    <cfRule type="expression" dxfId="797" priority="22">
      <formula>AC12&gt;25</formula>
    </cfRule>
  </conditionalFormatting>
  <conditionalFormatting sqref="Y7">
    <cfRule type="expression" dxfId="796" priority="19">
      <formula>Y7&lt;10</formula>
    </cfRule>
    <cfRule type="expression" dxfId="795" priority="20">
      <formula>Y7&gt;20</formula>
    </cfRule>
  </conditionalFormatting>
  <conditionalFormatting sqref="AC7">
    <cfRule type="expression" dxfId="794" priority="17">
      <formula>AC7&lt;10</formula>
    </cfRule>
    <cfRule type="expression" dxfId="793" priority="18">
      <formula>AC7&gt;20</formula>
    </cfRule>
  </conditionalFormatting>
  <conditionalFormatting sqref="Y8">
    <cfRule type="cellIs" dxfId="792" priority="13" operator="between">
      <formula>40</formula>
      <formula>44.99</formula>
    </cfRule>
    <cfRule type="cellIs" dxfId="791" priority="14" operator="between">
      <formula>55.1</formula>
      <formula>60</formula>
    </cfRule>
    <cfRule type="expression" dxfId="790" priority="15">
      <formula>Y8&lt;40</formula>
    </cfRule>
    <cfRule type="expression" dxfId="789" priority="16">
      <formula>Y8&gt;60</formula>
    </cfRule>
  </conditionalFormatting>
  <conditionalFormatting sqref="Y9">
    <cfRule type="cellIs" dxfId="788" priority="9" operator="between">
      <formula>40</formula>
      <formula>44.99</formula>
    </cfRule>
    <cfRule type="cellIs" dxfId="787" priority="10" operator="between">
      <formula>55.1</formula>
      <formula>60</formula>
    </cfRule>
    <cfRule type="expression" dxfId="786" priority="11">
      <formula>Y9&lt;40</formula>
    </cfRule>
    <cfRule type="expression" dxfId="785" priority="12">
      <formula>Y9&gt;60</formula>
    </cfRule>
  </conditionalFormatting>
  <conditionalFormatting sqref="AC8">
    <cfRule type="cellIs" dxfId="784" priority="5" operator="between">
      <formula>40</formula>
      <formula>44.99</formula>
    </cfRule>
    <cfRule type="cellIs" dxfId="783" priority="6" operator="between">
      <formula>55.1</formula>
      <formula>60</formula>
    </cfRule>
    <cfRule type="expression" dxfId="782" priority="7">
      <formula>AC8&lt;40</formula>
    </cfRule>
    <cfRule type="expression" dxfId="781" priority="8">
      <formula>AC8&gt;60</formula>
    </cfRule>
  </conditionalFormatting>
  <conditionalFormatting sqref="AC9">
    <cfRule type="cellIs" dxfId="780" priority="1" operator="between">
      <formula>40</formula>
      <formula>44.99</formula>
    </cfRule>
    <cfRule type="cellIs" dxfId="779" priority="2" operator="between">
      <formula>55.1</formula>
      <formula>60</formula>
    </cfRule>
    <cfRule type="expression" dxfId="778" priority="3">
      <formula>AC9&lt;40</formula>
    </cfRule>
    <cfRule type="expression" dxfId="777" priority="4">
      <formula>AC9&gt;60</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28">
    <tabColor rgb="FFFF0000"/>
  </sheetPr>
  <dimension ref="A1:S46"/>
  <sheetViews>
    <sheetView zoomScale="70" zoomScaleNormal="70" workbookViewId="0">
      <selection activeCell="D3" sqref="D3:F3"/>
    </sheetView>
  </sheetViews>
  <sheetFormatPr defaultRowHeight="13.5"/>
  <cols>
    <col min="1" max="1" width="3.875" style="474" customWidth="1"/>
    <col min="2" max="2" width="20.5" style="524" customWidth="1"/>
    <col min="3" max="3" width="5" style="524" customWidth="1"/>
    <col min="4" max="4" width="7.625" style="474" customWidth="1"/>
    <col min="5" max="5" width="13.625" style="474" customWidth="1"/>
    <col min="6" max="6" width="8.75" style="474" customWidth="1"/>
    <col min="7" max="7" width="2.375" style="474" customWidth="1"/>
    <col min="8" max="8" width="7.25" style="525" customWidth="1"/>
    <col min="9" max="9" width="3.125" style="525" customWidth="1"/>
    <col min="10" max="10" width="8.125" style="525" customWidth="1"/>
    <col min="11" max="11" width="2.5" style="525" customWidth="1"/>
    <col min="12" max="12" width="6.5" style="525" customWidth="1"/>
    <col min="13" max="13" width="3.75" style="525" customWidth="1"/>
    <col min="14" max="14" width="8.125" style="525" customWidth="1"/>
    <col min="15" max="15" width="2.5" style="525" customWidth="1"/>
    <col min="16" max="16" width="6.5" style="525" customWidth="1"/>
    <col min="17" max="17" width="3.75" style="525" customWidth="1"/>
    <col min="18" max="18" width="7.375" style="473" customWidth="1"/>
    <col min="19" max="19" width="5.75" style="473" customWidth="1"/>
    <col min="20" max="16384" width="9" style="474"/>
  </cols>
  <sheetData>
    <row r="1" spans="1:19" ht="33" customHeight="1">
      <c r="A1" s="3560" t="s">
        <v>588</v>
      </c>
      <c r="B1" s="3560"/>
      <c r="C1" s="3560"/>
      <c r="D1" s="3560"/>
      <c r="E1" s="3560"/>
      <c r="F1" s="3560"/>
      <c r="G1" s="3560"/>
      <c r="H1" s="3560"/>
      <c r="I1" s="3560"/>
      <c r="J1" s="3560"/>
      <c r="K1" s="3560"/>
      <c r="L1" s="3560"/>
      <c r="M1" s="3560"/>
      <c r="N1" s="3560"/>
      <c r="O1" s="3560"/>
      <c r="P1" s="601"/>
      <c r="Q1" s="601"/>
    </row>
    <row r="2" spans="1:19" ht="39.75" customHeight="1">
      <c r="A2" s="3557" t="s">
        <v>918</v>
      </c>
      <c r="B2" s="3557"/>
      <c r="C2" s="3557"/>
      <c r="D2" s="3557"/>
      <c r="E2" s="3557"/>
      <c r="F2" s="3557"/>
      <c r="G2" s="3557"/>
      <c r="H2" s="3557"/>
      <c r="I2" s="3557"/>
      <c r="J2" s="3557"/>
      <c r="K2" s="3557"/>
      <c r="L2" s="3557"/>
      <c r="M2" s="3557"/>
      <c r="N2" s="3557"/>
      <c r="O2" s="3681"/>
      <c r="P2" s="3561" t="s">
        <v>589</v>
      </c>
      <c r="Q2" s="3562"/>
      <c r="R2" s="3563" t="s">
        <v>590</v>
      </c>
      <c r="S2" s="3564"/>
    </row>
    <row r="3" spans="1:19" ht="22.5" customHeight="1">
      <c r="A3" s="476"/>
      <c r="B3" s="477" t="s">
        <v>724</v>
      </c>
      <c r="C3" s="477"/>
      <c r="D3" s="1821" t="str">
        <f>MENU!$AC$9</f>
        <v>Thứ 4,</v>
      </c>
      <c r="E3" s="3682" t="str">
        <f>'1.xi den'!$G$3</f>
        <v>2024/05/22</v>
      </c>
      <c r="F3" s="3682"/>
      <c r="G3" s="476"/>
      <c r="H3" s="476"/>
      <c r="I3" s="476"/>
      <c r="J3" s="480"/>
      <c r="K3" s="480"/>
      <c r="L3" s="480"/>
      <c r="M3" s="480"/>
      <c r="N3" s="480"/>
      <c r="O3" s="480"/>
      <c r="P3" s="3565" t="str">
        <f>'1.xi den'!$R$3</f>
        <v>Mi</v>
      </c>
      <c r="Q3" s="3566"/>
      <c r="R3" s="3567" t="s">
        <v>592</v>
      </c>
      <c r="S3" s="3568"/>
    </row>
    <row r="4" spans="1:19" s="482" customFormat="1" ht="33" customHeight="1">
      <c r="A4" s="3559" t="s">
        <v>593</v>
      </c>
      <c r="B4" s="3333" t="s">
        <v>644</v>
      </c>
      <c r="C4" s="3677"/>
      <c r="D4" s="3575" t="s">
        <v>645</v>
      </c>
      <c r="E4" s="3540" t="s">
        <v>595</v>
      </c>
      <c r="F4" s="3522" t="s">
        <v>596</v>
      </c>
      <c r="G4" s="3523"/>
      <c r="H4" s="3523"/>
      <c r="I4" s="3523"/>
      <c r="J4" s="3523"/>
      <c r="K4" s="3523"/>
      <c r="L4" s="3523"/>
      <c r="M4" s="3523"/>
      <c r="N4" s="3523"/>
      <c r="O4" s="3523"/>
      <c r="P4" s="3523"/>
      <c r="Q4" s="3524"/>
      <c r="R4" s="3546" t="s">
        <v>597</v>
      </c>
      <c r="S4" s="3546"/>
    </row>
    <row r="5" spans="1:19" s="482" customFormat="1" ht="15.75" customHeight="1">
      <c r="A5" s="3535"/>
      <c r="B5" s="3369"/>
      <c r="C5" s="3678"/>
      <c r="D5" s="3575"/>
      <c r="E5" s="3540"/>
      <c r="F5" s="3547">
        <v>0.375</v>
      </c>
      <c r="G5" s="3538"/>
      <c r="H5" s="3538"/>
      <c r="I5" s="3538"/>
      <c r="J5" s="3548">
        <v>0.5625</v>
      </c>
      <c r="K5" s="3549"/>
      <c r="L5" s="3549"/>
      <c r="M5" s="3550"/>
      <c r="N5" s="3548">
        <v>0.72916666666666663</v>
      </c>
      <c r="O5" s="3549"/>
      <c r="P5" s="3549"/>
      <c r="Q5" s="3550"/>
      <c r="R5" s="3546"/>
      <c r="S5" s="3546"/>
    </row>
    <row r="6" spans="1:19" s="482" customFormat="1" ht="44.25" customHeight="1">
      <c r="A6" s="3536"/>
      <c r="B6" s="3679"/>
      <c r="C6" s="3680"/>
      <c r="D6" s="3581"/>
      <c r="E6" s="3541"/>
      <c r="F6" s="484" t="s">
        <v>598</v>
      </c>
      <c r="G6" s="3551" t="s">
        <v>599</v>
      </c>
      <c r="H6" s="3552"/>
      <c r="I6" s="3553"/>
      <c r="J6" s="484" t="s">
        <v>598</v>
      </c>
      <c r="K6" s="3542" t="s">
        <v>599</v>
      </c>
      <c r="L6" s="3543"/>
      <c r="M6" s="3544"/>
      <c r="N6" s="484" t="s">
        <v>598</v>
      </c>
      <c r="O6" s="3542" t="s">
        <v>599</v>
      </c>
      <c r="P6" s="3543"/>
      <c r="Q6" s="3544"/>
      <c r="R6" s="3554" t="s">
        <v>600</v>
      </c>
      <c r="S6" s="3554"/>
    </row>
    <row r="7" spans="1:19" ht="29.25" customHeight="1">
      <c r="A7" s="483">
        <v>1</v>
      </c>
      <c r="B7" s="3505" t="s">
        <v>400</v>
      </c>
      <c r="C7" s="3507"/>
      <c r="D7" s="535" t="s">
        <v>657</v>
      </c>
      <c r="E7" s="485" t="s">
        <v>603</v>
      </c>
      <c r="F7" s="602">
        <f>'R.GUI MAIL'!H6</f>
        <v>0</v>
      </c>
      <c r="G7" s="489" t="s">
        <v>604</v>
      </c>
      <c r="H7" s="490">
        <f>'R.GUI MAIL'!K6</f>
        <v>0</v>
      </c>
      <c r="I7" s="483" t="s">
        <v>10</v>
      </c>
      <c r="J7" s="602">
        <f>'R.GUI MAIL'!N6</f>
        <v>0</v>
      </c>
      <c r="K7" s="489" t="s">
        <v>604</v>
      </c>
      <c r="L7" s="490">
        <f>'R.GUI MAIL'!Q6</f>
        <v>0</v>
      </c>
      <c r="M7" s="483" t="s">
        <v>10</v>
      </c>
      <c r="N7" s="602">
        <f>'R.GUI MAIL'!T6</f>
        <v>0</v>
      </c>
      <c r="O7" s="489" t="s">
        <v>604</v>
      </c>
      <c r="P7" s="490">
        <f>'R.GUI MAIL'!W6</f>
        <v>0</v>
      </c>
      <c r="Q7" s="483" t="s">
        <v>10</v>
      </c>
      <c r="R7" s="3529" t="s">
        <v>605</v>
      </c>
      <c r="S7" s="3529"/>
    </row>
    <row r="8" spans="1:19" ht="26.25" hidden="1" customHeight="1">
      <c r="A8" s="483"/>
      <c r="B8" s="3505" t="s">
        <v>401</v>
      </c>
      <c r="C8" s="3507"/>
      <c r="D8" s="535" t="s">
        <v>657</v>
      </c>
      <c r="E8" s="485" t="s">
        <v>603</v>
      </c>
      <c r="F8" s="492">
        <f>'R.GUI MAIL'!H7</f>
        <v>0</v>
      </c>
      <c r="G8" s="493" t="s">
        <v>604</v>
      </c>
      <c r="H8" s="494">
        <f>'R.GUI MAIL'!K7</f>
        <v>292.1875</v>
      </c>
      <c r="I8" s="210" t="s">
        <v>10</v>
      </c>
      <c r="J8" s="492">
        <f>'R.GUI MAIL'!N7</f>
        <v>0</v>
      </c>
      <c r="K8" s="493" t="s">
        <v>604</v>
      </c>
      <c r="L8" s="494">
        <f>'R.GUI MAIL'!Q7</f>
        <v>292.1875</v>
      </c>
      <c r="M8" s="210" t="s">
        <v>10</v>
      </c>
      <c r="N8" s="492">
        <f>'R.GUI MAIL'!T7</f>
        <v>0</v>
      </c>
      <c r="O8" s="493" t="s">
        <v>604</v>
      </c>
      <c r="P8" s="494">
        <f>'R.GUI MAIL'!W7</f>
        <v>292.1875</v>
      </c>
      <c r="Q8" s="210" t="s">
        <v>10</v>
      </c>
      <c r="R8" s="3529" t="s">
        <v>605</v>
      </c>
      <c r="S8" s="3529"/>
    </row>
    <row r="9" spans="1:19" ht="29.25" customHeight="1">
      <c r="A9" s="483">
        <v>2</v>
      </c>
      <c r="B9" s="3671" t="s">
        <v>688</v>
      </c>
      <c r="C9" s="3672">
        <f>R.HN!B4</f>
        <v>3</v>
      </c>
      <c r="D9" s="3573" t="s">
        <v>431</v>
      </c>
      <c r="E9" s="485" t="s">
        <v>725</v>
      </c>
      <c r="F9" s="602">
        <f>'R.GUI MAIL'!H8</f>
        <v>0</v>
      </c>
      <c r="G9" s="489" t="s">
        <v>609</v>
      </c>
      <c r="H9" s="490">
        <f>'R.GUI MAIL'!K8</f>
        <v>0</v>
      </c>
      <c r="I9" s="483" t="s">
        <v>610</v>
      </c>
      <c r="J9" s="602">
        <f>'R.GUI MAIL'!N8</f>
        <v>0</v>
      </c>
      <c r="K9" s="489" t="s">
        <v>609</v>
      </c>
      <c r="L9" s="490">
        <f>'R.GUI MAIL'!Q8</f>
        <v>0</v>
      </c>
      <c r="M9" s="483" t="s">
        <v>610</v>
      </c>
      <c r="N9" s="602">
        <f>'R.GUI MAIL'!T8</f>
        <v>0</v>
      </c>
      <c r="O9" s="489" t="s">
        <v>609</v>
      </c>
      <c r="P9" s="490">
        <f>'R.GUI MAIL'!W8</f>
        <v>0</v>
      </c>
      <c r="Q9" s="483" t="s">
        <v>610</v>
      </c>
      <c r="R9" s="3529" t="s">
        <v>611</v>
      </c>
      <c r="S9" s="3529"/>
    </row>
    <row r="10" spans="1:19" ht="29.25" customHeight="1">
      <c r="A10" s="483">
        <v>3</v>
      </c>
      <c r="B10" s="3675"/>
      <c r="C10" s="3676"/>
      <c r="D10" s="3573"/>
      <c r="E10" s="485" t="s">
        <v>726</v>
      </c>
      <c r="F10" s="602">
        <f>'R.GUI MAIL'!H9</f>
        <v>0</v>
      </c>
      <c r="G10" s="489" t="s">
        <v>609</v>
      </c>
      <c r="H10" s="490">
        <f>'R.GUI MAIL'!K9</f>
        <v>0</v>
      </c>
      <c r="I10" s="483" t="s">
        <v>610</v>
      </c>
      <c r="J10" s="602">
        <f>'R.GUI MAIL'!N9</f>
        <v>0</v>
      </c>
      <c r="K10" s="489" t="s">
        <v>609</v>
      </c>
      <c r="L10" s="490">
        <f>'R.GUI MAIL'!Q9</f>
        <v>0</v>
      </c>
      <c r="M10" s="483" t="s">
        <v>610</v>
      </c>
      <c r="N10" s="602">
        <f>'R.GUI MAIL'!T9</f>
        <v>0</v>
      </c>
      <c r="O10" s="489" t="s">
        <v>609</v>
      </c>
      <c r="P10" s="490">
        <f>'R.GUI MAIL'!W9</f>
        <v>0</v>
      </c>
      <c r="Q10" s="483" t="s">
        <v>610</v>
      </c>
      <c r="R10" s="3529" t="s">
        <v>613</v>
      </c>
      <c r="S10" s="3529"/>
    </row>
    <row r="11" spans="1:19" ht="29.25" customHeight="1">
      <c r="A11" s="483">
        <v>4</v>
      </c>
      <c r="B11" s="3673"/>
      <c r="C11" s="3674"/>
      <c r="D11" s="3573"/>
      <c r="E11" s="485" t="s">
        <v>614</v>
      </c>
      <c r="F11" s="603">
        <f>'R.GUI MAIL'!H10</f>
        <v>0</v>
      </c>
      <c r="G11" s="489" t="s">
        <v>609</v>
      </c>
      <c r="H11" s="490">
        <f>'R.GUI MAIL'!K10</f>
        <v>0</v>
      </c>
      <c r="I11" s="483" t="s">
        <v>610</v>
      </c>
      <c r="J11" s="603">
        <f>'R.GUI MAIL'!N10</f>
        <v>0</v>
      </c>
      <c r="K11" s="489" t="s">
        <v>609</v>
      </c>
      <c r="L11" s="490">
        <f>'R.GUI MAIL'!Q10</f>
        <v>0</v>
      </c>
      <c r="M11" s="483" t="s">
        <v>610</v>
      </c>
      <c r="N11" s="603">
        <f>'R.GUI MAIL'!T10</f>
        <v>0</v>
      </c>
      <c r="O11" s="489" t="s">
        <v>609</v>
      </c>
      <c r="P11" s="490">
        <f>'R.GUI MAIL'!W10</f>
        <v>0</v>
      </c>
      <c r="Q11" s="483" t="s">
        <v>610</v>
      </c>
      <c r="R11" s="3529"/>
      <c r="S11" s="3529"/>
    </row>
    <row r="12" spans="1:19" ht="29.25" customHeight="1">
      <c r="A12" s="483">
        <v>5</v>
      </c>
      <c r="B12" s="3671" t="s">
        <v>727</v>
      </c>
      <c r="C12" s="3672">
        <f>R.HN!B7</f>
        <v>4</v>
      </c>
      <c r="D12" s="3573" t="s">
        <v>431</v>
      </c>
      <c r="E12" s="485" t="s">
        <v>725</v>
      </c>
      <c r="F12" s="602">
        <f>'R.GUI MAIL'!H11</f>
        <v>0</v>
      </c>
      <c r="G12" s="489" t="s">
        <v>609</v>
      </c>
      <c r="H12" s="490">
        <f>'R.GUI MAIL'!K11</f>
        <v>0</v>
      </c>
      <c r="I12" s="483"/>
      <c r="J12" s="602">
        <f>'R.GUI MAIL'!N11</f>
        <v>0</v>
      </c>
      <c r="K12" s="489" t="s">
        <v>609</v>
      </c>
      <c r="L12" s="490">
        <f>'R.GUI MAIL'!Q11</f>
        <v>0</v>
      </c>
      <c r="M12" s="483" t="s">
        <v>610</v>
      </c>
      <c r="N12" s="602">
        <f>'R.GUI MAIL'!T11</f>
        <v>0</v>
      </c>
      <c r="O12" s="489" t="s">
        <v>609</v>
      </c>
      <c r="P12" s="490">
        <f>'R.GUI MAIL'!W11</f>
        <v>0</v>
      </c>
      <c r="Q12" s="483" t="s">
        <v>610</v>
      </c>
      <c r="R12" s="3529" t="s">
        <v>611</v>
      </c>
      <c r="S12" s="3529"/>
    </row>
    <row r="13" spans="1:19" ht="29.25" customHeight="1">
      <c r="A13" s="483">
        <v>6</v>
      </c>
      <c r="B13" s="3675"/>
      <c r="C13" s="3676"/>
      <c r="D13" s="3573"/>
      <c r="E13" s="485" t="s">
        <v>726</v>
      </c>
      <c r="F13" s="602">
        <f>'R.GUI MAIL'!H12</f>
        <v>0</v>
      </c>
      <c r="G13" s="489" t="s">
        <v>609</v>
      </c>
      <c r="H13" s="490">
        <f>'R.GUI MAIL'!K12</f>
        <v>0</v>
      </c>
      <c r="I13" s="483"/>
      <c r="J13" s="602">
        <f>'R.GUI MAIL'!N12</f>
        <v>0</v>
      </c>
      <c r="K13" s="489" t="s">
        <v>609</v>
      </c>
      <c r="L13" s="490">
        <f>'R.GUI MAIL'!Q12</f>
        <v>0</v>
      </c>
      <c r="M13" s="483" t="s">
        <v>610</v>
      </c>
      <c r="N13" s="602">
        <f>'R.GUI MAIL'!T12</f>
        <v>0</v>
      </c>
      <c r="O13" s="489" t="s">
        <v>609</v>
      </c>
      <c r="P13" s="490">
        <f>'R.GUI MAIL'!W12</f>
        <v>0</v>
      </c>
      <c r="Q13" s="483" t="s">
        <v>610</v>
      </c>
      <c r="R13" s="3529" t="s">
        <v>613</v>
      </c>
      <c r="S13" s="3529"/>
    </row>
    <row r="14" spans="1:19" ht="29.25" customHeight="1">
      <c r="A14" s="483">
        <v>7</v>
      </c>
      <c r="B14" s="3673"/>
      <c r="C14" s="3674"/>
      <c r="D14" s="3573"/>
      <c r="E14" s="485" t="s">
        <v>614</v>
      </c>
      <c r="F14" s="603">
        <f>'R.GUI MAIL'!H13</f>
        <v>0</v>
      </c>
      <c r="G14" s="489" t="s">
        <v>8</v>
      </c>
      <c r="H14" s="490">
        <f>'R.GUI MAIL'!K13</f>
        <v>0</v>
      </c>
      <c r="I14" s="483"/>
      <c r="J14" s="603">
        <f>'R.GUI MAIL'!N13</f>
        <v>0</v>
      </c>
      <c r="K14" s="489" t="s">
        <v>609</v>
      </c>
      <c r="L14" s="490">
        <f>'R.GUI MAIL'!Q13</f>
        <v>0</v>
      </c>
      <c r="M14" s="483" t="s">
        <v>610</v>
      </c>
      <c r="N14" s="603">
        <f>'R.GUI MAIL'!T13</f>
        <v>0</v>
      </c>
      <c r="O14" s="489" t="s">
        <v>609</v>
      </c>
      <c r="P14" s="490">
        <f>'R.GUI MAIL'!W13</f>
        <v>0</v>
      </c>
      <c r="Q14" s="483" t="s">
        <v>610</v>
      </c>
      <c r="R14" s="3529"/>
      <c r="S14" s="3529"/>
    </row>
    <row r="15" spans="1:19" s="503" customFormat="1" ht="29.25" customHeight="1">
      <c r="A15" s="483">
        <v>8</v>
      </c>
      <c r="B15" s="3671" t="s">
        <v>664</v>
      </c>
      <c r="C15" s="3672"/>
      <c r="D15" s="532" t="s">
        <v>431</v>
      </c>
      <c r="E15" s="487" t="s">
        <v>441</v>
      </c>
      <c r="F15" s="602">
        <f>'R.GUI MAIL'!H14</f>
        <v>0</v>
      </c>
      <c r="G15" s="489" t="s">
        <v>617</v>
      </c>
      <c r="H15" s="501">
        <f>'R.GUI MAIL'!K14</f>
        <v>0</v>
      </c>
      <c r="I15" s="502" t="s">
        <v>618</v>
      </c>
      <c r="J15" s="602">
        <f>'R.GUI MAIL'!N14</f>
        <v>0</v>
      </c>
      <c r="K15" s="489" t="s">
        <v>617</v>
      </c>
      <c r="L15" s="501">
        <f>'R.GUI MAIL'!Q14</f>
        <v>0</v>
      </c>
      <c r="M15" s="502" t="s">
        <v>618</v>
      </c>
      <c r="N15" s="602">
        <f>'R.GUI MAIL'!T14</f>
        <v>0</v>
      </c>
      <c r="O15" s="489" t="s">
        <v>617</v>
      </c>
      <c r="P15" s="501">
        <f>'R.GUI MAIL'!W14</f>
        <v>0</v>
      </c>
      <c r="Q15" s="502" t="s">
        <v>618</v>
      </c>
      <c r="R15" s="3529"/>
      <c r="S15" s="3529"/>
    </row>
    <row r="16" spans="1:19" s="503" customFormat="1" ht="29.25" customHeight="1">
      <c r="A16" s="483">
        <v>9</v>
      </c>
      <c r="B16" s="3673"/>
      <c r="C16" s="3674"/>
      <c r="D16" s="543" t="s">
        <v>686</v>
      </c>
      <c r="E16" s="485" t="s">
        <v>620</v>
      </c>
      <c r="F16" s="602">
        <f>'R.GUI MAIL'!H15</f>
        <v>0</v>
      </c>
      <c r="G16" s="489" t="s">
        <v>617</v>
      </c>
      <c r="H16" s="490"/>
      <c r="I16" s="502"/>
      <c r="J16" s="602">
        <f>'R.GUI MAIL'!N15</f>
        <v>0</v>
      </c>
      <c r="K16" s="489" t="s">
        <v>617</v>
      </c>
      <c r="L16" s="490"/>
      <c r="M16" s="502"/>
      <c r="N16" s="602">
        <f>'R.GUI MAIL'!T15</f>
        <v>0</v>
      </c>
      <c r="O16" s="489" t="s">
        <v>617</v>
      </c>
      <c r="P16" s="490"/>
      <c r="Q16" s="502"/>
      <c r="R16" s="3529"/>
      <c r="S16" s="3529"/>
    </row>
    <row r="17" spans="1:19" s="503" customFormat="1" ht="25.5" customHeight="1">
      <c r="A17" s="3530" t="s">
        <v>621</v>
      </c>
      <c r="B17" s="3530"/>
      <c r="C17" s="3530"/>
      <c r="D17" s="3530"/>
      <c r="E17" s="3530"/>
      <c r="F17" s="3530"/>
      <c r="G17" s="3530"/>
      <c r="H17" s="3530"/>
      <c r="I17" s="3530"/>
      <c r="J17" s="3530"/>
      <c r="K17" s="3530"/>
      <c r="L17" s="3530"/>
      <c r="M17" s="3530"/>
      <c r="N17" s="3530"/>
      <c r="O17" s="3530"/>
      <c r="P17" s="3530"/>
      <c r="Q17" s="3530"/>
      <c r="R17" s="3530"/>
      <c r="S17" s="3530"/>
    </row>
    <row r="18" spans="1:19" s="503" customFormat="1" ht="40.5" customHeight="1">
      <c r="A18" s="483" t="s">
        <v>622</v>
      </c>
      <c r="B18" s="3505" t="s">
        <v>623</v>
      </c>
      <c r="C18" s="3507"/>
      <c r="D18" s="481" t="s">
        <v>624</v>
      </c>
      <c r="E18" s="481" t="s">
        <v>625</v>
      </c>
      <c r="F18" s="3530" t="s">
        <v>45</v>
      </c>
      <c r="G18" s="3530"/>
      <c r="H18" s="3530" t="s">
        <v>62</v>
      </c>
      <c r="I18" s="3530"/>
      <c r="J18" s="3530" t="s">
        <v>45</v>
      </c>
      <c r="K18" s="3530"/>
      <c r="L18" s="3530" t="s">
        <v>62</v>
      </c>
      <c r="M18" s="3530"/>
      <c r="N18" s="3530" t="s">
        <v>45</v>
      </c>
      <c r="O18" s="3530"/>
      <c r="P18" s="3530" t="s">
        <v>62</v>
      </c>
      <c r="Q18" s="3530"/>
      <c r="R18" s="3525" t="s">
        <v>597</v>
      </c>
      <c r="S18" s="3526"/>
    </row>
    <row r="19" spans="1:19" s="503" customFormat="1" ht="27" customHeight="1">
      <c r="A19" s="483">
        <v>1</v>
      </c>
      <c r="B19" s="3505" t="s">
        <v>445</v>
      </c>
      <c r="C19" s="3507"/>
      <c r="D19" s="507" t="s">
        <v>627</v>
      </c>
      <c r="E19" s="508" t="s">
        <v>628</v>
      </c>
      <c r="F19" s="3046">
        <f>'R.FILE GOC'!H18</f>
        <v>0</v>
      </c>
      <c r="G19" s="3047"/>
      <c r="H19" s="3046">
        <f>'R.FILE GOC'!K18</f>
        <v>0</v>
      </c>
      <c r="I19" s="3047"/>
      <c r="J19" s="3046">
        <f>'R.FILE GOC'!N18</f>
        <v>0</v>
      </c>
      <c r="K19" s="3047"/>
      <c r="L19" s="3046">
        <f>'R.FILE GOC'!Q18</f>
        <v>0</v>
      </c>
      <c r="M19" s="3047"/>
      <c r="N19" s="3046">
        <f>'R.GUI MAIL'!T18</f>
        <v>0</v>
      </c>
      <c r="O19" s="3047"/>
      <c r="P19" s="3046">
        <f>'R.FILE GOC'!W18</f>
        <v>0</v>
      </c>
      <c r="Q19" s="3047"/>
      <c r="R19" s="509"/>
      <c r="S19" s="509"/>
    </row>
    <row r="20" spans="1:19" s="503" customFormat="1" ht="27" customHeight="1">
      <c r="A20" s="483">
        <v>2</v>
      </c>
      <c r="B20" s="3505" t="s">
        <v>447</v>
      </c>
      <c r="C20" s="3507"/>
      <c r="D20" s="507" t="s">
        <v>627</v>
      </c>
      <c r="E20" s="508" t="s">
        <v>628</v>
      </c>
      <c r="F20" s="3046">
        <f>'R.FILE GOC'!H19</f>
        <v>0</v>
      </c>
      <c r="G20" s="3047"/>
      <c r="H20" s="3046">
        <f>'R.FILE GOC'!K19</f>
        <v>0</v>
      </c>
      <c r="I20" s="3047"/>
      <c r="J20" s="3046">
        <f>'R.FILE GOC'!N19</f>
        <v>0</v>
      </c>
      <c r="K20" s="3047"/>
      <c r="L20" s="3046">
        <f>'R.FILE GOC'!Q19</f>
        <v>0</v>
      </c>
      <c r="M20" s="3047"/>
      <c r="N20" s="3046">
        <f>'R.GUI MAIL'!T19</f>
        <v>0</v>
      </c>
      <c r="O20" s="3047"/>
      <c r="P20" s="3046">
        <f>'R.FILE GOC'!W19</f>
        <v>0</v>
      </c>
      <c r="Q20" s="3047"/>
      <c r="R20" s="510"/>
      <c r="S20" s="510"/>
    </row>
    <row r="21" spans="1:19" s="503" customFormat="1" ht="27" customHeight="1">
      <c r="A21" s="483">
        <v>3</v>
      </c>
      <c r="B21" s="3505" t="s">
        <v>440</v>
      </c>
      <c r="C21" s="3507"/>
      <c r="D21" s="507" t="s">
        <v>627</v>
      </c>
      <c r="E21" s="508" t="s">
        <v>629</v>
      </c>
      <c r="F21" s="3046">
        <f>'R.FILE GOC'!H20</f>
        <v>0</v>
      </c>
      <c r="G21" s="3047"/>
      <c r="H21" s="3046">
        <f>'R.FILE GOC'!K20</f>
        <v>0</v>
      </c>
      <c r="I21" s="3047"/>
      <c r="J21" s="3046">
        <f>'R.FILE GOC'!N20</f>
        <v>0</v>
      </c>
      <c r="K21" s="3047"/>
      <c r="L21" s="3046">
        <f>'R.FILE GOC'!Q20</f>
        <v>0</v>
      </c>
      <c r="M21" s="3047"/>
      <c r="N21" s="3046">
        <f>'R.GUI MAIL'!T20</f>
        <v>0</v>
      </c>
      <c r="O21" s="3047"/>
      <c r="P21" s="3046">
        <f>'R.FILE GOC'!W20</f>
        <v>0</v>
      </c>
      <c r="Q21" s="3047"/>
      <c r="R21" s="510"/>
      <c r="S21" s="510"/>
    </row>
    <row r="22" spans="1:19" s="503" customFormat="1" ht="27" customHeight="1">
      <c r="A22" s="511"/>
      <c r="B22" s="512"/>
      <c r="C22" s="512"/>
      <c r="D22" s="513"/>
      <c r="E22" s="514"/>
      <c r="F22" s="3556"/>
      <c r="G22" s="3556"/>
      <c r="H22" s="3556"/>
      <c r="I22" s="3556"/>
      <c r="J22" s="3556"/>
      <c r="K22" s="3556"/>
      <c r="L22" s="3556"/>
      <c r="M22" s="3556"/>
      <c r="N22" s="3556"/>
      <c r="O22" s="3556"/>
      <c r="P22" s="3556"/>
      <c r="Q22" s="3556"/>
      <c r="R22" s="515"/>
      <c r="S22" s="515"/>
    </row>
    <row r="23" spans="1:19" s="503" customFormat="1" ht="27.75" customHeight="1">
      <c r="A23" s="517"/>
      <c r="B23" s="518"/>
      <c r="C23" s="518"/>
      <c r="D23" s="519"/>
      <c r="E23" s="518"/>
      <c r="F23" s="518"/>
      <c r="G23" s="518"/>
      <c r="H23" s="518"/>
      <c r="I23" s="518"/>
      <c r="J23" s="518"/>
      <c r="K23" s="518"/>
      <c r="L23" s="518"/>
      <c r="M23" s="518"/>
      <c r="N23" s="518"/>
      <c r="O23" s="518"/>
      <c r="P23" s="518"/>
      <c r="Q23" s="518"/>
      <c r="R23" s="473"/>
      <c r="S23" s="473"/>
    </row>
    <row r="24" spans="1:19" ht="39" customHeight="1">
      <c r="A24" s="3557" t="s">
        <v>918</v>
      </c>
      <c r="B24" s="3557"/>
      <c r="C24" s="3557"/>
      <c r="D24" s="3557"/>
      <c r="E24" s="3557"/>
      <c r="F24" s="3557"/>
      <c r="G24" s="3557"/>
      <c r="H24" s="3557"/>
      <c r="I24" s="3557"/>
      <c r="J24" s="3557"/>
      <c r="K24" s="3557"/>
      <c r="L24" s="3557"/>
      <c r="M24" s="3557"/>
      <c r="N24" s="3557"/>
      <c r="O24" s="3557"/>
      <c r="P24" s="3557"/>
      <c r="Q24" s="3557"/>
      <c r="R24" s="3558"/>
      <c r="S24" s="3558"/>
    </row>
    <row r="25" spans="1:19" ht="23.25" customHeight="1">
      <c r="A25" s="477"/>
      <c r="B25" s="477" t="s">
        <v>630</v>
      </c>
      <c r="C25" s="477"/>
      <c r="D25" s="478"/>
      <c r="E25" s="479"/>
      <c r="F25" s="476"/>
      <c r="G25" s="476"/>
      <c r="H25" s="476"/>
      <c r="I25" s="476"/>
      <c r="J25" s="476"/>
      <c r="K25" s="476"/>
      <c r="L25" s="476"/>
      <c r="M25" s="476"/>
      <c r="N25" s="476"/>
      <c r="O25" s="476"/>
      <c r="P25" s="476"/>
      <c r="Q25" s="476"/>
      <c r="R25" s="3555"/>
      <c r="S25" s="3555"/>
    </row>
    <row r="26" spans="1:19" s="482" customFormat="1" ht="32.25" customHeight="1">
      <c r="A26" s="3535" t="s">
        <v>631</v>
      </c>
      <c r="B26" s="3333" t="s">
        <v>644</v>
      </c>
      <c r="C26" s="3677"/>
      <c r="D26" s="3575" t="s">
        <v>645</v>
      </c>
      <c r="E26" s="3539" t="s">
        <v>595</v>
      </c>
      <c r="F26" s="3522" t="s">
        <v>596</v>
      </c>
      <c r="G26" s="3523"/>
      <c r="H26" s="3523"/>
      <c r="I26" s="3523"/>
      <c r="J26" s="3523"/>
      <c r="K26" s="3523"/>
      <c r="L26" s="3523"/>
      <c r="M26" s="3523"/>
      <c r="N26" s="3523"/>
      <c r="O26" s="3523"/>
      <c r="P26" s="3523"/>
      <c r="Q26" s="3524"/>
      <c r="R26" s="3545" t="s">
        <v>597</v>
      </c>
      <c r="S26" s="3545"/>
    </row>
    <row r="27" spans="1:19" s="482" customFormat="1" ht="16.5" customHeight="1">
      <c r="A27" s="3535"/>
      <c r="B27" s="3369"/>
      <c r="C27" s="3678"/>
      <c r="D27" s="3575"/>
      <c r="E27" s="3540"/>
      <c r="F27" s="3547">
        <v>0.875</v>
      </c>
      <c r="G27" s="3538"/>
      <c r="H27" s="3538"/>
      <c r="I27" s="3538"/>
      <c r="J27" s="3548">
        <v>8.3333333333333329E-2</v>
      </c>
      <c r="K27" s="3549"/>
      <c r="L27" s="3549"/>
      <c r="M27" s="3550"/>
      <c r="N27" s="3548">
        <v>0.22916666666666666</v>
      </c>
      <c r="O27" s="3549"/>
      <c r="P27" s="3549"/>
      <c r="Q27" s="3550"/>
      <c r="R27" s="3546"/>
      <c r="S27" s="3546"/>
    </row>
    <row r="28" spans="1:19" s="482" customFormat="1" ht="38.25" customHeight="1">
      <c r="A28" s="3536"/>
      <c r="B28" s="3679"/>
      <c r="C28" s="3680"/>
      <c r="D28" s="3581"/>
      <c r="E28" s="3541"/>
      <c r="F28" s="484" t="s">
        <v>598</v>
      </c>
      <c r="G28" s="3551" t="s">
        <v>599</v>
      </c>
      <c r="H28" s="3552"/>
      <c r="I28" s="3553"/>
      <c r="J28" s="484" t="s">
        <v>598</v>
      </c>
      <c r="K28" s="3542" t="s">
        <v>599</v>
      </c>
      <c r="L28" s="3543"/>
      <c r="M28" s="3544"/>
      <c r="N28" s="484" t="s">
        <v>598</v>
      </c>
      <c r="O28" s="3542" t="s">
        <v>599</v>
      </c>
      <c r="P28" s="3543"/>
      <c r="Q28" s="3544"/>
      <c r="R28" s="3554" t="s">
        <v>632</v>
      </c>
      <c r="S28" s="3554"/>
    </row>
    <row r="29" spans="1:19" ht="28.5" customHeight="1">
      <c r="A29" s="483">
        <v>1</v>
      </c>
      <c r="B29" s="3505" t="s">
        <v>400</v>
      </c>
      <c r="C29" s="3507"/>
      <c r="D29" s="535" t="s">
        <v>657</v>
      </c>
      <c r="E29" s="485" t="s">
        <v>603</v>
      </c>
      <c r="F29" s="602">
        <f>'R.GUI MAIL'!Z6</f>
        <v>0</v>
      </c>
      <c r="G29" s="489" t="s">
        <v>617</v>
      </c>
      <c r="H29" s="490">
        <f>'R.GUI MAIL'!AC6</f>
        <v>0</v>
      </c>
      <c r="I29" s="483" t="s">
        <v>10</v>
      </c>
      <c r="J29" s="602">
        <f>'R.GUI MAIL'!AF6</f>
        <v>0</v>
      </c>
      <c r="K29" s="489" t="s">
        <v>617</v>
      </c>
      <c r="L29" s="490">
        <f>'R.GUI MAIL'!AI6</f>
        <v>0</v>
      </c>
      <c r="M29" s="483" t="s">
        <v>10</v>
      </c>
      <c r="N29" s="602">
        <f>'R.GUI MAIL'!AL6</f>
        <v>0</v>
      </c>
      <c r="O29" s="489" t="s">
        <v>617</v>
      </c>
      <c r="P29" s="490">
        <f>'R.GUI MAIL'!AO6</f>
        <v>0</v>
      </c>
      <c r="Q29" s="483" t="s">
        <v>10</v>
      </c>
      <c r="R29" s="3529" t="s">
        <v>633</v>
      </c>
      <c r="S29" s="3529"/>
    </row>
    <row r="30" spans="1:19" ht="28.5" hidden="1" customHeight="1">
      <c r="A30" s="483"/>
      <c r="B30" s="3505" t="s">
        <v>401</v>
      </c>
      <c r="C30" s="3507"/>
      <c r="D30" s="535" t="s">
        <v>657</v>
      </c>
      <c r="E30" s="485" t="s">
        <v>603</v>
      </c>
      <c r="F30" s="492">
        <f>'R.GUI MAIL'!Z7</f>
        <v>0</v>
      </c>
      <c r="G30" s="493" t="s">
        <v>617</v>
      </c>
      <c r="H30" s="494">
        <f>'R.GUI MAIL'!AC7</f>
        <v>292.1875</v>
      </c>
      <c r="I30" s="210" t="s">
        <v>10</v>
      </c>
      <c r="J30" s="492">
        <f>'R.GUI MAIL'!AF7</f>
        <v>0</v>
      </c>
      <c r="K30" s="493" t="s">
        <v>617</v>
      </c>
      <c r="L30" s="494">
        <f>'R.GUI MAIL'!AI7</f>
        <v>292.1875</v>
      </c>
      <c r="M30" s="210" t="s">
        <v>10</v>
      </c>
      <c r="N30" s="492">
        <f>'R.GUI MAIL'!AL7</f>
        <v>0</v>
      </c>
      <c r="O30" s="493" t="s">
        <v>617</v>
      </c>
      <c r="P30" s="494">
        <f>'R.GUI MAIL'!AO7</f>
        <v>292.1875</v>
      </c>
      <c r="Q30" s="210" t="s">
        <v>10</v>
      </c>
      <c r="R30" s="3529" t="s">
        <v>633</v>
      </c>
      <c r="S30" s="3529"/>
    </row>
    <row r="31" spans="1:19" ht="28.5" customHeight="1">
      <c r="A31" s="483">
        <v>2</v>
      </c>
      <c r="B31" s="3671" t="s">
        <v>688</v>
      </c>
      <c r="C31" s="3672">
        <f>R.HN!B4</f>
        <v>3</v>
      </c>
      <c r="D31" s="3573" t="s">
        <v>431</v>
      </c>
      <c r="E31" s="485" t="s">
        <v>725</v>
      </c>
      <c r="F31" s="602">
        <f>'R.GUI MAIL'!Z8</f>
        <v>0</v>
      </c>
      <c r="G31" s="489" t="s">
        <v>617</v>
      </c>
      <c r="H31" s="490">
        <f>'R.GUI MAIL'!AC8</f>
        <v>0</v>
      </c>
      <c r="I31" s="483" t="s">
        <v>618</v>
      </c>
      <c r="J31" s="602">
        <f>'R.GUI MAIL'!AF8</f>
        <v>0</v>
      </c>
      <c r="K31" s="489" t="s">
        <v>617</v>
      </c>
      <c r="L31" s="490">
        <f>'R.GUI MAIL'!AI8</f>
        <v>0</v>
      </c>
      <c r="M31" s="483" t="s">
        <v>618</v>
      </c>
      <c r="N31" s="602">
        <f>'R.GUI MAIL'!AL8</f>
        <v>0</v>
      </c>
      <c r="O31" s="489" t="s">
        <v>617</v>
      </c>
      <c r="P31" s="490">
        <f>'R.GUI MAIL'!AO8</f>
        <v>0</v>
      </c>
      <c r="Q31" s="483" t="s">
        <v>618</v>
      </c>
      <c r="R31" s="3529" t="s">
        <v>636</v>
      </c>
      <c r="S31" s="3529"/>
    </row>
    <row r="32" spans="1:19" ht="28.5" customHeight="1">
      <c r="A32" s="483">
        <v>3</v>
      </c>
      <c r="B32" s="3675"/>
      <c r="C32" s="3676"/>
      <c r="D32" s="3573"/>
      <c r="E32" s="485" t="s">
        <v>726</v>
      </c>
      <c r="F32" s="602">
        <f>'R.GUI MAIL'!Z9</f>
        <v>0</v>
      </c>
      <c r="G32" s="489" t="s">
        <v>617</v>
      </c>
      <c r="H32" s="490">
        <f>'R.GUI MAIL'!AC9</f>
        <v>0</v>
      </c>
      <c r="I32" s="483" t="s">
        <v>618</v>
      </c>
      <c r="J32" s="602">
        <f>'R.GUI MAIL'!AF9</f>
        <v>0</v>
      </c>
      <c r="K32" s="489" t="s">
        <v>617</v>
      </c>
      <c r="L32" s="490">
        <f>'R.GUI MAIL'!AI9</f>
        <v>0</v>
      </c>
      <c r="M32" s="483" t="s">
        <v>618</v>
      </c>
      <c r="N32" s="602">
        <f>'R.GUI MAIL'!AL9</f>
        <v>0</v>
      </c>
      <c r="O32" s="489" t="s">
        <v>617</v>
      </c>
      <c r="P32" s="490">
        <f>'R.GUI MAIL'!AO9</f>
        <v>0</v>
      </c>
      <c r="Q32" s="483" t="s">
        <v>618</v>
      </c>
      <c r="R32" s="3529" t="s">
        <v>637</v>
      </c>
      <c r="S32" s="3529"/>
    </row>
    <row r="33" spans="1:19" ht="28.5" customHeight="1">
      <c r="A33" s="483">
        <v>4</v>
      </c>
      <c r="B33" s="3673"/>
      <c r="C33" s="3674"/>
      <c r="D33" s="3573"/>
      <c r="E33" s="485" t="s">
        <v>614</v>
      </c>
      <c r="F33" s="603">
        <f>'R.GUI MAIL'!Z10</f>
        <v>0</v>
      </c>
      <c r="G33" s="489" t="s">
        <v>638</v>
      </c>
      <c r="H33" s="490">
        <f>'R.GUI MAIL'!AC10</f>
        <v>0</v>
      </c>
      <c r="I33" s="499" t="s">
        <v>639</v>
      </c>
      <c r="J33" s="603">
        <f>'R.GUI MAIL'!AF10</f>
        <v>0</v>
      </c>
      <c r="K33" s="489" t="s">
        <v>638</v>
      </c>
      <c r="L33" s="490">
        <f>'R.GUI MAIL'!AI10</f>
        <v>0</v>
      </c>
      <c r="M33" s="499" t="s">
        <v>639</v>
      </c>
      <c r="N33" s="603">
        <f>'R.GUI MAIL'!AL10</f>
        <v>0</v>
      </c>
      <c r="O33" s="489" t="s">
        <v>638</v>
      </c>
      <c r="P33" s="490">
        <f>'R.GUI MAIL'!AO10</f>
        <v>0</v>
      </c>
      <c r="Q33" s="499" t="s">
        <v>639</v>
      </c>
      <c r="R33" s="3529"/>
      <c r="S33" s="3529"/>
    </row>
    <row r="34" spans="1:19" ht="28.5" customHeight="1">
      <c r="A34" s="483">
        <v>5</v>
      </c>
      <c r="B34" s="3671" t="s">
        <v>727</v>
      </c>
      <c r="C34" s="3672">
        <f>R.HN!B7</f>
        <v>4</v>
      </c>
      <c r="D34" s="3573" t="s">
        <v>431</v>
      </c>
      <c r="E34" s="485" t="s">
        <v>725</v>
      </c>
      <c r="F34" s="602">
        <f>'R.GUI MAIL'!Z11</f>
        <v>0</v>
      </c>
      <c r="G34" s="489" t="s">
        <v>638</v>
      </c>
      <c r="H34" s="490">
        <f>'R.GUI MAIL'!AC11</f>
        <v>0</v>
      </c>
      <c r="I34" s="499" t="s">
        <v>639</v>
      </c>
      <c r="J34" s="602">
        <f>'R.GUI MAIL'!AF11</f>
        <v>0</v>
      </c>
      <c r="K34" s="489" t="s">
        <v>638</v>
      </c>
      <c r="L34" s="490">
        <f>'R.GUI MAIL'!AI11</f>
        <v>0</v>
      </c>
      <c r="M34" s="499" t="s">
        <v>639</v>
      </c>
      <c r="N34" s="602">
        <f>'R.GUI MAIL'!AL11</f>
        <v>0</v>
      </c>
      <c r="O34" s="489" t="s">
        <v>638</v>
      </c>
      <c r="P34" s="490">
        <f>'R.GUI MAIL'!AO11</f>
        <v>0</v>
      </c>
      <c r="Q34" s="499" t="s">
        <v>639</v>
      </c>
      <c r="R34" s="3529" t="s">
        <v>636</v>
      </c>
      <c r="S34" s="3529"/>
    </row>
    <row r="35" spans="1:19" ht="28.5" customHeight="1">
      <c r="A35" s="483">
        <v>6</v>
      </c>
      <c r="B35" s="3675"/>
      <c r="C35" s="3676"/>
      <c r="D35" s="3573"/>
      <c r="E35" s="485" t="s">
        <v>726</v>
      </c>
      <c r="F35" s="602">
        <f>'R.GUI MAIL'!Z12</f>
        <v>0</v>
      </c>
      <c r="G35" s="489" t="s">
        <v>638</v>
      </c>
      <c r="H35" s="490">
        <f>'R.GUI MAIL'!AC12</f>
        <v>0</v>
      </c>
      <c r="I35" s="499" t="s">
        <v>639</v>
      </c>
      <c r="J35" s="602">
        <f>'R.GUI MAIL'!AF12</f>
        <v>0</v>
      </c>
      <c r="K35" s="489" t="s">
        <v>638</v>
      </c>
      <c r="L35" s="490">
        <f>'R.GUI MAIL'!AI12</f>
        <v>0</v>
      </c>
      <c r="M35" s="499" t="s">
        <v>639</v>
      </c>
      <c r="N35" s="602">
        <f>'R.GUI MAIL'!AL12</f>
        <v>0</v>
      </c>
      <c r="O35" s="489" t="s">
        <v>638</v>
      </c>
      <c r="P35" s="490">
        <f>'R.GUI MAIL'!AO12</f>
        <v>0</v>
      </c>
      <c r="Q35" s="499" t="s">
        <v>639</v>
      </c>
      <c r="R35" s="3529" t="s">
        <v>637</v>
      </c>
      <c r="S35" s="3529"/>
    </row>
    <row r="36" spans="1:19" ht="28.5" customHeight="1">
      <c r="A36" s="483">
        <v>7</v>
      </c>
      <c r="B36" s="3673"/>
      <c r="C36" s="3674"/>
      <c r="D36" s="3573"/>
      <c r="E36" s="485" t="s">
        <v>614</v>
      </c>
      <c r="F36" s="603">
        <f>'R.GUI MAIL'!Z13</f>
        <v>0</v>
      </c>
      <c r="G36" s="489" t="s">
        <v>638</v>
      </c>
      <c r="H36" s="490">
        <f>'R.GUI MAIL'!AC13</f>
        <v>0</v>
      </c>
      <c r="I36" s="499" t="s">
        <v>639</v>
      </c>
      <c r="J36" s="603">
        <f>'R.GUI MAIL'!AF13</f>
        <v>0</v>
      </c>
      <c r="K36" s="489" t="s">
        <v>638</v>
      </c>
      <c r="L36" s="490">
        <f>'R.GUI MAIL'!AI13</f>
        <v>0</v>
      </c>
      <c r="M36" s="499" t="s">
        <v>639</v>
      </c>
      <c r="N36" s="603">
        <f>'R.GUI MAIL'!AL13</f>
        <v>0</v>
      </c>
      <c r="O36" s="489" t="s">
        <v>638</v>
      </c>
      <c r="P36" s="490">
        <f>'R.GUI MAIL'!AO13</f>
        <v>0</v>
      </c>
      <c r="Q36" s="499" t="s">
        <v>639</v>
      </c>
      <c r="R36" s="3529"/>
      <c r="S36" s="3529"/>
    </row>
    <row r="37" spans="1:19" s="503" customFormat="1" ht="28.5" customHeight="1">
      <c r="A37" s="483">
        <v>8</v>
      </c>
      <c r="B37" s="3671" t="s">
        <v>664</v>
      </c>
      <c r="C37" s="3672"/>
      <c r="D37" s="532" t="s">
        <v>431</v>
      </c>
      <c r="E37" s="487" t="s">
        <v>441</v>
      </c>
      <c r="F37" s="602">
        <f>'R.GUI MAIL'!Z14</f>
        <v>0</v>
      </c>
      <c r="G37" s="489" t="s">
        <v>617</v>
      </c>
      <c r="H37" s="501">
        <f>'R.GUI MAIL'!AC14</f>
        <v>0</v>
      </c>
      <c r="I37" s="502" t="s">
        <v>618</v>
      </c>
      <c r="J37" s="602">
        <f>'R.GUI MAIL'!AF14</f>
        <v>0</v>
      </c>
      <c r="K37" s="489" t="s">
        <v>617</v>
      </c>
      <c r="L37" s="501">
        <f>'R.GUI MAIL'!AI14</f>
        <v>0</v>
      </c>
      <c r="M37" s="502" t="s">
        <v>618</v>
      </c>
      <c r="N37" s="602">
        <f>'R.GUI MAIL'!AL14</f>
        <v>0</v>
      </c>
      <c r="O37" s="489" t="s">
        <v>617</v>
      </c>
      <c r="P37" s="501">
        <f>'R.GUI MAIL'!AO14</f>
        <v>0</v>
      </c>
      <c r="Q37" s="502" t="s">
        <v>618</v>
      </c>
      <c r="R37" s="3529"/>
      <c r="S37" s="3529"/>
    </row>
    <row r="38" spans="1:19" s="503" customFormat="1" ht="28.5" customHeight="1">
      <c r="A38" s="483">
        <v>9</v>
      </c>
      <c r="B38" s="3673"/>
      <c r="C38" s="3674"/>
      <c r="D38" s="543" t="s">
        <v>686</v>
      </c>
      <c r="E38" s="485" t="s">
        <v>620</v>
      </c>
      <c r="F38" s="602">
        <f>'R.GUI MAIL'!Z15</f>
        <v>0</v>
      </c>
      <c r="G38" s="489"/>
      <c r="H38" s="490"/>
      <c r="I38" s="502"/>
      <c r="J38" s="602">
        <f>'R.GUI MAIL'!AF15</f>
        <v>0</v>
      </c>
      <c r="K38" s="489"/>
      <c r="L38" s="490"/>
      <c r="M38" s="502"/>
      <c r="N38" s="602">
        <f>'R.GUI MAIL'!AL15</f>
        <v>0</v>
      </c>
      <c r="O38" s="489"/>
      <c r="P38" s="490"/>
      <c r="Q38" s="502"/>
      <c r="R38" s="3529"/>
      <c r="S38" s="3529"/>
    </row>
    <row r="39" spans="1:19" s="503" customFormat="1" ht="27" customHeight="1">
      <c r="A39" s="3530" t="s">
        <v>621</v>
      </c>
      <c r="B39" s="3530"/>
      <c r="C39" s="3530"/>
      <c r="D39" s="3530"/>
      <c r="E39" s="3530"/>
      <c r="F39" s="3530"/>
      <c r="G39" s="3530"/>
      <c r="H39" s="3530"/>
      <c r="I39" s="3530"/>
      <c r="J39" s="3530"/>
      <c r="K39" s="3530"/>
      <c r="L39" s="3530"/>
      <c r="M39" s="3530"/>
      <c r="N39" s="3530"/>
      <c r="O39" s="3530"/>
      <c r="P39" s="3530"/>
      <c r="Q39" s="3530"/>
      <c r="R39" s="3530"/>
      <c r="S39" s="3530"/>
    </row>
    <row r="40" spans="1:19" s="503" customFormat="1" ht="34.5" customHeight="1">
      <c r="A40" s="483" t="s">
        <v>640</v>
      </c>
      <c r="B40" s="3505" t="s">
        <v>623</v>
      </c>
      <c r="C40" s="3507"/>
      <c r="D40" s="481" t="s">
        <v>624</v>
      </c>
      <c r="E40" s="481" t="s">
        <v>625</v>
      </c>
      <c r="F40" s="3530" t="s">
        <v>45</v>
      </c>
      <c r="G40" s="3530"/>
      <c r="H40" s="3530" t="s">
        <v>62</v>
      </c>
      <c r="I40" s="3530"/>
      <c r="J40" s="3530" t="s">
        <v>45</v>
      </c>
      <c r="K40" s="3530"/>
      <c r="L40" s="3530" t="s">
        <v>62</v>
      </c>
      <c r="M40" s="3530"/>
      <c r="N40" s="3530" t="s">
        <v>45</v>
      </c>
      <c r="O40" s="3530"/>
      <c r="P40" s="3530" t="s">
        <v>62</v>
      </c>
      <c r="Q40" s="3530"/>
      <c r="R40" s="3525" t="s">
        <v>597</v>
      </c>
      <c r="S40" s="3526"/>
    </row>
    <row r="41" spans="1:19" s="503" customFormat="1" ht="27.75" customHeight="1">
      <c r="A41" s="483">
        <v>1</v>
      </c>
      <c r="B41" s="3505" t="s">
        <v>445</v>
      </c>
      <c r="C41" s="3507"/>
      <c r="D41" s="507" t="s">
        <v>627</v>
      </c>
      <c r="E41" s="508" t="s">
        <v>628</v>
      </c>
      <c r="F41" s="3046">
        <f>'R.GUI MAIL'!Z18</f>
        <v>0</v>
      </c>
      <c r="G41" s="3047"/>
      <c r="H41" s="3046">
        <f>'R.FILE GOC'!AC18</f>
        <v>0</v>
      </c>
      <c r="I41" s="3047"/>
      <c r="J41" s="3046">
        <f>'R.GUI MAIL'!AF18</f>
        <v>0</v>
      </c>
      <c r="K41" s="3047"/>
      <c r="L41" s="3046">
        <f>'R.FILE GOC'!AI18</f>
        <v>0</v>
      </c>
      <c r="M41" s="3047"/>
      <c r="N41" s="3046">
        <f>'R.GUI MAIL'!AL18</f>
        <v>0</v>
      </c>
      <c r="O41" s="3047"/>
      <c r="P41" s="3046">
        <f>'R.FILE GOC'!AO18</f>
        <v>0</v>
      </c>
      <c r="Q41" s="3047"/>
      <c r="R41" s="509"/>
      <c r="S41" s="509"/>
    </row>
    <row r="42" spans="1:19" s="503" customFormat="1" ht="27.75" customHeight="1">
      <c r="A42" s="483">
        <v>2</v>
      </c>
      <c r="B42" s="3505" t="s">
        <v>447</v>
      </c>
      <c r="C42" s="3507"/>
      <c r="D42" s="507" t="s">
        <v>627</v>
      </c>
      <c r="E42" s="508" t="s">
        <v>628</v>
      </c>
      <c r="F42" s="3046">
        <f>'R.GUI MAIL'!Z19</f>
        <v>0</v>
      </c>
      <c r="G42" s="3047"/>
      <c r="H42" s="3046">
        <f>'R.FILE GOC'!AC19</f>
        <v>0</v>
      </c>
      <c r="I42" s="3047"/>
      <c r="J42" s="3046">
        <f>'R.GUI MAIL'!AF19</f>
        <v>0</v>
      </c>
      <c r="K42" s="3047"/>
      <c r="L42" s="3046">
        <f>'R.FILE GOC'!AI19</f>
        <v>0</v>
      </c>
      <c r="M42" s="3047"/>
      <c r="N42" s="3046">
        <f>'R.GUI MAIL'!AL19</f>
        <v>0</v>
      </c>
      <c r="O42" s="3047"/>
      <c r="P42" s="3046">
        <f>'R.FILE GOC'!AO19</f>
        <v>0</v>
      </c>
      <c r="Q42" s="3047"/>
      <c r="R42" s="509"/>
      <c r="S42" s="509"/>
    </row>
    <row r="43" spans="1:19" s="503" customFormat="1" ht="27.75" customHeight="1">
      <c r="A43" s="483">
        <v>3</v>
      </c>
      <c r="B43" s="3505" t="s">
        <v>440</v>
      </c>
      <c r="C43" s="3507"/>
      <c r="D43" s="507" t="s">
        <v>627</v>
      </c>
      <c r="E43" s="508" t="s">
        <v>629</v>
      </c>
      <c r="F43" s="3046">
        <f>'R.GUI MAIL'!Z20</f>
        <v>0</v>
      </c>
      <c r="G43" s="3047"/>
      <c r="H43" s="3046">
        <f>'R.FILE GOC'!AC20</f>
        <v>0</v>
      </c>
      <c r="I43" s="3047"/>
      <c r="J43" s="3046">
        <f>'R.GUI MAIL'!AF20</f>
        <v>0</v>
      </c>
      <c r="K43" s="3047"/>
      <c r="L43" s="3046">
        <f>'R.FILE GOC'!AI20</f>
        <v>0</v>
      </c>
      <c r="M43" s="3047"/>
      <c r="N43" s="3046">
        <f>'R.GUI MAIL'!AL20</f>
        <v>0</v>
      </c>
      <c r="O43" s="3047"/>
      <c r="P43" s="3046">
        <f>'R.FILE GOC'!AO20</f>
        <v>0</v>
      </c>
      <c r="Q43" s="3047"/>
      <c r="R43" s="510"/>
      <c r="S43" s="510"/>
    </row>
    <row r="44" spans="1:19" s="503" customFormat="1" ht="27.75" customHeight="1">
      <c r="A44" s="511"/>
      <c r="B44" s="512"/>
      <c r="C44" s="512"/>
      <c r="D44" s="513"/>
      <c r="E44" s="514"/>
      <c r="F44" s="3372"/>
      <c r="G44" s="3372"/>
      <c r="H44" s="3372"/>
      <c r="I44" s="3372"/>
      <c r="J44" s="3670"/>
      <c r="K44" s="3670"/>
      <c r="L44" s="3670"/>
      <c r="M44" s="3670"/>
      <c r="N44" s="3670"/>
      <c r="O44" s="3670"/>
      <c r="P44" s="3670"/>
      <c r="Q44" s="3670"/>
      <c r="R44" s="515"/>
      <c r="S44" s="515"/>
    </row>
    <row r="45" spans="1:19" ht="20.25" customHeight="1">
      <c r="A45" s="517"/>
      <c r="B45" s="518"/>
      <c r="C45" s="518"/>
      <c r="D45" s="519"/>
      <c r="E45" s="518"/>
      <c r="F45" s="518"/>
      <c r="G45" s="518"/>
      <c r="H45" s="518"/>
      <c r="I45" s="518"/>
      <c r="J45" s="518"/>
      <c r="K45" s="518"/>
      <c r="L45" s="518"/>
      <c r="M45" s="518"/>
      <c r="N45" s="518"/>
      <c r="O45" s="518"/>
      <c r="P45" s="518"/>
      <c r="Q45" s="518"/>
    </row>
    <row r="46" spans="1:19" ht="12.75" customHeight="1">
      <c r="A46" s="520"/>
      <c r="B46" s="518"/>
      <c r="C46" s="518"/>
      <c r="D46" s="511"/>
      <c r="E46" s="518"/>
      <c r="F46" s="521"/>
      <c r="G46" s="522"/>
      <c r="H46" s="511"/>
      <c r="I46" s="523"/>
      <c r="J46" s="523"/>
      <c r="K46" s="523"/>
      <c r="L46" s="523"/>
      <c r="M46" s="523"/>
      <c r="N46" s="523"/>
      <c r="O46" s="523"/>
      <c r="P46" s="523"/>
      <c r="Q46" s="523"/>
    </row>
  </sheetData>
  <sheetProtection selectLockedCells="1"/>
  <mergeCells count="140">
    <mergeCell ref="A1:O1"/>
    <mergeCell ref="A2:O2"/>
    <mergeCell ref="P2:Q2"/>
    <mergeCell ref="R2:S2"/>
    <mergeCell ref="P3:Q3"/>
    <mergeCell ref="R3:S3"/>
    <mergeCell ref="K6:M6"/>
    <mergeCell ref="O6:Q6"/>
    <mergeCell ref="R6:S6"/>
    <mergeCell ref="E3:F3"/>
    <mergeCell ref="B7:C7"/>
    <mergeCell ref="R7:S7"/>
    <mergeCell ref="B8:C8"/>
    <mergeCell ref="R8:S8"/>
    <mergeCell ref="A4:A6"/>
    <mergeCell ref="B4:C6"/>
    <mergeCell ref="D4:D6"/>
    <mergeCell ref="E4:E6"/>
    <mergeCell ref="F4:Q4"/>
    <mergeCell ref="R4:S5"/>
    <mergeCell ref="F5:I5"/>
    <mergeCell ref="J5:M5"/>
    <mergeCell ref="N5:Q5"/>
    <mergeCell ref="G6:I6"/>
    <mergeCell ref="B12:B14"/>
    <mergeCell ref="C12:C14"/>
    <mergeCell ref="D12:D14"/>
    <mergeCell ref="R12:S12"/>
    <mergeCell ref="R13:S13"/>
    <mergeCell ref="R14:S14"/>
    <mergeCell ref="B9:B11"/>
    <mergeCell ref="C9:C11"/>
    <mergeCell ref="D9:D11"/>
    <mergeCell ref="R9:S9"/>
    <mergeCell ref="R10:S10"/>
    <mergeCell ref="R11:S11"/>
    <mergeCell ref="B15:C16"/>
    <mergeCell ref="R15:S15"/>
    <mergeCell ref="R16:S16"/>
    <mergeCell ref="A17:S17"/>
    <mergeCell ref="B18:C18"/>
    <mergeCell ref="F18:G18"/>
    <mergeCell ref="H18:I18"/>
    <mergeCell ref="J18:K18"/>
    <mergeCell ref="L18:M18"/>
    <mergeCell ref="N18:O18"/>
    <mergeCell ref="P18:Q18"/>
    <mergeCell ref="R18:S18"/>
    <mergeCell ref="B19:C19"/>
    <mergeCell ref="F19:G19"/>
    <mergeCell ref="H19:I19"/>
    <mergeCell ref="J19:K19"/>
    <mergeCell ref="L19:M19"/>
    <mergeCell ref="N19:O19"/>
    <mergeCell ref="P19:Q19"/>
    <mergeCell ref="F22:I22"/>
    <mergeCell ref="J22:M22"/>
    <mergeCell ref="N22:Q22"/>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B34:B36"/>
    <mergeCell ref="C34:C36"/>
    <mergeCell ref="D34:D36"/>
    <mergeCell ref="R34:S34"/>
    <mergeCell ref="R35:S35"/>
    <mergeCell ref="R36:S36"/>
    <mergeCell ref="B31:B33"/>
    <mergeCell ref="C31:C33"/>
    <mergeCell ref="D31:D33"/>
    <mergeCell ref="R31:S31"/>
    <mergeCell ref="R32:S32"/>
    <mergeCell ref="R33:S33"/>
    <mergeCell ref="B37:C38"/>
    <mergeCell ref="R37:S37"/>
    <mergeCell ref="R38:S38"/>
    <mergeCell ref="A39:S39"/>
    <mergeCell ref="B40:C40"/>
    <mergeCell ref="F40:G40"/>
    <mergeCell ref="H40:I40"/>
    <mergeCell ref="J40:K40"/>
    <mergeCell ref="L40:M40"/>
    <mergeCell ref="N40:O40"/>
    <mergeCell ref="P40:Q40"/>
    <mergeCell ref="R40:S40"/>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s>
  <phoneticPr fontId="7" type="noConversion"/>
  <conditionalFormatting sqref="F7:F8 J7:J8">
    <cfRule type="expression" dxfId="776" priority="140">
      <formula>F7&lt;10</formula>
    </cfRule>
    <cfRule type="expression" dxfId="775" priority="141">
      <formula>F7&gt;15</formula>
    </cfRule>
  </conditionalFormatting>
  <conditionalFormatting sqref="F9 F12 J9 J12">
    <cfRule type="expression" dxfId="774" priority="138">
      <formula>F9&lt;40</formula>
    </cfRule>
    <cfRule type="expression" dxfId="773" priority="139">
      <formula>F9&gt;60</formula>
    </cfRule>
  </conditionalFormatting>
  <conditionalFormatting sqref="F10 F13 J10 J13">
    <cfRule type="expression" dxfId="772" priority="136">
      <formula>F10&lt;5.2</formula>
    </cfRule>
    <cfRule type="expression" dxfId="771" priority="137">
      <formula>F10&gt;7.8</formula>
    </cfRule>
  </conditionalFormatting>
  <conditionalFormatting sqref="F11 F14 J11 J14">
    <cfRule type="expression" dxfId="770" priority="135">
      <formula>F11&gt;0.4</formula>
    </cfRule>
  </conditionalFormatting>
  <conditionalFormatting sqref="F15 J15">
    <cfRule type="expression" dxfId="769" priority="133">
      <formula>F15&lt;0.8</formula>
    </cfRule>
    <cfRule type="expression" dxfId="768" priority="134">
      <formula>F15&gt;1.2</formula>
    </cfRule>
  </conditionalFormatting>
  <conditionalFormatting sqref="F16 J16">
    <cfRule type="expression" dxfId="767" priority="131">
      <formula>F16&lt;8</formula>
    </cfRule>
    <cfRule type="expression" dxfId="766" priority="132">
      <formula>F16&gt;10</formula>
    </cfRule>
  </conditionalFormatting>
  <conditionalFormatting sqref="N29:N30">
    <cfRule type="expression" dxfId="765" priority="125">
      <formula>N29&lt;10</formula>
    </cfRule>
    <cfRule type="expression" dxfId="764" priority="126">
      <formula>N29&gt;15</formula>
    </cfRule>
  </conditionalFormatting>
  <conditionalFormatting sqref="N31 N34">
    <cfRule type="expression" dxfId="763" priority="123">
      <formula>N31&lt;40</formula>
    </cfRule>
    <cfRule type="expression" dxfId="762" priority="124">
      <formula>N31&gt;60</formula>
    </cfRule>
  </conditionalFormatting>
  <conditionalFormatting sqref="N32 N35">
    <cfRule type="expression" dxfId="761" priority="121">
      <formula>N32&lt;5.2</formula>
    </cfRule>
    <cfRule type="expression" dxfId="760" priority="122">
      <formula>N32&gt;7.8</formula>
    </cfRule>
  </conditionalFormatting>
  <conditionalFormatting sqref="N33 N36">
    <cfRule type="expression" dxfId="759" priority="120">
      <formula>N33&gt;0.4</formula>
    </cfRule>
  </conditionalFormatting>
  <conditionalFormatting sqref="N37">
    <cfRule type="expression" dxfId="758" priority="118">
      <formula>N37&lt;0.8</formula>
    </cfRule>
    <cfRule type="expression" dxfId="757" priority="119">
      <formula>N37&gt;1.2</formula>
    </cfRule>
  </conditionalFormatting>
  <conditionalFormatting sqref="N38">
    <cfRule type="expression" dxfId="756" priority="116">
      <formula>N38&lt;8</formula>
    </cfRule>
    <cfRule type="expression" dxfId="755" priority="117">
      <formula>N38&gt;10</formula>
    </cfRule>
  </conditionalFormatting>
  <conditionalFormatting sqref="N7:N8">
    <cfRule type="expression" dxfId="754" priority="106">
      <formula>N7&lt;10</formula>
    </cfRule>
    <cfRule type="expression" dxfId="753" priority="107">
      <formula>N7&gt;15</formula>
    </cfRule>
  </conditionalFormatting>
  <conditionalFormatting sqref="N9 N12">
    <cfRule type="expression" dxfId="752" priority="104">
      <formula>N9&lt;40</formula>
    </cfRule>
    <cfRule type="expression" dxfId="751" priority="105">
      <formula>N9&gt;60</formula>
    </cfRule>
  </conditionalFormatting>
  <conditionalFormatting sqref="N10 N13">
    <cfRule type="expression" dxfId="750" priority="102">
      <formula>N10&lt;5.2</formula>
    </cfRule>
    <cfRule type="expression" dxfId="749" priority="103">
      <formula>N10&gt;7.8</formula>
    </cfRule>
  </conditionalFormatting>
  <conditionalFormatting sqref="N11 N14">
    <cfRule type="expression" dxfId="748" priority="101">
      <formula>N11&gt;0.4</formula>
    </cfRule>
  </conditionalFormatting>
  <conditionalFormatting sqref="N15">
    <cfRule type="expression" dxfId="747" priority="99">
      <formula>N15&lt;0.8</formula>
    </cfRule>
    <cfRule type="expression" dxfId="746" priority="100">
      <formula>N15&gt;1.2</formula>
    </cfRule>
  </conditionalFormatting>
  <conditionalFormatting sqref="N16">
    <cfRule type="expression" dxfId="745" priority="97">
      <formula>N16&lt;8</formula>
    </cfRule>
    <cfRule type="expression" dxfId="744" priority="98">
      <formula>N16&gt;10</formula>
    </cfRule>
  </conditionalFormatting>
  <conditionalFormatting sqref="J29:J30">
    <cfRule type="expression" dxfId="743" priority="95">
      <formula>J29&lt;10</formula>
    </cfRule>
    <cfRule type="expression" dxfId="742" priority="96">
      <formula>J29&gt;15</formula>
    </cfRule>
  </conditionalFormatting>
  <conditionalFormatting sqref="J31 J34">
    <cfRule type="expression" dxfId="741" priority="93">
      <formula>J31&lt;40</formula>
    </cfRule>
    <cfRule type="expression" dxfId="740" priority="94">
      <formula>J31&gt;60</formula>
    </cfRule>
  </conditionalFormatting>
  <conditionalFormatting sqref="J32 J35">
    <cfRule type="expression" dxfId="739" priority="91">
      <formula>J32&lt;5.2</formula>
    </cfRule>
    <cfRule type="expression" dxfId="738" priority="92">
      <formula>J32&gt;7.8</formula>
    </cfRule>
  </conditionalFormatting>
  <conditionalFormatting sqref="J33 J36">
    <cfRule type="expression" dxfId="737" priority="90">
      <formula>J33&gt;0.4</formula>
    </cfRule>
  </conditionalFormatting>
  <conditionalFormatting sqref="J37">
    <cfRule type="expression" dxfId="736" priority="88">
      <formula>J37&lt;0.8</formula>
    </cfRule>
    <cfRule type="expression" dxfId="735" priority="89">
      <formula>J37&gt;1.2</formula>
    </cfRule>
  </conditionalFormatting>
  <conditionalFormatting sqref="J38">
    <cfRule type="expression" dxfId="734" priority="86">
      <formula>J38&lt;8</formula>
    </cfRule>
    <cfRule type="expression" dxfId="733" priority="87">
      <formula>J38&gt;10</formula>
    </cfRule>
  </conditionalFormatting>
  <conditionalFormatting sqref="F29:F30">
    <cfRule type="expression" dxfId="732" priority="80">
      <formula>F29&lt;10</formula>
    </cfRule>
    <cfRule type="expression" dxfId="731" priority="81">
      <formula>F29&gt;15</formula>
    </cfRule>
  </conditionalFormatting>
  <conditionalFormatting sqref="F31 F34">
    <cfRule type="expression" dxfId="730" priority="78">
      <formula>F31&lt;40</formula>
    </cfRule>
    <cfRule type="expression" dxfId="729" priority="79">
      <formula>F31&gt;60</formula>
    </cfRule>
  </conditionalFormatting>
  <conditionalFormatting sqref="F32 F35">
    <cfRule type="expression" dxfId="728" priority="76">
      <formula>F32&lt;5.2</formula>
    </cfRule>
    <cfRule type="expression" dxfId="727" priority="77">
      <formula>F32&gt;7.8</formula>
    </cfRule>
  </conditionalFormatting>
  <conditionalFormatting sqref="F33 F36">
    <cfRule type="expression" dxfId="726" priority="75">
      <formula>F33&gt;0.4</formula>
    </cfRule>
  </conditionalFormatting>
  <conditionalFormatting sqref="F37">
    <cfRule type="expression" dxfId="725" priority="73">
      <formula>F37&lt;0.8</formula>
    </cfRule>
    <cfRule type="expression" dxfId="724" priority="74">
      <formula>F37&gt;1.2</formula>
    </cfRule>
  </conditionalFormatting>
  <conditionalFormatting sqref="F38">
    <cfRule type="expression" dxfId="723" priority="71">
      <formula>F38&lt;8</formula>
    </cfRule>
    <cfRule type="expression" dxfId="722" priority="72">
      <formula>F38&gt;10</formula>
    </cfRule>
  </conditionalFormatting>
  <conditionalFormatting sqref="J8">
    <cfRule type="expression" dxfId="721" priority="61">
      <formula>J8&lt;10</formula>
    </cfRule>
    <cfRule type="expression" dxfId="720" priority="62">
      <formula>J8&gt;15</formula>
    </cfRule>
  </conditionalFormatting>
  <conditionalFormatting sqref="N8">
    <cfRule type="expression" dxfId="719" priority="59">
      <formula>N8&lt;10</formula>
    </cfRule>
    <cfRule type="expression" dxfId="718" priority="60">
      <formula>N8&gt;15</formula>
    </cfRule>
  </conditionalFormatting>
  <conditionalFormatting sqref="F8">
    <cfRule type="expression" dxfId="717" priority="57">
      <formula>F8&lt;10</formula>
    </cfRule>
    <cfRule type="expression" dxfId="716" priority="58">
      <formula>F8&gt;15</formula>
    </cfRule>
  </conditionalFormatting>
  <conditionalFormatting sqref="F8 J8">
    <cfRule type="expression" dxfId="715" priority="55">
      <formula>F8&lt;10</formula>
    </cfRule>
    <cfRule type="expression" dxfId="714" priority="56">
      <formula>F8&gt;15</formula>
    </cfRule>
  </conditionalFormatting>
  <conditionalFormatting sqref="N8">
    <cfRule type="expression" dxfId="713" priority="53">
      <formula>N8&lt;10</formula>
    </cfRule>
    <cfRule type="expression" dxfId="712" priority="54">
      <formula>N8&gt;15</formula>
    </cfRule>
  </conditionalFormatting>
  <conditionalFormatting sqref="F8">
    <cfRule type="expression" dxfId="711" priority="51">
      <formula>F8&lt;10</formula>
    </cfRule>
    <cfRule type="expression" dxfId="710" priority="52">
      <formula>F8&gt;15</formula>
    </cfRule>
  </conditionalFormatting>
  <conditionalFormatting sqref="F8">
    <cfRule type="expression" dxfId="709" priority="50">
      <formula>F8&lt;1</formula>
    </cfRule>
  </conditionalFormatting>
  <conditionalFormatting sqref="J8">
    <cfRule type="expression" dxfId="708" priority="48">
      <formula>J8&lt;10</formula>
    </cfRule>
    <cfRule type="expression" dxfId="707" priority="49">
      <formula>J8&gt;15</formula>
    </cfRule>
  </conditionalFormatting>
  <conditionalFormatting sqref="J8">
    <cfRule type="expression" dxfId="706" priority="47">
      <formula>J8&lt;1</formula>
    </cfRule>
  </conditionalFormatting>
  <conditionalFormatting sqref="N8">
    <cfRule type="expression" dxfId="705" priority="45">
      <formula>N8&lt;10</formula>
    </cfRule>
    <cfRule type="expression" dxfId="704" priority="46">
      <formula>N8&gt;15</formula>
    </cfRule>
  </conditionalFormatting>
  <conditionalFormatting sqref="N8">
    <cfRule type="expression" dxfId="703" priority="43">
      <formula>N8&lt;10</formula>
    </cfRule>
    <cfRule type="expression" dxfId="702" priority="44">
      <formula>N8&gt;15</formula>
    </cfRule>
  </conditionalFormatting>
  <conditionalFormatting sqref="N8">
    <cfRule type="expression" dxfId="701" priority="42">
      <formula>N8&lt;1</formula>
    </cfRule>
  </conditionalFormatting>
  <conditionalFormatting sqref="F30 J30">
    <cfRule type="expression" dxfId="700" priority="40">
      <formula>F30&lt;10</formula>
    </cfRule>
    <cfRule type="expression" dxfId="699" priority="41">
      <formula>F30&gt;15</formula>
    </cfRule>
  </conditionalFormatting>
  <conditionalFormatting sqref="N30">
    <cfRule type="expression" dxfId="698" priority="38">
      <formula>N30&lt;10</formula>
    </cfRule>
    <cfRule type="expression" dxfId="697" priority="39">
      <formula>N30&gt;15</formula>
    </cfRule>
  </conditionalFormatting>
  <conditionalFormatting sqref="J30">
    <cfRule type="expression" dxfId="696" priority="36">
      <formula>J30&lt;10</formula>
    </cfRule>
    <cfRule type="expression" dxfId="695" priority="37">
      <formula>J30&gt;15</formula>
    </cfRule>
  </conditionalFormatting>
  <conditionalFormatting sqref="N30">
    <cfRule type="expression" dxfId="694" priority="34">
      <formula>N30&lt;10</formula>
    </cfRule>
    <cfRule type="expression" dxfId="693" priority="35">
      <formula>N30&gt;15</formula>
    </cfRule>
  </conditionalFormatting>
  <conditionalFormatting sqref="F30">
    <cfRule type="expression" dxfId="692" priority="32">
      <formula>F30&lt;10</formula>
    </cfRule>
    <cfRule type="expression" dxfId="691" priority="33">
      <formula>F30&gt;15</formula>
    </cfRule>
  </conditionalFormatting>
  <conditionalFormatting sqref="F30 J30">
    <cfRule type="expression" dxfId="690" priority="30">
      <formula>F30&lt;10</formula>
    </cfRule>
    <cfRule type="expression" dxfId="689" priority="31">
      <formula>F30&gt;15</formula>
    </cfRule>
  </conditionalFormatting>
  <conditionalFormatting sqref="N30">
    <cfRule type="expression" dxfId="688" priority="28">
      <formula>N30&lt;10</formula>
    </cfRule>
    <cfRule type="expression" dxfId="687" priority="29">
      <formula>N30&gt;15</formula>
    </cfRule>
  </conditionalFormatting>
  <conditionalFormatting sqref="F30">
    <cfRule type="expression" dxfId="686" priority="26">
      <formula>F30&lt;10</formula>
    </cfRule>
    <cfRule type="expression" dxfId="685" priority="27">
      <formula>F30&gt;15</formula>
    </cfRule>
  </conditionalFormatting>
  <conditionalFormatting sqref="F30">
    <cfRule type="expression" dxfId="684" priority="25">
      <formula>F30&lt;1</formula>
    </cfRule>
  </conditionalFormatting>
  <conditionalFormatting sqref="J30">
    <cfRule type="expression" dxfId="683" priority="23">
      <formula>J30&lt;10</formula>
    </cfRule>
    <cfRule type="expression" dxfId="682" priority="24">
      <formula>J30&gt;15</formula>
    </cfRule>
  </conditionalFormatting>
  <conditionalFormatting sqref="J30">
    <cfRule type="expression" dxfId="681" priority="22">
      <formula>J30&lt;1</formula>
    </cfRule>
  </conditionalFormatting>
  <conditionalFormatting sqref="N30">
    <cfRule type="expression" dxfId="680" priority="20">
      <formula>N30&lt;10</formula>
    </cfRule>
    <cfRule type="expression" dxfId="679" priority="21">
      <formula>N30&gt;15</formula>
    </cfRule>
  </conditionalFormatting>
  <conditionalFormatting sqref="N30">
    <cfRule type="expression" dxfId="678" priority="18">
      <formula>N30&lt;10</formula>
    </cfRule>
    <cfRule type="expression" dxfId="677" priority="19">
      <formula>N30&gt;15</formula>
    </cfRule>
  </conditionalFormatting>
  <conditionalFormatting sqref="N30">
    <cfRule type="expression" dxfId="676" priority="17">
      <formula>N30&lt;1</formula>
    </cfRule>
  </conditionalFormatting>
  <conditionalFormatting sqref="F41:G42">
    <cfRule type="expression" dxfId="675" priority="15">
      <formula>F41&lt;65</formula>
    </cfRule>
    <cfRule type="expression" dxfId="674" priority="16">
      <formula>F41&gt;85</formula>
    </cfRule>
  </conditionalFormatting>
  <conditionalFormatting sqref="F43:G43">
    <cfRule type="expression" dxfId="673" priority="13">
      <formula>F43&lt;80</formula>
    </cfRule>
    <cfRule type="expression" dxfId="672" priority="14">
      <formula>F43&gt;90</formula>
    </cfRule>
  </conditionalFormatting>
  <conditionalFormatting sqref="H41:Q42">
    <cfRule type="expression" dxfId="671" priority="11">
      <formula>H41&lt;65</formula>
    </cfRule>
    <cfRule type="expression" dxfId="670" priority="12">
      <formula>H41&gt;85</formula>
    </cfRule>
  </conditionalFormatting>
  <conditionalFormatting sqref="H43:Q43">
    <cfRule type="expression" dxfId="669" priority="9">
      <formula>H43&lt;80</formula>
    </cfRule>
    <cfRule type="expression" dxfId="668" priority="10">
      <formula>H43&gt;90</formula>
    </cfRule>
  </conditionalFormatting>
  <conditionalFormatting sqref="F19:G20">
    <cfRule type="expression" dxfId="667" priority="7">
      <formula>F19&lt;65</formula>
    </cfRule>
    <cfRule type="expression" dxfId="666" priority="8">
      <formula>F19&gt;85</formula>
    </cfRule>
  </conditionalFormatting>
  <conditionalFormatting sqref="F21:G21">
    <cfRule type="expression" dxfId="665" priority="5">
      <formula>F21&lt;80</formula>
    </cfRule>
    <cfRule type="expression" dxfId="664" priority="6">
      <formula>F21&gt;90</formula>
    </cfRule>
  </conditionalFormatting>
  <conditionalFormatting sqref="H19:Q20">
    <cfRule type="expression" dxfId="663" priority="3">
      <formula>H19&lt;65</formula>
    </cfRule>
    <cfRule type="expression" dxfId="662" priority="4">
      <formula>H19&gt;85</formula>
    </cfRule>
  </conditionalFormatting>
  <conditionalFormatting sqref="H21:Q21">
    <cfRule type="expression" dxfId="661" priority="1">
      <formula>H21&lt;80</formula>
    </cfRule>
    <cfRule type="expression" dxfId="660"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sqref="A1:Q35"/>
    </sheetView>
  </sheetViews>
  <sheetFormatPr defaultRowHeight="13.5"/>
  <cols>
    <col min="1" max="1" width="5.5" style="474" customWidth="1"/>
    <col min="2" max="2" width="23.375" style="524" customWidth="1"/>
    <col min="3" max="3" width="9.75" style="474" customWidth="1"/>
    <col min="4" max="4" width="14" style="474" customWidth="1"/>
    <col min="5" max="5" width="7.375" style="474" customWidth="1"/>
    <col min="6" max="6" width="3.25" style="474" customWidth="1"/>
    <col min="7" max="7" width="6.5" style="474" customWidth="1"/>
    <col min="8" max="8" width="4.375" style="474" customWidth="1"/>
    <col min="9" max="9" width="8.5" style="474" customWidth="1"/>
    <col min="10" max="10" width="2.625" style="474" customWidth="1"/>
    <col min="11" max="11" width="6.875" style="474" customWidth="1"/>
    <col min="12" max="12" width="4.25" style="474" customWidth="1"/>
    <col min="13" max="13" width="8.5" style="474" customWidth="1"/>
    <col min="14" max="14" width="2.625" style="474" customWidth="1"/>
    <col min="15" max="15" width="6.875" style="474" customWidth="1"/>
    <col min="16" max="16" width="4.25" style="474" customWidth="1"/>
    <col min="17" max="17" width="11.125" style="474" customWidth="1"/>
    <col min="18" max="16384" width="9" style="474"/>
  </cols>
  <sheetData>
    <row r="1" spans="1:17" ht="27.75" customHeight="1">
      <c r="A1" s="3560" t="s">
        <v>588</v>
      </c>
      <c r="B1" s="3560"/>
      <c r="C1" s="3560"/>
      <c r="D1" s="3560"/>
      <c r="E1" s="3560"/>
      <c r="F1" s="3560"/>
      <c r="G1" s="3560"/>
      <c r="H1" s="3560"/>
      <c r="I1" s="3560"/>
      <c r="J1" s="3560"/>
      <c r="K1" s="3560"/>
      <c r="L1" s="3560"/>
      <c r="M1" s="472"/>
      <c r="N1" s="472"/>
      <c r="O1" s="472"/>
      <c r="P1" s="472"/>
      <c r="Q1" s="472"/>
    </row>
    <row r="2" spans="1:17" ht="36.75" customHeight="1">
      <c r="A2" s="3557" t="s">
        <v>925</v>
      </c>
      <c r="B2" s="3557"/>
      <c r="C2" s="3557"/>
      <c r="D2" s="3557"/>
      <c r="E2" s="3557"/>
      <c r="F2" s="3557"/>
      <c r="G2" s="3557"/>
      <c r="H2" s="3557"/>
      <c r="I2" s="3557"/>
      <c r="J2" s="3557"/>
      <c r="K2" s="3557"/>
      <c r="L2" s="3557"/>
      <c r="M2" s="475"/>
      <c r="N2" s="475"/>
      <c r="O2" s="3337" t="s">
        <v>641</v>
      </c>
      <c r="P2" s="3339"/>
      <c r="Q2" s="75" t="s">
        <v>17</v>
      </c>
    </row>
    <row r="3" spans="1:17" ht="29.25" customHeight="1">
      <c r="A3" s="476"/>
      <c r="B3" s="477" t="s">
        <v>591</v>
      </c>
      <c r="C3" s="1999" t="str">
        <f>MENU!$AC$9</f>
        <v>Thứ 4,</v>
      </c>
      <c r="D3" s="1822" t="str">
        <f>MENU!$AD$9</f>
        <v>2024/05/22</v>
      </c>
      <c r="E3" s="3682"/>
      <c r="F3" s="3682"/>
      <c r="G3" s="478"/>
      <c r="H3" s="478"/>
      <c r="I3" s="3577"/>
      <c r="J3" s="3577"/>
      <c r="K3" s="3577"/>
      <c r="L3" s="526"/>
      <c r="M3" s="477"/>
      <c r="N3" s="477"/>
      <c r="O3" s="3565" t="str">
        <f>'1.xi den'!$R$3</f>
        <v>Mi</v>
      </c>
      <c r="P3" s="3566"/>
      <c r="Q3" s="527" t="s">
        <v>642</v>
      </c>
    </row>
    <row r="4" spans="1:17" s="528" customFormat="1" ht="39" customHeight="1">
      <c r="A4" s="3578" t="s">
        <v>643</v>
      </c>
      <c r="B4" s="3575" t="s">
        <v>644</v>
      </c>
      <c r="C4" s="3575" t="s">
        <v>645</v>
      </c>
      <c r="D4" s="3582" t="s">
        <v>646</v>
      </c>
      <c r="E4" s="3522" t="s">
        <v>926</v>
      </c>
      <c r="F4" s="3523"/>
      <c r="G4" s="3523"/>
      <c r="H4" s="3523"/>
      <c r="I4" s="3523"/>
      <c r="J4" s="3523"/>
      <c r="K4" s="3523"/>
      <c r="L4" s="3523"/>
      <c r="M4" s="3523"/>
      <c r="N4" s="3523"/>
      <c r="O4" s="3523"/>
      <c r="P4" s="3524"/>
      <c r="Q4" s="3148" t="s">
        <v>647</v>
      </c>
    </row>
    <row r="5" spans="1:17" s="528" customFormat="1" ht="25.5" customHeight="1">
      <c r="A5" s="3579"/>
      <c r="B5" s="3575"/>
      <c r="C5" s="3575"/>
      <c r="D5" s="3582"/>
      <c r="E5" s="3547">
        <v>0.375</v>
      </c>
      <c r="F5" s="3538"/>
      <c r="G5" s="3538"/>
      <c r="H5" s="3538"/>
      <c r="I5" s="3548">
        <v>0.5625</v>
      </c>
      <c r="J5" s="3549"/>
      <c r="K5" s="3549"/>
      <c r="L5" s="3550"/>
      <c r="M5" s="3548">
        <v>0.72916666666666663</v>
      </c>
      <c r="N5" s="3549"/>
      <c r="O5" s="3549"/>
      <c r="P5" s="3550"/>
      <c r="Q5" s="3149"/>
    </row>
    <row r="6" spans="1:17" s="528" customFormat="1" ht="40.5" customHeight="1">
      <c r="A6" s="3580"/>
      <c r="B6" s="3581"/>
      <c r="C6" s="3581"/>
      <c r="D6" s="3583"/>
      <c r="E6" s="529" t="s">
        <v>648</v>
      </c>
      <c r="F6" s="3366" t="s">
        <v>649</v>
      </c>
      <c r="G6" s="3374"/>
      <c r="H6" s="3576"/>
      <c r="I6" s="529" t="s">
        <v>648</v>
      </c>
      <c r="J6" s="3366" t="s">
        <v>649</v>
      </c>
      <c r="K6" s="3374"/>
      <c r="L6" s="3576"/>
      <c r="M6" s="529" t="s">
        <v>648</v>
      </c>
      <c r="N6" s="3366" t="s">
        <v>649</v>
      </c>
      <c r="O6" s="3374"/>
      <c r="P6" s="3576"/>
      <c r="Q6" s="271" t="s">
        <v>650</v>
      </c>
    </row>
    <row r="7" spans="1:17" s="528" customFormat="1" ht="27.75" customHeight="1">
      <c r="A7" s="530">
        <v>1</v>
      </c>
      <c r="B7" s="531" t="s">
        <v>651</v>
      </c>
      <c r="C7" s="532" t="s">
        <v>652</v>
      </c>
      <c r="D7" s="487" t="s">
        <v>728</v>
      </c>
      <c r="E7" s="602">
        <f>'R.GUI MAIL'!H25</f>
        <v>0</v>
      </c>
      <c r="F7" s="493" t="s">
        <v>653</v>
      </c>
      <c r="G7" s="494">
        <f>'R.GUI MAIL'!K25</f>
        <v>0</v>
      </c>
      <c r="H7" s="210" t="s">
        <v>654</v>
      </c>
      <c r="I7" s="602">
        <f>'R.GUI MAIL'!N25</f>
        <v>0</v>
      </c>
      <c r="J7" s="493" t="s">
        <v>653</v>
      </c>
      <c r="K7" s="494">
        <f>'R.GUI MAIL'!Q25</f>
        <v>0</v>
      </c>
      <c r="L7" s="210" t="s">
        <v>654</v>
      </c>
      <c r="M7" s="602">
        <f>'R.GUI MAIL'!T25</f>
        <v>0</v>
      </c>
      <c r="N7" s="493" t="s">
        <v>638</v>
      </c>
      <c r="O7" s="494">
        <f>'R.GUI MAIL'!W25</f>
        <v>0</v>
      </c>
      <c r="P7" s="210" t="s">
        <v>639</v>
      </c>
      <c r="Q7" s="271" t="s">
        <v>655</v>
      </c>
    </row>
    <row r="8" spans="1:17" s="537" customFormat="1" ht="27.75" customHeight="1">
      <c r="A8" s="530">
        <v>2</v>
      </c>
      <c r="B8" s="534" t="s">
        <v>656</v>
      </c>
      <c r="C8" s="535" t="s">
        <v>657</v>
      </c>
      <c r="D8" s="536" t="s">
        <v>729</v>
      </c>
      <c r="E8" s="602">
        <f>'R.GUI MAIL'!H26</f>
        <v>0</v>
      </c>
      <c r="F8" s="493" t="s">
        <v>658</v>
      </c>
      <c r="G8" s="494">
        <f>'R.GUI MAIL'!K26</f>
        <v>0</v>
      </c>
      <c r="H8" s="210" t="s">
        <v>659</v>
      </c>
      <c r="I8" s="602">
        <f>'R.GUI MAIL'!N26</f>
        <v>0</v>
      </c>
      <c r="J8" s="493" t="s">
        <v>658</v>
      </c>
      <c r="K8" s="494">
        <f>'R.GUI MAIL'!Q26</f>
        <v>0</v>
      </c>
      <c r="L8" s="210" t="s">
        <v>659</v>
      </c>
      <c r="M8" s="602">
        <f>'R.GUI MAIL'!T26</f>
        <v>0</v>
      </c>
      <c r="N8" s="493" t="s">
        <v>638</v>
      </c>
      <c r="O8" s="494">
        <f>'R.GUI MAIL'!W26</f>
        <v>0</v>
      </c>
      <c r="P8" s="210" t="s">
        <v>659</v>
      </c>
      <c r="Q8" s="271" t="s">
        <v>690</v>
      </c>
    </row>
    <row r="9" spans="1:17" s="537" customFormat="1" ht="27.75" customHeight="1">
      <c r="A9" s="530">
        <v>3</v>
      </c>
      <c r="B9" s="3570" t="s">
        <v>661</v>
      </c>
      <c r="C9" s="3573" t="s">
        <v>431</v>
      </c>
      <c r="D9" s="487" t="s">
        <v>730</v>
      </c>
      <c r="E9" s="602">
        <f>'R.GUI MAIL'!H27</f>
        <v>0</v>
      </c>
      <c r="F9" s="493" t="s">
        <v>653</v>
      </c>
      <c r="G9" s="494">
        <f>'R.GUI MAIL'!K27</f>
        <v>0</v>
      </c>
      <c r="H9" s="210" t="s">
        <v>654</v>
      </c>
      <c r="I9" s="602">
        <f>'R.GUI MAIL'!N27</f>
        <v>0</v>
      </c>
      <c r="J9" s="493" t="s">
        <v>653</v>
      </c>
      <c r="K9" s="494">
        <f>'R.GUI MAIL'!Q27</f>
        <v>0</v>
      </c>
      <c r="L9" s="210" t="s">
        <v>654</v>
      </c>
      <c r="M9" s="602">
        <f>'R.GUI MAIL'!T27</f>
        <v>0</v>
      </c>
      <c r="N9" s="493" t="s">
        <v>638</v>
      </c>
      <c r="O9" s="494">
        <f>'R.GUI MAIL'!W27</f>
        <v>0</v>
      </c>
      <c r="P9" s="210" t="s">
        <v>639</v>
      </c>
      <c r="Q9" s="271" t="s">
        <v>692</v>
      </c>
    </row>
    <row r="10" spans="1:17" s="537" customFormat="1" ht="27.75" customHeight="1">
      <c r="A10" s="530">
        <v>4</v>
      </c>
      <c r="B10" s="3571"/>
      <c r="C10" s="3573"/>
      <c r="D10" s="487" t="s">
        <v>726</v>
      </c>
      <c r="E10" s="602">
        <f>'R.GUI MAIL'!H28</f>
        <v>0</v>
      </c>
      <c r="F10" s="493" t="s">
        <v>653</v>
      </c>
      <c r="G10" s="494">
        <f>'R.GUI MAIL'!K28</f>
        <v>0</v>
      </c>
      <c r="H10" s="210" t="s">
        <v>654</v>
      </c>
      <c r="I10" s="602">
        <f>'R.GUI MAIL'!N28</f>
        <v>0</v>
      </c>
      <c r="J10" s="493" t="s">
        <v>653</v>
      </c>
      <c r="K10" s="494">
        <f>'R.GUI MAIL'!Q28</f>
        <v>0</v>
      </c>
      <c r="L10" s="210" t="s">
        <v>654</v>
      </c>
      <c r="M10" s="602">
        <f>'R.GUI MAIL'!T28</f>
        <v>0</v>
      </c>
      <c r="N10" s="493" t="s">
        <v>638</v>
      </c>
      <c r="O10" s="494">
        <f>'R.GUI MAIL'!W28</f>
        <v>0</v>
      </c>
      <c r="P10" s="210" t="s">
        <v>639</v>
      </c>
      <c r="Q10" s="271" t="s">
        <v>693</v>
      </c>
    </row>
    <row r="11" spans="1:17" s="537" customFormat="1" ht="27.75" customHeight="1">
      <c r="A11" s="530">
        <v>5</v>
      </c>
      <c r="B11" s="3572"/>
      <c r="C11" s="3573"/>
      <c r="D11" s="487" t="s">
        <v>614</v>
      </c>
      <c r="E11" s="603">
        <f>'R.GUI MAIL'!H29</f>
        <v>0</v>
      </c>
      <c r="F11" s="493" t="s">
        <v>653</v>
      </c>
      <c r="G11" s="494">
        <f>'R.GUI MAIL'!K29</f>
        <v>0</v>
      </c>
      <c r="H11" s="65" t="s">
        <v>654</v>
      </c>
      <c r="I11" s="603">
        <f>'R.GUI MAIL'!N29</f>
        <v>0</v>
      </c>
      <c r="J11" s="493" t="s">
        <v>653</v>
      </c>
      <c r="K11" s="494">
        <f>'R.GUI MAIL'!Q29</f>
        <v>0</v>
      </c>
      <c r="L11" s="65" t="s">
        <v>654</v>
      </c>
      <c r="M11" s="603">
        <f>'R.GUI MAIL'!T29</f>
        <v>0</v>
      </c>
      <c r="N11" s="493" t="s">
        <v>638</v>
      </c>
      <c r="O11" s="494">
        <f>'R.GUI MAIL'!W29</f>
        <v>0</v>
      </c>
      <c r="P11" s="65" t="s">
        <v>639</v>
      </c>
      <c r="Q11" s="539"/>
    </row>
    <row r="12" spans="1:17" s="542" customFormat="1" ht="27.75" customHeight="1">
      <c r="A12" s="530">
        <v>6</v>
      </c>
      <c r="B12" s="3570" t="s">
        <v>664</v>
      </c>
      <c r="C12" s="532" t="s">
        <v>431</v>
      </c>
      <c r="D12" s="487" t="s">
        <v>441</v>
      </c>
      <c r="E12" s="602">
        <f>'R.GUI MAIL'!H30</f>
        <v>0</v>
      </c>
      <c r="F12" s="493"/>
      <c r="G12" s="540">
        <f>'R.GUI MAIL'!K30</f>
        <v>0</v>
      </c>
      <c r="H12" s="65" t="s">
        <v>654</v>
      </c>
      <c r="I12" s="602">
        <f>'R.GUI MAIL'!N30</f>
        <v>0</v>
      </c>
      <c r="J12" s="493"/>
      <c r="K12" s="540">
        <f>'R.GUI MAIL'!Q30</f>
        <v>0</v>
      </c>
      <c r="L12" s="65" t="s">
        <v>654</v>
      </c>
      <c r="M12" s="602">
        <f>'R.GUI MAIL'!T30</f>
        <v>0</v>
      </c>
      <c r="N12" s="493"/>
      <c r="O12" s="540">
        <f>'R.GUI MAIL'!W30</f>
        <v>0</v>
      </c>
      <c r="P12" s="65" t="s">
        <v>639</v>
      </c>
      <c r="Q12" s="541" t="s">
        <v>665</v>
      </c>
    </row>
    <row r="13" spans="1:17" s="542" customFormat="1" ht="27.75" customHeight="1">
      <c r="A13" s="530">
        <v>7</v>
      </c>
      <c r="B13" s="3572"/>
      <c r="C13" s="543" t="s">
        <v>666</v>
      </c>
      <c r="D13" s="986" t="s">
        <v>974</v>
      </c>
      <c r="E13" s="602">
        <f>'R.GUI MAIL'!H31</f>
        <v>0</v>
      </c>
      <c r="F13" s="493" t="s">
        <v>653</v>
      </c>
      <c r="G13" s="494">
        <f>'R.GUI MAIL'!K31</f>
        <v>0</v>
      </c>
      <c r="H13" s="210" t="s">
        <v>654</v>
      </c>
      <c r="I13" s="602">
        <f>'R.GUI MAIL'!N31</f>
        <v>0</v>
      </c>
      <c r="J13" s="493" t="s">
        <v>653</v>
      </c>
      <c r="K13" s="494">
        <f>'R.GUI MAIL'!Q31</f>
        <v>0</v>
      </c>
      <c r="L13" s="210" t="s">
        <v>654</v>
      </c>
      <c r="M13" s="602">
        <f>'R.GUI MAIL'!T31</f>
        <v>0</v>
      </c>
      <c r="N13" s="493" t="s">
        <v>638</v>
      </c>
      <c r="O13" s="494">
        <f>'R.GUI MAIL'!W31</f>
        <v>0</v>
      </c>
      <c r="P13" s="210" t="s">
        <v>639</v>
      </c>
      <c r="Q13" s="210"/>
    </row>
    <row r="14" spans="1:17" s="537" customFormat="1" ht="30.75" customHeight="1">
      <c r="A14" s="3574" t="s">
        <v>667</v>
      </c>
      <c r="B14" s="3574"/>
      <c r="C14" s="3574"/>
      <c r="D14" s="3574"/>
      <c r="E14" s="3574"/>
      <c r="F14" s="3574"/>
      <c r="G14" s="3574"/>
      <c r="H14" s="3574"/>
      <c r="I14" s="3574"/>
      <c r="J14" s="3574"/>
      <c r="K14" s="3574"/>
      <c r="L14" s="3574"/>
      <c r="M14" s="3574"/>
      <c r="N14" s="3574"/>
      <c r="O14" s="3574"/>
      <c r="P14" s="3574"/>
      <c r="Q14" s="3574"/>
    </row>
    <row r="15" spans="1:17" s="537" customFormat="1" ht="37.5" customHeight="1">
      <c r="A15" s="210" t="s">
        <v>668</v>
      </c>
      <c r="B15" s="544" t="s">
        <v>669</v>
      </c>
      <c r="C15" s="544" t="s">
        <v>670</v>
      </c>
      <c r="D15" s="544" t="s">
        <v>671</v>
      </c>
      <c r="E15" s="3530" t="s">
        <v>45</v>
      </c>
      <c r="F15" s="3530"/>
      <c r="G15" s="3530" t="s">
        <v>62</v>
      </c>
      <c r="H15" s="3530"/>
      <c r="I15" s="3530" t="s">
        <v>45</v>
      </c>
      <c r="J15" s="3530"/>
      <c r="K15" s="3530" t="s">
        <v>62</v>
      </c>
      <c r="L15" s="3530"/>
      <c r="M15" s="3530" t="s">
        <v>45</v>
      </c>
      <c r="N15" s="3530"/>
      <c r="O15" s="3530" t="s">
        <v>62</v>
      </c>
      <c r="P15" s="3530"/>
      <c r="Q15" s="325"/>
    </row>
    <row r="16" spans="1:17" s="537" customFormat="1" ht="27.75" customHeight="1">
      <c r="A16" s="210">
        <v>1</v>
      </c>
      <c r="B16" s="544" t="s">
        <v>672</v>
      </c>
      <c r="C16" s="545" t="s">
        <v>673</v>
      </c>
      <c r="D16" s="487" t="s">
        <v>674</v>
      </c>
      <c r="E16" s="3683">
        <f>'R.FILE GOC'!H34</f>
        <v>0</v>
      </c>
      <c r="F16" s="3684"/>
      <c r="G16" s="3118">
        <f>'R.FILE GOC'!K34</f>
        <v>0</v>
      </c>
      <c r="H16" s="3119"/>
      <c r="I16" s="3683">
        <f>'R.FILE GOC'!N34</f>
        <v>0</v>
      </c>
      <c r="J16" s="3684"/>
      <c r="K16" s="3118">
        <f>'R.FILE GOC'!Q34</f>
        <v>0</v>
      </c>
      <c r="L16" s="3119"/>
      <c r="M16" s="3683">
        <f>'R.GUI MAIL'!T34</f>
        <v>0</v>
      </c>
      <c r="N16" s="3684"/>
      <c r="O16" s="3126">
        <f>'R.FILE GOC'!W34</f>
        <v>0</v>
      </c>
      <c r="P16" s="3126"/>
      <c r="Q16" s="494"/>
    </row>
    <row r="17" spans="1:17" s="537" customFormat="1" ht="27.75" customHeight="1">
      <c r="A17" s="210">
        <v>2</v>
      </c>
      <c r="B17" s="544" t="s">
        <v>675</v>
      </c>
      <c r="C17" s="545" t="s">
        <v>673</v>
      </c>
      <c r="D17" s="487" t="s">
        <v>676</v>
      </c>
      <c r="E17" s="3118">
        <f>'R.FILE GOC'!H35</f>
        <v>0</v>
      </c>
      <c r="F17" s="3119"/>
      <c r="G17" s="3118">
        <f>'R.FILE GOC'!K35</f>
        <v>0</v>
      </c>
      <c r="H17" s="3119"/>
      <c r="I17" s="3118">
        <f>'R.FILE GOC'!N35</f>
        <v>0</v>
      </c>
      <c r="J17" s="3119"/>
      <c r="K17" s="3118">
        <f>'R.FILE GOC'!Q35</f>
        <v>0</v>
      </c>
      <c r="L17" s="3119"/>
      <c r="M17" s="3118">
        <f>'R.GUI MAIL'!T35</f>
        <v>0</v>
      </c>
      <c r="N17" s="3119"/>
      <c r="O17" s="3126">
        <f>'R.FILE GOC'!W35</f>
        <v>0</v>
      </c>
      <c r="P17" s="3126"/>
      <c r="Q17" s="494"/>
    </row>
    <row r="18" spans="1:17" s="537" customFormat="1" ht="27.75" customHeight="1">
      <c r="A18" s="210">
        <v>3</v>
      </c>
      <c r="B18" s="544" t="s">
        <v>677</v>
      </c>
      <c r="C18" s="545" t="s">
        <v>673</v>
      </c>
      <c r="D18" s="487" t="s">
        <v>678</v>
      </c>
      <c r="E18" s="3683">
        <f>'R.FILE GOC'!H36</f>
        <v>0</v>
      </c>
      <c r="F18" s="3684"/>
      <c r="G18" s="3118">
        <f>'R.FILE GOC'!K36</f>
        <v>0</v>
      </c>
      <c r="H18" s="3119"/>
      <c r="I18" s="3683">
        <f>'R.FILE GOC'!N36</f>
        <v>0</v>
      </c>
      <c r="J18" s="3684"/>
      <c r="K18" s="3118">
        <f>'R.FILE GOC'!Q36</f>
        <v>0</v>
      </c>
      <c r="L18" s="3119"/>
      <c r="M18" s="3683">
        <f>'R.GUI MAIL'!T36</f>
        <v>0</v>
      </c>
      <c r="N18" s="3684"/>
      <c r="O18" s="3126">
        <f>'R.FILE GOC'!W36</f>
        <v>0</v>
      </c>
      <c r="P18" s="3126"/>
      <c r="Q18" s="494"/>
    </row>
    <row r="19" spans="1:17" ht="36.75" customHeight="1">
      <c r="A19" s="3557" t="s">
        <v>925</v>
      </c>
      <c r="B19" s="3557"/>
      <c r="C19" s="3557"/>
      <c r="D19" s="3557"/>
      <c r="E19" s="3557"/>
      <c r="F19" s="3557"/>
      <c r="G19" s="3557"/>
      <c r="H19" s="3557"/>
      <c r="I19" s="3557"/>
      <c r="J19" s="3557"/>
      <c r="K19" s="3557"/>
      <c r="L19" s="3557"/>
      <c r="M19" s="475"/>
      <c r="N19" s="475"/>
      <c r="O19" s="475"/>
      <c r="P19" s="475"/>
      <c r="Q19" s="546"/>
    </row>
    <row r="20" spans="1:17" ht="21.75" customHeight="1">
      <c r="A20" s="476"/>
      <c r="B20" s="477" t="s">
        <v>679</v>
      </c>
      <c r="C20" s="478"/>
      <c r="D20" s="478"/>
      <c r="E20" s="478"/>
      <c r="F20" s="478"/>
      <c r="G20" s="478"/>
      <c r="H20" s="478"/>
      <c r="I20" s="3577"/>
      <c r="J20" s="3577"/>
      <c r="K20" s="3577"/>
      <c r="L20" s="526"/>
      <c r="M20" s="3577"/>
      <c r="N20" s="3577"/>
      <c r="O20" s="3577"/>
      <c r="P20" s="526"/>
      <c r="Q20" s="547"/>
    </row>
    <row r="21" spans="1:17" s="528" customFormat="1" ht="37.5" customHeight="1">
      <c r="A21" s="3578" t="s">
        <v>680</v>
      </c>
      <c r="B21" s="3575" t="s">
        <v>644</v>
      </c>
      <c r="C21" s="3575" t="s">
        <v>645</v>
      </c>
      <c r="D21" s="3582" t="s">
        <v>646</v>
      </c>
      <c r="E21" s="3522" t="s">
        <v>920</v>
      </c>
      <c r="F21" s="3523"/>
      <c r="G21" s="3523"/>
      <c r="H21" s="3523"/>
      <c r="I21" s="3523"/>
      <c r="J21" s="3523"/>
      <c r="K21" s="3523"/>
      <c r="L21" s="3523"/>
      <c r="M21" s="3523"/>
      <c r="N21" s="3523"/>
      <c r="O21" s="3523"/>
      <c r="P21" s="3524"/>
      <c r="Q21" s="3157" t="s">
        <v>647</v>
      </c>
    </row>
    <row r="22" spans="1:17" s="528" customFormat="1" ht="20.25" customHeight="1">
      <c r="A22" s="3579"/>
      <c r="B22" s="3575"/>
      <c r="C22" s="3575"/>
      <c r="D22" s="3582"/>
      <c r="E22" s="3547">
        <v>0.875</v>
      </c>
      <c r="F22" s="3538"/>
      <c r="G22" s="3538"/>
      <c r="H22" s="3538"/>
      <c r="I22" s="3548">
        <v>8.3333333333333329E-2</v>
      </c>
      <c r="J22" s="3549"/>
      <c r="K22" s="3549"/>
      <c r="L22" s="3550"/>
      <c r="M22" s="3548">
        <v>0.22916666666666666</v>
      </c>
      <c r="N22" s="3549"/>
      <c r="O22" s="3549"/>
      <c r="P22" s="3550"/>
      <c r="Q22" s="3157"/>
    </row>
    <row r="23" spans="1:17" s="528" customFormat="1" ht="36" customHeight="1">
      <c r="A23" s="3580"/>
      <c r="B23" s="3581"/>
      <c r="C23" s="3581"/>
      <c r="D23" s="3583"/>
      <c r="E23" s="529" t="s">
        <v>648</v>
      </c>
      <c r="F23" s="3366" t="s">
        <v>649</v>
      </c>
      <c r="G23" s="3374"/>
      <c r="H23" s="3576"/>
      <c r="I23" s="529" t="s">
        <v>648</v>
      </c>
      <c r="J23" s="3366" t="s">
        <v>649</v>
      </c>
      <c r="K23" s="3374"/>
      <c r="L23" s="3576"/>
      <c r="M23" s="529" t="s">
        <v>648</v>
      </c>
      <c r="N23" s="3366" t="s">
        <v>649</v>
      </c>
      <c r="O23" s="3374"/>
      <c r="P23" s="3576"/>
      <c r="Q23" s="271" t="s">
        <v>650</v>
      </c>
    </row>
    <row r="24" spans="1:17" s="528" customFormat="1" ht="30.75" customHeight="1">
      <c r="A24" s="530">
        <v>1</v>
      </c>
      <c r="B24" s="531" t="s">
        <v>651</v>
      </c>
      <c r="C24" s="532" t="s">
        <v>652</v>
      </c>
      <c r="D24" s="487" t="s">
        <v>728</v>
      </c>
      <c r="E24" s="602">
        <f>'R.GUI MAIL'!Z25</f>
        <v>0</v>
      </c>
      <c r="F24" s="493" t="s">
        <v>604</v>
      </c>
      <c r="G24" s="494">
        <f>'R.GUI MAIL'!AC25</f>
        <v>0</v>
      </c>
      <c r="H24" s="210" t="s">
        <v>681</v>
      </c>
      <c r="I24" s="602">
        <f>'R.GUI MAIL'!AF25</f>
        <v>0</v>
      </c>
      <c r="J24" s="493" t="s">
        <v>604</v>
      </c>
      <c r="K24" s="494">
        <f>'R.GUI MAIL'!AI25</f>
        <v>0</v>
      </c>
      <c r="L24" s="494" t="s">
        <v>681</v>
      </c>
      <c r="M24" s="602">
        <f>'R.GUI MAIL'!AL25</f>
        <v>0</v>
      </c>
      <c r="N24" s="493" t="s">
        <v>604</v>
      </c>
      <c r="O24" s="494">
        <f>'R.GUI MAIL'!AO25</f>
        <v>0</v>
      </c>
      <c r="P24" s="210" t="s">
        <v>681</v>
      </c>
      <c r="Q24" s="271" t="s">
        <v>655</v>
      </c>
    </row>
    <row r="25" spans="1:17" s="537" customFormat="1" ht="30.75" customHeight="1">
      <c r="A25" s="530">
        <v>2</v>
      </c>
      <c r="B25" s="534" t="s">
        <v>656</v>
      </c>
      <c r="C25" s="535" t="s">
        <v>682</v>
      </c>
      <c r="D25" s="536" t="s">
        <v>729</v>
      </c>
      <c r="E25" s="602">
        <f>'R.GUI MAIL'!Z26</f>
        <v>0</v>
      </c>
      <c r="F25" s="493" t="s">
        <v>604</v>
      </c>
      <c r="G25" s="494">
        <f>'R.GUI MAIL'!AC26</f>
        <v>0</v>
      </c>
      <c r="H25" s="210" t="s">
        <v>683</v>
      </c>
      <c r="I25" s="602">
        <f>'R.GUI MAIL'!AF26</f>
        <v>0</v>
      </c>
      <c r="J25" s="493" t="s">
        <v>604</v>
      </c>
      <c r="K25" s="494">
        <f>'R.GUI MAIL'!AI26</f>
        <v>0</v>
      </c>
      <c r="L25" s="494" t="s">
        <v>683</v>
      </c>
      <c r="M25" s="602">
        <f>'R.GUI MAIL'!AL26</f>
        <v>0</v>
      </c>
      <c r="N25" s="493" t="s">
        <v>604</v>
      </c>
      <c r="O25" s="494">
        <f>'R.GUI MAIL'!AO26</f>
        <v>0</v>
      </c>
      <c r="P25" s="210" t="s">
        <v>683</v>
      </c>
      <c r="Q25" s="271" t="s">
        <v>690</v>
      </c>
    </row>
    <row r="26" spans="1:17" s="537" customFormat="1" ht="30.75" customHeight="1">
      <c r="A26" s="530">
        <v>3</v>
      </c>
      <c r="B26" s="3570" t="s">
        <v>684</v>
      </c>
      <c r="C26" s="3573" t="s">
        <v>685</v>
      </c>
      <c r="D26" s="487" t="s">
        <v>730</v>
      </c>
      <c r="E26" s="602">
        <f>'R.GUI MAIL'!Z27</f>
        <v>0</v>
      </c>
      <c r="F26" s="493" t="s">
        <v>604</v>
      </c>
      <c r="G26" s="494">
        <f>'R.GUI MAIL'!AC27</f>
        <v>0</v>
      </c>
      <c r="H26" s="210" t="s">
        <v>681</v>
      </c>
      <c r="I26" s="602">
        <f>'R.GUI MAIL'!AF27</f>
        <v>0</v>
      </c>
      <c r="J26" s="493" t="s">
        <v>604</v>
      </c>
      <c r="K26" s="494">
        <f>'R.GUI MAIL'!AI27</f>
        <v>0</v>
      </c>
      <c r="L26" s="494" t="s">
        <v>681</v>
      </c>
      <c r="M26" s="602">
        <f>'R.GUI MAIL'!AL27</f>
        <v>0</v>
      </c>
      <c r="N26" s="493" t="s">
        <v>604</v>
      </c>
      <c r="O26" s="494">
        <f>'R.GUI MAIL'!AO27</f>
        <v>0</v>
      </c>
      <c r="P26" s="210" t="s">
        <v>681</v>
      </c>
      <c r="Q26" s="271" t="s">
        <v>692</v>
      </c>
    </row>
    <row r="27" spans="1:17" s="537" customFormat="1" ht="30.75" customHeight="1">
      <c r="A27" s="530">
        <v>4</v>
      </c>
      <c r="B27" s="3571"/>
      <c r="C27" s="3573"/>
      <c r="D27" s="487" t="s">
        <v>726</v>
      </c>
      <c r="E27" s="602">
        <f>'R.GUI MAIL'!Z28</f>
        <v>0</v>
      </c>
      <c r="F27" s="493" t="s">
        <v>604</v>
      </c>
      <c r="G27" s="494">
        <f>'R.GUI MAIL'!AC28</f>
        <v>0</v>
      </c>
      <c r="H27" s="210" t="s">
        <v>681</v>
      </c>
      <c r="I27" s="602">
        <f>'R.GUI MAIL'!AF28</f>
        <v>0</v>
      </c>
      <c r="J27" s="493" t="s">
        <v>604</v>
      </c>
      <c r="K27" s="494">
        <f>'R.GUI MAIL'!AI28</f>
        <v>0</v>
      </c>
      <c r="L27" s="494" t="s">
        <v>681</v>
      </c>
      <c r="M27" s="602">
        <f>'R.GUI MAIL'!AL28</f>
        <v>0</v>
      </c>
      <c r="N27" s="493" t="s">
        <v>604</v>
      </c>
      <c r="O27" s="494">
        <f>'R.GUI MAIL'!AO28</f>
        <v>0</v>
      </c>
      <c r="P27" s="210" t="s">
        <v>681</v>
      </c>
      <c r="Q27" s="271" t="s">
        <v>693</v>
      </c>
    </row>
    <row r="28" spans="1:17" s="537" customFormat="1" ht="30.75" customHeight="1">
      <c r="A28" s="530">
        <v>5</v>
      </c>
      <c r="B28" s="3572"/>
      <c r="C28" s="3573"/>
      <c r="D28" s="487" t="s">
        <v>614</v>
      </c>
      <c r="E28" s="603">
        <f>'R.GUI MAIL'!Z29</f>
        <v>0</v>
      </c>
      <c r="F28" s="493" t="s">
        <v>604</v>
      </c>
      <c r="G28" s="494">
        <f>'R.GUI MAIL'!AC29</f>
        <v>0</v>
      </c>
      <c r="H28" s="65" t="s">
        <v>681</v>
      </c>
      <c r="I28" s="603">
        <f>'R.GUI MAIL'!AF29</f>
        <v>0</v>
      </c>
      <c r="J28" s="493" t="s">
        <v>604</v>
      </c>
      <c r="K28" s="494">
        <f>'R.GUI MAIL'!AI29</f>
        <v>0</v>
      </c>
      <c r="L28" s="494" t="s">
        <v>681</v>
      </c>
      <c r="M28" s="603">
        <f>'R.GUI MAIL'!AL29</f>
        <v>0</v>
      </c>
      <c r="N28" s="493" t="s">
        <v>604</v>
      </c>
      <c r="O28" s="494">
        <f>'R.GUI MAIL'!AO29</f>
        <v>0</v>
      </c>
      <c r="P28" s="65" t="s">
        <v>681</v>
      </c>
      <c r="Q28" s="539"/>
    </row>
    <row r="29" spans="1:17" s="542" customFormat="1" ht="30.75" customHeight="1">
      <c r="A29" s="530">
        <v>6</v>
      </c>
      <c r="B29" s="3570" t="s">
        <v>664</v>
      </c>
      <c r="C29" s="532" t="s">
        <v>431</v>
      </c>
      <c r="D29" s="487" t="s">
        <v>441</v>
      </c>
      <c r="E29" s="602">
        <f>'R.GUI MAIL'!Z30</f>
        <v>0</v>
      </c>
      <c r="F29" s="548" t="s">
        <v>604</v>
      </c>
      <c r="G29" s="540">
        <f>'R.GUI MAIL'!AC30</f>
        <v>0</v>
      </c>
      <c r="H29" s="533" t="s">
        <v>681</v>
      </c>
      <c r="I29" s="602">
        <f>'R.GUI MAIL'!AF30</f>
        <v>0</v>
      </c>
      <c r="J29" s="548" t="s">
        <v>604</v>
      </c>
      <c r="K29" s="540">
        <f>'R.GUI MAIL'!AI30</f>
        <v>0</v>
      </c>
      <c r="L29" s="540" t="s">
        <v>681</v>
      </c>
      <c r="M29" s="602">
        <f>'R.GUI MAIL'!AL30</f>
        <v>0</v>
      </c>
      <c r="N29" s="548" t="s">
        <v>604</v>
      </c>
      <c r="O29" s="540">
        <f>'R.GUI MAIL'!AO30</f>
        <v>0</v>
      </c>
      <c r="P29" s="533" t="s">
        <v>681</v>
      </c>
      <c r="Q29" s="541" t="s">
        <v>665</v>
      </c>
    </row>
    <row r="30" spans="1:17" s="542" customFormat="1" ht="30.75" customHeight="1">
      <c r="A30" s="530">
        <v>7</v>
      </c>
      <c r="B30" s="3572"/>
      <c r="C30" s="543" t="s">
        <v>686</v>
      </c>
      <c r="D30" s="986" t="s">
        <v>974</v>
      </c>
      <c r="E30" s="602">
        <f>'R.GUI MAIL'!Z31</f>
        <v>0</v>
      </c>
      <c r="F30" s="493" t="s">
        <v>604</v>
      </c>
      <c r="G30" s="494">
        <f>'R.GUI MAIL'!AC31</f>
        <v>0</v>
      </c>
      <c r="H30" s="210" t="s">
        <v>681</v>
      </c>
      <c r="I30" s="602">
        <f>'R.GUI MAIL'!AF31</f>
        <v>0</v>
      </c>
      <c r="J30" s="493" t="s">
        <v>604</v>
      </c>
      <c r="K30" s="494">
        <f>'R.GUI MAIL'!AI31</f>
        <v>0</v>
      </c>
      <c r="L30" s="494" t="s">
        <v>681</v>
      </c>
      <c r="M30" s="602">
        <f>'R.GUI MAIL'!AL31</f>
        <v>0</v>
      </c>
      <c r="N30" s="493" t="s">
        <v>604</v>
      </c>
      <c r="O30" s="494">
        <f>'R.GUI MAIL'!AO31</f>
        <v>0</v>
      </c>
      <c r="P30" s="210" t="s">
        <v>681</v>
      </c>
      <c r="Q30" s="210"/>
    </row>
    <row r="31" spans="1:17" s="537" customFormat="1" ht="25.5" customHeight="1">
      <c r="A31" s="3574" t="s">
        <v>667</v>
      </c>
      <c r="B31" s="3574"/>
      <c r="C31" s="3574"/>
      <c r="D31" s="3574"/>
      <c r="E31" s="3574"/>
      <c r="F31" s="3574"/>
      <c r="G31" s="3574"/>
      <c r="H31" s="3574"/>
      <c r="I31" s="3574"/>
      <c r="J31" s="3574"/>
      <c r="K31" s="3574"/>
      <c r="L31" s="3574"/>
      <c r="M31" s="3574"/>
      <c r="N31" s="3574"/>
      <c r="O31" s="3574"/>
      <c r="P31" s="3574"/>
      <c r="Q31" s="3574"/>
    </row>
    <row r="32" spans="1:17" s="537" customFormat="1" ht="38.25" customHeight="1">
      <c r="A32" s="210" t="s">
        <v>687</v>
      </c>
      <c r="B32" s="544" t="s">
        <v>669</v>
      </c>
      <c r="C32" s="544" t="s">
        <v>670</v>
      </c>
      <c r="D32" s="544" t="s">
        <v>671</v>
      </c>
      <c r="E32" s="3530" t="s">
        <v>45</v>
      </c>
      <c r="F32" s="3530"/>
      <c r="G32" s="3530" t="s">
        <v>62</v>
      </c>
      <c r="H32" s="3530"/>
      <c r="I32" s="3530" t="s">
        <v>45</v>
      </c>
      <c r="J32" s="3530"/>
      <c r="K32" s="3530" t="s">
        <v>62</v>
      </c>
      <c r="L32" s="3530"/>
      <c r="M32" s="3530" t="s">
        <v>45</v>
      </c>
      <c r="N32" s="3530"/>
      <c r="O32" s="3530" t="s">
        <v>62</v>
      </c>
      <c r="P32" s="3530"/>
      <c r="Q32" s="325"/>
    </row>
    <row r="33" spans="1:17" s="537" customFormat="1" ht="30" customHeight="1">
      <c r="A33" s="210">
        <v>1</v>
      </c>
      <c r="B33" s="544" t="s">
        <v>672</v>
      </c>
      <c r="C33" s="545" t="s">
        <v>673</v>
      </c>
      <c r="D33" s="487" t="s">
        <v>674</v>
      </c>
      <c r="E33" s="3683">
        <f>'R.GUI MAIL'!Z34</f>
        <v>0</v>
      </c>
      <c r="F33" s="3684"/>
      <c r="G33" s="3118">
        <f>'R.FILE GOC'!AC34</f>
        <v>0</v>
      </c>
      <c r="H33" s="3119"/>
      <c r="I33" s="3683">
        <f>'R.GUI MAIL'!AF34</f>
        <v>0</v>
      </c>
      <c r="J33" s="3684"/>
      <c r="K33" s="3118">
        <f>'R.FILE GOC'!AI34</f>
        <v>0</v>
      </c>
      <c r="L33" s="3119"/>
      <c r="M33" s="3683">
        <f>'R.GUI MAIL'!AL34</f>
        <v>0</v>
      </c>
      <c r="N33" s="3684"/>
      <c r="O33" s="3126">
        <f>'R.FILE GOC'!AO34</f>
        <v>0</v>
      </c>
      <c r="P33" s="3126"/>
      <c r="Q33" s="494"/>
    </row>
    <row r="34" spans="1:17" s="537" customFormat="1" ht="30" customHeight="1">
      <c r="A34" s="210">
        <v>2</v>
      </c>
      <c r="B34" s="544" t="s">
        <v>688</v>
      </c>
      <c r="C34" s="545" t="s">
        <v>673</v>
      </c>
      <c r="D34" s="487" t="s">
        <v>676</v>
      </c>
      <c r="E34" s="3118">
        <f>'R.GUI MAIL'!Z35</f>
        <v>0</v>
      </c>
      <c r="F34" s="3119"/>
      <c r="G34" s="3118">
        <f>'R.FILE GOC'!AC35</f>
        <v>0</v>
      </c>
      <c r="H34" s="3119"/>
      <c r="I34" s="3118">
        <f>'R.GUI MAIL'!AF35</f>
        <v>0</v>
      </c>
      <c r="J34" s="3119"/>
      <c r="K34" s="3118">
        <f>'R.FILE GOC'!AI35</f>
        <v>0</v>
      </c>
      <c r="L34" s="3119"/>
      <c r="M34" s="3118">
        <f>'R.GUI MAIL'!AL35</f>
        <v>0</v>
      </c>
      <c r="N34" s="3119"/>
      <c r="O34" s="3126">
        <f>'R.FILE GOC'!AO35</f>
        <v>0</v>
      </c>
      <c r="P34" s="3126"/>
      <c r="Q34" s="494"/>
    </row>
    <row r="35" spans="1:17" s="537" customFormat="1" ht="30" customHeight="1">
      <c r="A35" s="210">
        <v>3</v>
      </c>
      <c r="B35" s="544" t="s">
        <v>677</v>
      </c>
      <c r="C35" s="545" t="s">
        <v>673</v>
      </c>
      <c r="D35" s="487" t="s">
        <v>678</v>
      </c>
      <c r="E35" s="3683">
        <f>'R.GUI MAIL'!Z36</f>
        <v>0</v>
      </c>
      <c r="F35" s="3684"/>
      <c r="G35" s="3118">
        <f>'R.FILE GOC'!AC36</f>
        <v>0</v>
      </c>
      <c r="H35" s="3119"/>
      <c r="I35" s="3683">
        <f>'R.GUI MAIL'!AF36</f>
        <v>0</v>
      </c>
      <c r="J35" s="3684"/>
      <c r="K35" s="3118">
        <f>'R.FILE GOC'!AI36</f>
        <v>0</v>
      </c>
      <c r="L35" s="3119"/>
      <c r="M35" s="3683">
        <f>'R.GUI MAIL'!AL36</f>
        <v>0</v>
      </c>
      <c r="N35" s="3684"/>
      <c r="O35" s="3126">
        <f>'R.FILE GOC'!AO36</f>
        <v>0</v>
      </c>
      <c r="P35" s="3126"/>
      <c r="Q35" s="494"/>
    </row>
  </sheetData>
  <sheetProtection selectLockedCells="1"/>
  <mergeCells count="89">
    <mergeCell ref="A4:A6"/>
    <mergeCell ref="B4:B6"/>
    <mergeCell ref="C4:C6"/>
    <mergeCell ref="D4:D6"/>
    <mergeCell ref="E4:P4"/>
    <mergeCell ref="A1:L1"/>
    <mergeCell ref="A2:L2"/>
    <mergeCell ref="O2:P2"/>
    <mergeCell ref="I3:K3"/>
    <mergeCell ref="O3:P3"/>
    <mergeCell ref="E3:F3"/>
    <mergeCell ref="Q4:Q5"/>
    <mergeCell ref="E5:H5"/>
    <mergeCell ref="I5:L5"/>
    <mergeCell ref="M5:P5"/>
    <mergeCell ref="F6:H6"/>
    <mergeCell ref="J6:L6"/>
    <mergeCell ref="N6:P6"/>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O18:P18"/>
    <mergeCell ref="E17:F17"/>
    <mergeCell ref="G17:H17"/>
    <mergeCell ref="I17:J17"/>
    <mergeCell ref="K17:L17"/>
    <mergeCell ref="M17:N17"/>
    <mergeCell ref="O17:P17"/>
    <mergeCell ref="E18:F18"/>
    <mergeCell ref="G18:H18"/>
    <mergeCell ref="I18:J18"/>
    <mergeCell ref="K18:L18"/>
    <mergeCell ref="M18:N18"/>
    <mergeCell ref="A19:L19"/>
    <mergeCell ref="I20:K20"/>
    <mergeCell ref="M20:O20"/>
    <mergeCell ref="A21:A23"/>
    <mergeCell ref="B21:B23"/>
    <mergeCell ref="C21:C23"/>
    <mergeCell ref="D21:D23"/>
    <mergeCell ref="E21:P21"/>
    <mergeCell ref="Q21:Q22"/>
    <mergeCell ref="E22:H22"/>
    <mergeCell ref="I22:L22"/>
    <mergeCell ref="M22:P22"/>
    <mergeCell ref="F23:H23"/>
    <mergeCell ref="J23:L23"/>
    <mergeCell ref="N23:P23"/>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O35:P35"/>
    <mergeCell ref="E34:F34"/>
    <mergeCell ref="G34:H34"/>
    <mergeCell ref="I34:J34"/>
    <mergeCell ref="K34:L34"/>
    <mergeCell ref="M34:N34"/>
    <mergeCell ref="O34:P34"/>
    <mergeCell ref="E35:F35"/>
    <mergeCell ref="G35:H35"/>
    <mergeCell ref="I35:J35"/>
    <mergeCell ref="K35:L35"/>
    <mergeCell ref="M35:N35"/>
  </mergeCells>
  <phoneticPr fontId="7" type="noConversion"/>
  <conditionalFormatting sqref="E8 I8 M8 M25 I25 E25">
    <cfRule type="expression" dxfId="659" priority="111">
      <formula>E8&lt;10</formula>
    </cfRule>
    <cfRule type="expression" dxfId="658" priority="112">
      <formula>E8&gt;15</formula>
    </cfRule>
  </conditionalFormatting>
  <conditionalFormatting sqref="E7 I7 M7 M24 I24 E24">
    <cfRule type="expression" dxfId="657" priority="109">
      <formula>E7&lt;30</formula>
    </cfRule>
    <cfRule type="expression" dxfId="656" priority="110">
      <formula>E7&gt;50</formula>
    </cfRule>
  </conditionalFormatting>
  <conditionalFormatting sqref="E9 I9 M9 M26 I26 E26">
    <cfRule type="expression" dxfId="655" priority="107">
      <formula>E9&lt;40</formula>
    </cfRule>
    <cfRule type="expression" dxfId="654" priority="108">
      <formula>E9&gt;60</formula>
    </cfRule>
  </conditionalFormatting>
  <conditionalFormatting sqref="E10 I10 M10 M27 I27 E27">
    <cfRule type="expression" dxfId="653" priority="105">
      <formula>E10&lt;5.2</formula>
    </cfRule>
    <cfRule type="expression" dxfId="652" priority="106">
      <formula>E10&gt;7.8</formula>
    </cfRule>
  </conditionalFormatting>
  <conditionalFormatting sqref="E11 I11 M11 M28 I28 E28">
    <cfRule type="expression" dxfId="651" priority="104">
      <formula>E11&gt;0.4</formula>
    </cfRule>
  </conditionalFormatting>
  <conditionalFormatting sqref="E12 I12 M12 M29 I29 E29">
    <cfRule type="expression" dxfId="650" priority="102">
      <formula>E12&lt;0.8</formula>
    </cfRule>
    <cfRule type="expression" dxfId="649" priority="103">
      <formula>E12&gt;1.2</formula>
    </cfRule>
  </conditionalFormatting>
  <conditionalFormatting sqref="I13 M30 I30 E30">
    <cfRule type="expression" dxfId="648" priority="100">
      <formula>E13&lt;8</formula>
    </cfRule>
    <cfRule type="expression" dxfId="647" priority="101">
      <formula>E13&gt;10</formula>
    </cfRule>
  </conditionalFormatting>
  <conditionalFormatting sqref="E34:F34 E17:P17">
    <cfRule type="expression" dxfId="646" priority="23">
      <formula>E17&lt;65</formula>
    </cfRule>
    <cfRule type="expression" dxfId="645" priority="24">
      <formula>E17&gt;85</formula>
    </cfRule>
  </conditionalFormatting>
  <conditionalFormatting sqref="E35:F35 E18:P18">
    <cfRule type="expression" dxfId="644" priority="21">
      <formula>E18&lt;80</formula>
    </cfRule>
    <cfRule type="expression" dxfId="643" priority="22">
      <formula>E18&gt;90</formula>
    </cfRule>
  </conditionalFormatting>
  <conditionalFormatting sqref="E33 E16 G16 I16 K16 M16 O16">
    <cfRule type="expression" dxfId="642" priority="19">
      <formula>E16&lt;55</formula>
    </cfRule>
    <cfRule type="expression" dxfId="641" priority="20">
      <formula>E16&gt;65</formula>
    </cfRule>
  </conditionalFormatting>
  <conditionalFormatting sqref="G34:P34">
    <cfRule type="expression" dxfId="640" priority="17">
      <formula>G34&lt;65</formula>
    </cfRule>
    <cfRule type="expression" dxfId="639" priority="18">
      <formula>G34&gt;85</formula>
    </cfRule>
  </conditionalFormatting>
  <conditionalFormatting sqref="G35:P35">
    <cfRule type="expression" dxfId="638" priority="15">
      <formula>G35&lt;80</formula>
    </cfRule>
    <cfRule type="expression" dxfId="637" priority="16">
      <formula>G35&gt;90</formula>
    </cfRule>
  </conditionalFormatting>
  <conditionalFormatting sqref="G33 I33 K33 M33 O33">
    <cfRule type="expression" dxfId="636" priority="13">
      <formula>G33&lt;55</formula>
    </cfRule>
    <cfRule type="expression" dxfId="635"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9.xml><?xml version="1.0" encoding="utf-8"?>
<worksheet xmlns="http://schemas.openxmlformats.org/spreadsheetml/2006/main" xmlns:r="http://schemas.openxmlformats.org/officeDocument/2006/relationships">
  <sheetPr codeName="Sheet30">
    <tabColor rgb="FFFF0000"/>
  </sheetPr>
  <dimension ref="A1:R44"/>
  <sheetViews>
    <sheetView zoomScale="70" zoomScaleNormal="70" workbookViewId="0">
      <selection activeCell="D3" sqref="D3:E3"/>
    </sheetView>
  </sheetViews>
  <sheetFormatPr defaultRowHeight="13.5"/>
  <cols>
    <col min="1" max="1" width="5.5" style="474" customWidth="1"/>
    <col min="2" max="2" width="20.875" style="524" customWidth="1"/>
    <col min="3" max="3" width="4.125" style="524" customWidth="1"/>
    <col min="4" max="4" width="6.875" style="474" customWidth="1"/>
    <col min="5" max="5" width="16.875" style="474" customWidth="1"/>
    <col min="6" max="6" width="8.5" style="474" customWidth="1"/>
    <col min="7" max="7" width="3.875" style="474" customWidth="1"/>
    <col min="8" max="8" width="7.25" style="474" customWidth="1"/>
    <col min="9" max="9" width="4.375" style="474" customWidth="1"/>
    <col min="10" max="10" width="8.75" style="474" customWidth="1"/>
    <col min="11" max="11" width="2.625" style="474" customWidth="1"/>
    <col min="12" max="12" width="7.375" style="474" customWidth="1"/>
    <col min="13" max="13" width="4.25" style="474" customWidth="1"/>
    <col min="14" max="14" width="8.75" style="474" customWidth="1"/>
    <col min="15" max="15" width="2.625" style="474" customWidth="1"/>
    <col min="16" max="16" width="7.375" style="474" customWidth="1"/>
    <col min="17" max="17" width="4.25" style="474" customWidth="1"/>
    <col min="18" max="18" width="16.125" style="474" customWidth="1"/>
    <col min="19" max="16384" width="9" style="474"/>
  </cols>
  <sheetData>
    <row r="1" spans="1:18" ht="27.75" customHeight="1">
      <c r="A1" s="3560" t="s">
        <v>588</v>
      </c>
      <c r="B1" s="3560"/>
      <c r="C1" s="3560"/>
      <c r="D1" s="3560"/>
      <c r="E1" s="3560"/>
      <c r="F1" s="3560"/>
      <c r="G1" s="3560"/>
      <c r="H1" s="3560"/>
      <c r="I1" s="3560"/>
      <c r="J1" s="3560"/>
      <c r="K1" s="3560"/>
      <c r="L1" s="3560"/>
      <c r="M1" s="3560"/>
      <c r="N1" s="472"/>
      <c r="O1" s="472"/>
      <c r="P1" s="472"/>
      <c r="Q1" s="472"/>
      <c r="R1" s="472"/>
    </row>
    <row r="2" spans="1:18" ht="36.75" customHeight="1">
      <c r="A2" s="3557" t="s">
        <v>927</v>
      </c>
      <c r="B2" s="3557"/>
      <c r="C2" s="3557"/>
      <c r="D2" s="3557"/>
      <c r="E2" s="3557"/>
      <c r="F2" s="3557"/>
      <c r="G2" s="3557"/>
      <c r="H2" s="3557"/>
      <c r="I2" s="3557"/>
      <c r="J2" s="3557"/>
      <c r="K2" s="3557"/>
      <c r="L2" s="3557"/>
      <c r="M2" s="3557"/>
      <c r="N2" s="475"/>
      <c r="O2" s="475"/>
      <c r="P2" s="3337" t="s">
        <v>641</v>
      </c>
      <c r="Q2" s="3339"/>
      <c r="R2" s="75" t="s">
        <v>17</v>
      </c>
    </row>
    <row r="3" spans="1:18" ht="20.25" customHeight="1">
      <c r="A3" s="476"/>
      <c r="B3" s="477" t="s">
        <v>591</v>
      </c>
      <c r="C3" s="477"/>
      <c r="D3" s="1999" t="str">
        <f>MENU!$AC$9</f>
        <v>Thứ 4,</v>
      </c>
      <c r="E3" s="1822" t="str">
        <f>MENU!$AD$9</f>
        <v>2024/05/22</v>
      </c>
      <c r="F3" s="478"/>
      <c r="G3" s="478"/>
      <c r="H3" s="478"/>
      <c r="I3" s="478"/>
      <c r="J3" s="3577"/>
      <c r="K3" s="3577"/>
      <c r="L3" s="3577"/>
      <c r="M3" s="526"/>
      <c r="N3" s="477"/>
      <c r="O3" s="477"/>
      <c r="P3" s="3565" t="str">
        <f>'1.xi den'!$R$3</f>
        <v>Mi</v>
      </c>
      <c r="Q3" s="3566"/>
      <c r="R3" s="527" t="s">
        <v>642</v>
      </c>
    </row>
    <row r="4" spans="1:18" s="528" customFormat="1" ht="42" customHeight="1">
      <c r="A4" s="3578" t="s">
        <v>680</v>
      </c>
      <c r="B4" s="3333" t="s">
        <v>644</v>
      </c>
      <c r="C4" s="3677"/>
      <c r="D4" s="3575" t="s">
        <v>645</v>
      </c>
      <c r="E4" s="3582" t="s">
        <v>646</v>
      </c>
      <c r="F4" s="3522" t="s">
        <v>862</v>
      </c>
      <c r="G4" s="3523"/>
      <c r="H4" s="3523"/>
      <c r="I4" s="3523"/>
      <c r="J4" s="3523"/>
      <c r="K4" s="3523"/>
      <c r="L4" s="3523"/>
      <c r="M4" s="3523"/>
      <c r="N4" s="3523"/>
      <c r="O4" s="3523"/>
      <c r="P4" s="3523"/>
      <c r="Q4" s="3524"/>
      <c r="R4" s="3148" t="s">
        <v>647</v>
      </c>
    </row>
    <row r="5" spans="1:18" s="528" customFormat="1" ht="22.5" customHeight="1">
      <c r="A5" s="3579"/>
      <c r="B5" s="3369"/>
      <c r="C5" s="3678"/>
      <c r="D5" s="3575"/>
      <c r="E5" s="3582"/>
      <c r="F5" s="3547">
        <v>0.375</v>
      </c>
      <c r="G5" s="3538"/>
      <c r="H5" s="3538"/>
      <c r="I5" s="3538"/>
      <c r="J5" s="3548">
        <v>0.5625</v>
      </c>
      <c r="K5" s="3549"/>
      <c r="L5" s="3549"/>
      <c r="M5" s="3550"/>
      <c r="N5" s="3548">
        <v>0.72916666666666663</v>
      </c>
      <c r="O5" s="3549"/>
      <c r="P5" s="3549"/>
      <c r="Q5" s="3550"/>
      <c r="R5" s="3149"/>
    </row>
    <row r="6" spans="1:18" s="528" customFormat="1" ht="39.75" customHeight="1">
      <c r="A6" s="3580"/>
      <c r="B6" s="3679"/>
      <c r="C6" s="3680"/>
      <c r="D6" s="3581"/>
      <c r="E6" s="3583"/>
      <c r="F6" s="529" t="s">
        <v>648</v>
      </c>
      <c r="G6" s="3366" t="s">
        <v>649</v>
      </c>
      <c r="H6" s="3374"/>
      <c r="I6" s="3576"/>
      <c r="J6" s="529" t="s">
        <v>648</v>
      </c>
      <c r="K6" s="3366" t="s">
        <v>649</v>
      </c>
      <c r="L6" s="3374"/>
      <c r="M6" s="3576"/>
      <c r="N6" s="529" t="s">
        <v>648</v>
      </c>
      <c r="O6" s="3366" t="s">
        <v>649</v>
      </c>
      <c r="P6" s="3374"/>
      <c r="Q6" s="3576"/>
      <c r="R6" s="541" t="s">
        <v>689</v>
      </c>
    </row>
    <row r="7" spans="1:18" s="537" customFormat="1" ht="27" customHeight="1">
      <c r="A7" s="530">
        <v>1</v>
      </c>
      <c r="B7" s="3685" t="s">
        <v>859</v>
      </c>
      <c r="C7" s="3686"/>
      <c r="D7" s="835" t="s">
        <v>652</v>
      </c>
      <c r="E7" s="839" t="s">
        <v>450</v>
      </c>
      <c r="F7" s="602">
        <f>'R.GUI MAIL'!H41</f>
        <v>40</v>
      </c>
      <c r="G7" s="493" t="s">
        <v>604</v>
      </c>
      <c r="H7" s="494">
        <f>'R.GUI MAIL'!K41</f>
        <v>0</v>
      </c>
      <c r="I7" s="837" t="s">
        <v>610</v>
      </c>
      <c r="J7" s="602">
        <f>'R.GUI MAIL'!N41</f>
        <v>50</v>
      </c>
      <c r="K7" s="493" t="s">
        <v>604</v>
      </c>
      <c r="L7" s="494">
        <f>'R.GUI MAIL'!Q41</f>
        <v>0</v>
      </c>
      <c r="M7" s="837" t="s">
        <v>610</v>
      </c>
      <c r="N7" s="602">
        <f>'R.GUI MAIL'!T41</f>
        <v>45</v>
      </c>
      <c r="O7" s="493" t="s">
        <v>604</v>
      </c>
      <c r="P7" s="494">
        <f>'R.GUI MAIL'!W41</f>
        <v>0</v>
      </c>
      <c r="Q7" s="837" t="s">
        <v>610</v>
      </c>
      <c r="R7" s="541" t="s">
        <v>690</v>
      </c>
    </row>
    <row r="8" spans="1:18" s="537" customFormat="1" ht="27" customHeight="1">
      <c r="A8" s="530">
        <v>2</v>
      </c>
      <c r="B8" s="3505" t="s">
        <v>656</v>
      </c>
      <c r="C8" s="3507"/>
      <c r="D8" s="535" t="s">
        <v>657</v>
      </c>
      <c r="E8" s="838" t="s">
        <v>426</v>
      </c>
      <c r="F8" s="840">
        <f>'R.GUI MAIL'!H42</f>
        <v>11.132499999999999</v>
      </c>
      <c r="G8" s="493" t="s">
        <v>604</v>
      </c>
      <c r="H8" s="494">
        <f>'R.GUI MAIL'!K42</f>
        <v>111.32304687500012</v>
      </c>
      <c r="I8" s="210" t="s">
        <v>683</v>
      </c>
      <c r="J8" s="840">
        <f>'R.GUI MAIL'!N42</f>
        <v>10.584999999999999</v>
      </c>
      <c r="K8" s="493" t="s">
        <v>604</v>
      </c>
      <c r="L8" s="494">
        <f>'R.GUI MAIL'!Q42</f>
        <v>155.89296875000008</v>
      </c>
      <c r="M8" s="210" t="s">
        <v>683</v>
      </c>
      <c r="N8" s="840">
        <f>'R.GUI MAIL'!T42</f>
        <v>10.95</v>
      </c>
      <c r="O8" s="493" t="s">
        <v>604</v>
      </c>
      <c r="P8" s="494">
        <f>'R.GUI MAIL'!W42</f>
        <v>126.17968750000006</v>
      </c>
      <c r="Q8" s="210" t="s">
        <v>683</v>
      </c>
      <c r="R8" s="541" t="s">
        <v>692</v>
      </c>
    </row>
    <row r="9" spans="1:18" s="537" customFormat="1" ht="27" customHeight="1">
      <c r="A9" s="530">
        <v>4</v>
      </c>
      <c r="B9" s="3671" t="s">
        <v>688</v>
      </c>
      <c r="C9" s="3672">
        <f>R.HN!B27</f>
        <v>0</v>
      </c>
      <c r="D9" s="3573" t="s">
        <v>431</v>
      </c>
      <c r="E9" s="487" t="s">
        <v>730</v>
      </c>
      <c r="F9" s="602">
        <f>'R.GUI MAIL'!H43</f>
        <v>43</v>
      </c>
      <c r="G9" s="493" t="s">
        <v>604</v>
      </c>
      <c r="H9" s="494">
        <f>'R.GUI MAIL'!K43</f>
        <v>34.545000000000002</v>
      </c>
      <c r="I9" s="210" t="s">
        <v>681</v>
      </c>
      <c r="J9" s="602">
        <f>'R.GUI MAIL'!N43</f>
        <v>44</v>
      </c>
      <c r="K9" s="493" t="s">
        <v>604</v>
      </c>
      <c r="L9" s="540">
        <f>'R.GUI MAIL'!Q43</f>
        <v>29.61</v>
      </c>
      <c r="M9" s="210" t="s">
        <v>681</v>
      </c>
      <c r="N9" s="602">
        <f>'R.GUI MAIL'!T43</f>
        <v>45</v>
      </c>
      <c r="O9" s="493" t="s">
        <v>604</v>
      </c>
      <c r="P9" s="540">
        <f>'R.GUI MAIL'!W43</f>
        <v>24.675000000000001</v>
      </c>
      <c r="Q9" s="210" t="s">
        <v>681</v>
      </c>
      <c r="R9" s="541" t="s">
        <v>692</v>
      </c>
    </row>
    <row r="10" spans="1:18" s="537" customFormat="1" ht="28.5" customHeight="1">
      <c r="A10" s="530">
        <v>5</v>
      </c>
      <c r="B10" s="3675"/>
      <c r="C10" s="3676"/>
      <c r="D10" s="3573"/>
      <c r="E10" s="487" t="s">
        <v>726</v>
      </c>
      <c r="F10" s="602">
        <f>'R.GUI MAIL'!H44</f>
        <v>8.6</v>
      </c>
      <c r="G10" s="493" t="s">
        <v>604</v>
      </c>
      <c r="H10" s="494">
        <f>'R.GUI MAIL'!K44</f>
        <v>0</v>
      </c>
      <c r="I10" s="210" t="s">
        <v>681</v>
      </c>
      <c r="J10" s="602">
        <f>'R.GUI MAIL'!N44</f>
        <v>10</v>
      </c>
      <c r="K10" s="493" t="s">
        <v>604</v>
      </c>
      <c r="L10" s="540">
        <f>'R.GUI MAIL'!Q44</f>
        <v>0</v>
      </c>
      <c r="M10" s="210" t="s">
        <v>681</v>
      </c>
      <c r="N10" s="602">
        <f>'R.GUI MAIL'!T44</f>
        <v>10.227272727272727</v>
      </c>
      <c r="O10" s="493" t="s">
        <v>604</v>
      </c>
      <c r="P10" s="540">
        <f>'R.GUI MAIL'!W44</f>
        <v>0</v>
      </c>
      <c r="Q10" s="210" t="s">
        <v>681</v>
      </c>
      <c r="R10" s="541" t="s">
        <v>693</v>
      </c>
    </row>
    <row r="11" spans="1:18" s="537" customFormat="1" ht="28.5" customHeight="1">
      <c r="A11" s="530">
        <v>6</v>
      </c>
      <c r="B11" s="3673"/>
      <c r="C11" s="3674"/>
      <c r="D11" s="3573"/>
      <c r="E11" s="487" t="s">
        <v>614</v>
      </c>
      <c r="F11" s="603">
        <f>'R.GUI MAIL'!H45</f>
        <v>0.1</v>
      </c>
      <c r="G11" s="493" t="s">
        <v>604</v>
      </c>
      <c r="H11" s="494">
        <f>'R.GUI MAIL'!K45</f>
        <v>0</v>
      </c>
      <c r="I11" s="65" t="s">
        <v>681</v>
      </c>
      <c r="J11" s="603">
        <f>'R.GUI MAIL'!N45</f>
        <v>0.08</v>
      </c>
      <c r="K11" s="493" t="s">
        <v>604</v>
      </c>
      <c r="L11" s="540">
        <f>'R.GUI MAIL'!Q45</f>
        <v>0</v>
      </c>
      <c r="M11" s="65" t="s">
        <v>681</v>
      </c>
      <c r="N11" s="603">
        <f>'R.GUI MAIL'!T45</f>
        <v>0.12</v>
      </c>
      <c r="O11" s="493" t="s">
        <v>604</v>
      </c>
      <c r="P11" s="540">
        <f>'R.GUI MAIL'!W45</f>
        <v>0</v>
      </c>
      <c r="Q11" s="65" t="s">
        <v>681</v>
      </c>
      <c r="R11" s="541"/>
    </row>
    <row r="12" spans="1:18" s="537" customFormat="1" ht="28.5" hidden="1" customHeight="1">
      <c r="A12" s="530">
        <v>7</v>
      </c>
      <c r="B12" s="3671" t="s">
        <v>688</v>
      </c>
      <c r="C12" s="3672">
        <f>R.HN!B30</f>
        <v>0</v>
      </c>
      <c r="D12" s="3573" t="s">
        <v>431</v>
      </c>
      <c r="E12" s="487" t="s">
        <v>730</v>
      </c>
      <c r="F12" s="602" t="e">
        <f>'R.GUI MAIL'!#REF!</f>
        <v>#REF!</v>
      </c>
      <c r="G12" s="493" t="s">
        <v>604</v>
      </c>
      <c r="H12" s="494" t="e">
        <f>'R.GUI MAIL'!#REF!</f>
        <v>#REF!</v>
      </c>
      <c r="I12" s="210" t="s">
        <v>681</v>
      </c>
      <c r="J12" s="602" t="e">
        <f>'R.GUI MAIL'!#REF!</f>
        <v>#REF!</v>
      </c>
      <c r="K12" s="493" t="s">
        <v>604</v>
      </c>
      <c r="L12" s="540" t="e">
        <f>'R.GUI MAIL'!#REF!</f>
        <v>#REF!</v>
      </c>
      <c r="M12" s="210" t="s">
        <v>681</v>
      </c>
      <c r="N12" s="602" t="e">
        <f>'R.GUI MAIL'!#REF!</f>
        <v>#REF!</v>
      </c>
      <c r="O12" s="493" t="s">
        <v>604</v>
      </c>
      <c r="P12" s="540" t="e">
        <f>'R.GUI MAIL'!#REF!</f>
        <v>#REF!</v>
      </c>
      <c r="Q12" s="210" t="s">
        <v>681</v>
      </c>
      <c r="R12" s="541" t="s">
        <v>692</v>
      </c>
    </row>
    <row r="13" spans="1:18" s="537" customFormat="1" ht="28.5" hidden="1" customHeight="1">
      <c r="A13" s="530">
        <v>8</v>
      </c>
      <c r="B13" s="3675"/>
      <c r="C13" s="3676"/>
      <c r="D13" s="3573"/>
      <c r="E13" s="487" t="s">
        <v>726</v>
      </c>
      <c r="F13" s="602" t="e">
        <f>'R.GUI MAIL'!#REF!</f>
        <v>#REF!</v>
      </c>
      <c r="G13" s="493" t="s">
        <v>604</v>
      </c>
      <c r="H13" s="494" t="e">
        <f>'R.GUI MAIL'!#REF!</f>
        <v>#REF!</v>
      </c>
      <c r="I13" s="210" t="s">
        <v>681</v>
      </c>
      <c r="J13" s="602" t="e">
        <f>'R.GUI MAIL'!#REF!</f>
        <v>#REF!</v>
      </c>
      <c r="K13" s="493" t="s">
        <v>604</v>
      </c>
      <c r="L13" s="540" t="e">
        <f>'R.GUI MAIL'!#REF!</f>
        <v>#REF!</v>
      </c>
      <c r="M13" s="210" t="s">
        <v>681</v>
      </c>
      <c r="N13" s="602" t="e">
        <f>'R.GUI MAIL'!#REF!</f>
        <v>#REF!</v>
      </c>
      <c r="O13" s="493" t="s">
        <v>604</v>
      </c>
      <c r="P13" s="540" t="e">
        <f>'R.GUI MAIL'!#REF!</f>
        <v>#REF!</v>
      </c>
      <c r="Q13" s="210" t="s">
        <v>681</v>
      </c>
      <c r="R13" s="541" t="s">
        <v>693</v>
      </c>
    </row>
    <row r="14" spans="1:18" s="537" customFormat="1" ht="28.5" hidden="1" customHeight="1">
      <c r="A14" s="530">
        <v>9</v>
      </c>
      <c r="B14" s="3673"/>
      <c r="C14" s="3674"/>
      <c r="D14" s="3573"/>
      <c r="E14" s="487" t="s">
        <v>614</v>
      </c>
      <c r="F14" s="603" t="e">
        <f>'R.GUI MAIL'!#REF!</f>
        <v>#REF!</v>
      </c>
      <c r="G14" s="493" t="s">
        <v>604</v>
      </c>
      <c r="H14" s="494" t="e">
        <f>'R.GUI MAIL'!#REF!</f>
        <v>#REF!</v>
      </c>
      <c r="I14" s="65" t="s">
        <v>681</v>
      </c>
      <c r="J14" s="603" t="e">
        <f>'R.GUI MAIL'!#REF!</f>
        <v>#REF!</v>
      </c>
      <c r="K14" s="493" t="s">
        <v>604</v>
      </c>
      <c r="L14" s="540" t="e">
        <f>'R.GUI MAIL'!#REF!</f>
        <v>#REF!</v>
      </c>
      <c r="M14" s="65" t="s">
        <v>681</v>
      </c>
      <c r="N14" s="603" t="e">
        <f>'R.GUI MAIL'!#REF!</f>
        <v>#REF!</v>
      </c>
      <c r="O14" s="493" t="s">
        <v>604</v>
      </c>
      <c r="P14" s="540" t="e">
        <f>'R.GUI MAIL'!#REF!</f>
        <v>#REF!</v>
      </c>
      <c r="Q14" s="65" t="s">
        <v>681</v>
      </c>
      <c r="R14" s="541"/>
    </row>
    <row r="15" spans="1:18" s="542" customFormat="1" ht="28.5" customHeight="1">
      <c r="A15" s="530">
        <v>16</v>
      </c>
      <c r="B15" s="3671" t="s">
        <v>664</v>
      </c>
      <c r="C15" s="3672"/>
      <c r="D15" s="532" t="s">
        <v>431</v>
      </c>
      <c r="E15" s="487" t="s">
        <v>441</v>
      </c>
      <c r="F15" s="602">
        <f>'R.GUI MAIL'!H46</f>
        <v>0.95</v>
      </c>
      <c r="G15" s="548" t="s">
        <v>604</v>
      </c>
      <c r="H15" s="540">
        <f>'R.GUI MAIL'!K46</f>
        <v>6.1700000000000053E-2</v>
      </c>
      <c r="I15" s="533" t="s">
        <v>681</v>
      </c>
      <c r="J15" s="602">
        <f>'R.GUI MAIL'!N46</f>
        <v>0.9</v>
      </c>
      <c r="K15" s="548" t="s">
        <v>604</v>
      </c>
      <c r="L15" s="540">
        <f>'R.GUI MAIL'!Q46</f>
        <v>0.12339999999999998</v>
      </c>
      <c r="M15" s="533" t="s">
        <v>681</v>
      </c>
      <c r="N15" s="602">
        <f>'R.GUI MAIL'!T46</f>
        <v>0.95</v>
      </c>
      <c r="O15" s="548" t="s">
        <v>604</v>
      </c>
      <c r="P15" s="540">
        <f>'R.GUI MAIL'!W46</f>
        <v>6.1700000000000053E-2</v>
      </c>
      <c r="Q15" s="533" t="s">
        <v>681</v>
      </c>
      <c r="R15" s="541" t="s">
        <v>665</v>
      </c>
    </row>
    <row r="16" spans="1:18" s="542" customFormat="1" ht="28.5" customHeight="1">
      <c r="A16" s="530">
        <v>17</v>
      </c>
      <c r="B16" s="3673"/>
      <c r="C16" s="3674"/>
      <c r="D16" s="543" t="s">
        <v>686</v>
      </c>
      <c r="E16" s="986" t="s">
        <v>974</v>
      </c>
      <c r="F16" s="602">
        <f>'R.GUI MAIL'!H47</f>
        <v>10</v>
      </c>
      <c r="G16" s="493" t="s">
        <v>604</v>
      </c>
      <c r="H16" s="494">
        <f>'R.GUI MAIL'!K47</f>
        <v>0</v>
      </c>
      <c r="I16" s="210" t="s">
        <v>681</v>
      </c>
      <c r="J16" s="602">
        <f>'R.GUI MAIL'!N47</f>
        <v>10</v>
      </c>
      <c r="K16" s="493" t="s">
        <v>604</v>
      </c>
      <c r="L16" s="540">
        <f>'R.GUI MAIL'!Q47</f>
        <v>0</v>
      </c>
      <c r="M16" s="210" t="s">
        <v>681</v>
      </c>
      <c r="N16" s="602">
        <f>'R.GUI MAIL'!T47</f>
        <v>10</v>
      </c>
      <c r="O16" s="493" t="s">
        <v>604</v>
      </c>
      <c r="P16" s="540">
        <f>'R.GUI MAIL'!W47</f>
        <v>0</v>
      </c>
      <c r="Q16" s="210" t="s">
        <v>681</v>
      </c>
      <c r="R16" s="210"/>
    </row>
    <row r="17" spans="1:18" s="537" customFormat="1" ht="28.5" customHeight="1">
      <c r="A17" s="3574" t="s">
        <v>667</v>
      </c>
      <c r="B17" s="3574"/>
      <c r="C17" s="3574"/>
      <c r="D17" s="3574"/>
      <c r="E17" s="3574"/>
      <c r="F17" s="3574"/>
      <c r="G17" s="3574"/>
      <c r="H17" s="3574"/>
      <c r="I17" s="3574"/>
      <c r="J17" s="3574"/>
      <c r="K17" s="3574"/>
      <c r="L17" s="3574"/>
      <c r="M17" s="3574"/>
      <c r="N17" s="3574"/>
      <c r="O17" s="3574"/>
      <c r="P17" s="3574"/>
      <c r="Q17" s="3574"/>
      <c r="R17" s="3574"/>
    </row>
    <row r="18" spans="1:18" s="537" customFormat="1" ht="28.5" customHeight="1">
      <c r="A18" s="210" t="s">
        <v>687</v>
      </c>
      <c r="B18" s="3505" t="s">
        <v>669</v>
      </c>
      <c r="C18" s="3507"/>
      <c r="D18" s="544" t="s">
        <v>670</v>
      </c>
      <c r="E18" s="544" t="s">
        <v>671</v>
      </c>
      <c r="F18" s="3530" t="s">
        <v>45</v>
      </c>
      <c r="G18" s="3530"/>
      <c r="H18" s="3530" t="s">
        <v>62</v>
      </c>
      <c r="I18" s="3530"/>
      <c r="J18" s="3530" t="s">
        <v>45</v>
      </c>
      <c r="K18" s="3530"/>
      <c r="L18" s="3530" t="s">
        <v>62</v>
      </c>
      <c r="M18" s="3530"/>
      <c r="N18" s="3530" t="s">
        <v>45</v>
      </c>
      <c r="O18" s="3530"/>
      <c r="P18" s="3530" t="s">
        <v>62</v>
      </c>
      <c r="Q18" s="3530"/>
      <c r="R18" s="551"/>
    </row>
    <row r="19" spans="1:18" s="537" customFormat="1" ht="28.5" customHeight="1">
      <c r="A19" s="210">
        <v>1</v>
      </c>
      <c r="B19" s="3505" t="s">
        <v>866</v>
      </c>
      <c r="C19" s="3507"/>
      <c r="D19" s="545" t="s">
        <v>673</v>
      </c>
      <c r="E19" s="839" t="s">
        <v>674</v>
      </c>
      <c r="F19" s="3683">
        <f>'R.FILE GOC'!H50</f>
        <v>0</v>
      </c>
      <c r="G19" s="3684"/>
      <c r="H19" s="3118">
        <f>'R.FILE GOC'!K50</f>
        <v>59</v>
      </c>
      <c r="I19" s="3119"/>
      <c r="J19" s="3683">
        <f>'R.FILE GOC'!N50</f>
        <v>0</v>
      </c>
      <c r="K19" s="3684"/>
      <c r="L19" s="3118">
        <f>'R.FILE GOC'!Q50</f>
        <v>59</v>
      </c>
      <c r="M19" s="3119"/>
      <c r="N19" s="3683">
        <f>'R.GUI MAIL'!T50</f>
        <v>0</v>
      </c>
      <c r="O19" s="3684"/>
      <c r="P19" s="3126">
        <f>'R.FILE GOC'!W50</f>
        <v>58</v>
      </c>
      <c r="Q19" s="3126"/>
      <c r="R19" s="494"/>
    </row>
    <row r="20" spans="1:18" s="537" customFormat="1" ht="28.5" customHeight="1">
      <c r="A20" s="210">
        <v>2</v>
      </c>
      <c r="B20" s="3505" t="s">
        <v>447</v>
      </c>
      <c r="C20" s="3507"/>
      <c r="D20" s="545" t="s">
        <v>673</v>
      </c>
      <c r="E20" s="487" t="s">
        <v>676</v>
      </c>
      <c r="F20" s="3118">
        <f>'R.FILE GOC'!H51</f>
        <v>0</v>
      </c>
      <c r="G20" s="3119"/>
      <c r="H20" s="3118">
        <f>'R.FILE GOC'!K51</f>
        <v>68</v>
      </c>
      <c r="I20" s="3119"/>
      <c r="J20" s="3118">
        <f>'R.FILE GOC'!N51</f>
        <v>0</v>
      </c>
      <c r="K20" s="3119"/>
      <c r="L20" s="3118">
        <f>'R.FILE GOC'!Q51</f>
        <v>68</v>
      </c>
      <c r="M20" s="3119"/>
      <c r="N20" s="3118">
        <f>'R.GUI MAIL'!T51</f>
        <v>0</v>
      </c>
      <c r="O20" s="3119"/>
      <c r="P20" s="3126">
        <f>'R.FILE GOC'!W51</f>
        <v>68</v>
      </c>
      <c r="Q20" s="3126"/>
      <c r="R20" s="494"/>
    </row>
    <row r="21" spans="1:18" s="537" customFormat="1" ht="28.5" customHeight="1">
      <c r="A21" s="210">
        <v>3</v>
      </c>
      <c r="B21" s="3505" t="s">
        <v>677</v>
      </c>
      <c r="C21" s="3507"/>
      <c r="D21" s="545" t="s">
        <v>673</v>
      </c>
      <c r="E21" s="487" t="s">
        <v>678</v>
      </c>
      <c r="F21" s="3683">
        <f>'R.FILE GOC'!H52</f>
        <v>0</v>
      </c>
      <c r="G21" s="3684"/>
      <c r="H21" s="3118">
        <f>'R.FILE GOC'!K52</f>
        <v>85</v>
      </c>
      <c r="I21" s="3119"/>
      <c r="J21" s="3683">
        <f>'R.FILE GOC'!N52</f>
        <v>0</v>
      </c>
      <c r="K21" s="3684"/>
      <c r="L21" s="3118">
        <f>'R.FILE GOC'!Q52</f>
        <v>89</v>
      </c>
      <c r="M21" s="3119"/>
      <c r="N21" s="3683">
        <f>'R.GUI MAIL'!T52</f>
        <v>0</v>
      </c>
      <c r="O21" s="3684"/>
      <c r="P21" s="3126">
        <f>'R.FILE GOC'!W52</f>
        <v>83</v>
      </c>
      <c r="Q21" s="3126"/>
      <c r="R21" s="494"/>
    </row>
    <row r="22" spans="1:18" s="537" customFormat="1" ht="28.5" customHeight="1">
      <c r="A22" s="328"/>
      <c r="B22" s="327"/>
      <c r="C22" s="327"/>
      <c r="D22" s="604"/>
      <c r="E22" s="605"/>
      <c r="F22" s="3372"/>
      <c r="G22" s="3372"/>
      <c r="H22" s="3372"/>
      <c r="I22" s="3372"/>
      <c r="J22" s="3670"/>
      <c r="K22" s="3670"/>
      <c r="L22" s="3670"/>
      <c r="M22" s="3670"/>
      <c r="N22" s="3670"/>
      <c r="O22" s="3670"/>
      <c r="P22" s="3670"/>
      <c r="Q22" s="3670"/>
      <c r="R22" s="606"/>
    </row>
    <row r="23" spans="1:18" ht="27.75" customHeight="1">
      <c r="A23" s="3560" t="s">
        <v>588</v>
      </c>
      <c r="B23" s="3560"/>
      <c r="C23" s="3560"/>
      <c r="D23" s="3560"/>
      <c r="E23" s="3560"/>
      <c r="F23" s="3560"/>
      <c r="G23" s="3560"/>
      <c r="H23" s="3560"/>
      <c r="I23" s="3560"/>
      <c r="J23" s="3560"/>
      <c r="K23" s="3560"/>
      <c r="L23" s="3560"/>
      <c r="M23" s="3560"/>
      <c r="N23" s="472"/>
      <c r="O23" s="472"/>
      <c r="P23" s="472"/>
      <c r="Q23" s="472"/>
      <c r="R23" s="472"/>
    </row>
    <row r="24" spans="1:18" ht="36.75" customHeight="1">
      <c r="A24" s="3557" t="s">
        <v>924</v>
      </c>
      <c r="B24" s="3557"/>
      <c r="C24" s="3557"/>
      <c r="D24" s="3557"/>
      <c r="E24" s="3557"/>
      <c r="F24" s="3557"/>
      <c r="G24" s="3557"/>
      <c r="H24" s="3557"/>
      <c r="I24" s="3557"/>
      <c r="J24" s="3557"/>
      <c r="K24" s="3557"/>
      <c r="L24" s="3557"/>
      <c r="M24" s="3557"/>
      <c r="N24" s="475"/>
      <c r="O24" s="475"/>
      <c r="P24" s="475"/>
      <c r="Q24" s="475"/>
      <c r="R24" s="475"/>
    </row>
    <row r="25" spans="1:18" ht="27" customHeight="1">
      <c r="A25" s="476"/>
      <c r="B25" s="477" t="s">
        <v>679</v>
      </c>
      <c r="C25" s="477"/>
      <c r="D25" s="478"/>
      <c r="E25" s="479"/>
      <c r="F25" s="478"/>
      <c r="G25" s="478"/>
      <c r="H25" s="478"/>
      <c r="I25" s="478"/>
      <c r="J25" s="3577"/>
      <c r="K25" s="3577"/>
      <c r="L25" s="3577"/>
      <c r="M25" s="526"/>
      <c r="N25" s="3577"/>
      <c r="O25" s="3577"/>
      <c r="P25" s="3577"/>
      <c r="Q25" s="526"/>
      <c r="R25" s="526"/>
    </row>
    <row r="26" spans="1:18" s="528" customFormat="1" ht="42" customHeight="1">
      <c r="A26" s="3578" t="s">
        <v>680</v>
      </c>
      <c r="B26" s="3333" t="s">
        <v>644</v>
      </c>
      <c r="C26" s="3677"/>
      <c r="D26" s="3575" t="s">
        <v>645</v>
      </c>
      <c r="E26" s="3582" t="s">
        <v>646</v>
      </c>
      <c r="F26" s="3522" t="s">
        <v>862</v>
      </c>
      <c r="G26" s="3523"/>
      <c r="H26" s="3523"/>
      <c r="I26" s="3523"/>
      <c r="J26" s="3523"/>
      <c r="K26" s="3523"/>
      <c r="L26" s="3523"/>
      <c r="M26" s="3523"/>
      <c r="N26" s="3523"/>
      <c r="O26" s="3523"/>
      <c r="P26" s="3523"/>
      <c r="Q26" s="3524"/>
      <c r="R26" s="3148" t="s">
        <v>647</v>
      </c>
    </row>
    <row r="27" spans="1:18" s="528" customFormat="1" ht="19.5" customHeight="1">
      <c r="A27" s="3579"/>
      <c r="B27" s="3369"/>
      <c r="C27" s="3678"/>
      <c r="D27" s="3575"/>
      <c r="E27" s="3582"/>
      <c r="F27" s="3547">
        <v>0.875</v>
      </c>
      <c r="G27" s="3538"/>
      <c r="H27" s="3538"/>
      <c r="I27" s="3538"/>
      <c r="J27" s="3548">
        <v>8.3333333333333329E-2</v>
      </c>
      <c r="K27" s="3549"/>
      <c r="L27" s="3549"/>
      <c r="M27" s="3550"/>
      <c r="N27" s="3548">
        <v>0.22916666666666666</v>
      </c>
      <c r="O27" s="3549"/>
      <c r="P27" s="3549"/>
      <c r="Q27" s="3550"/>
      <c r="R27" s="3149"/>
    </row>
    <row r="28" spans="1:18" s="528" customFormat="1" ht="40.5" customHeight="1">
      <c r="A28" s="3580"/>
      <c r="B28" s="3679"/>
      <c r="C28" s="3680"/>
      <c r="D28" s="3581"/>
      <c r="E28" s="3583"/>
      <c r="F28" s="529" t="s">
        <v>648</v>
      </c>
      <c r="G28" s="3366" t="s">
        <v>649</v>
      </c>
      <c r="H28" s="3374"/>
      <c r="I28" s="3576"/>
      <c r="J28" s="529" t="s">
        <v>648</v>
      </c>
      <c r="K28" s="3366" t="s">
        <v>649</v>
      </c>
      <c r="L28" s="3374"/>
      <c r="M28" s="3576"/>
      <c r="N28" s="529" t="s">
        <v>648</v>
      </c>
      <c r="O28" s="3366" t="s">
        <v>649</v>
      </c>
      <c r="P28" s="3374"/>
      <c r="Q28" s="3576"/>
      <c r="R28" s="552" t="s">
        <v>689</v>
      </c>
    </row>
    <row r="29" spans="1:18" s="537" customFormat="1" ht="28.5" customHeight="1">
      <c r="A29" s="530">
        <v>1</v>
      </c>
      <c r="B29" s="3685" t="s">
        <v>859</v>
      </c>
      <c r="C29" s="3686"/>
      <c r="D29" s="835" t="s">
        <v>652</v>
      </c>
      <c r="E29" s="839" t="s">
        <v>450</v>
      </c>
      <c r="F29" s="602">
        <f>'R.GUI MAIL'!Z41</f>
        <v>44</v>
      </c>
      <c r="G29" s="493" t="s">
        <v>604</v>
      </c>
      <c r="H29" s="494">
        <f>'R.GUI MAIL'!AC41</f>
        <v>0</v>
      </c>
      <c r="I29" s="837" t="s">
        <v>610</v>
      </c>
      <c r="J29" s="602">
        <f>'R.GUI MAIL'!AF41</f>
        <v>41</v>
      </c>
      <c r="K29" s="493" t="s">
        <v>604</v>
      </c>
      <c r="L29" s="494">
        <f>'R.GUI MAIL'!AI41</f>
        <v>0</v>
      </c>
      <c r="M29" s="837" t="s">
        <v>610</v>
      </c>
      <c r="N29" s="602">
        <f>'R.GUI MAIL'!AL41</f>
        <v>36</v>
      </c>
      <c r="O29" s="493" t="s">
        <v>604</v>
      </c>
      <c r="P29" s="494">
        <f>'R.GUI MAIL'!AO41</f>
        <v>9.32</v>
      </c>
      <c r="Q29" s="837" t="s">
        <v>610</v>
      </c>
      <c r="R29" s="552" t="s">
        <v>695</v>
      </c>
    </row>
    <row r="30" spans="1:18" s="537" customFormat="1" ht="26.25" customHeight="1">
      <c r="A30" s="530">
        <v>2</v>
      </c>
      <c r="B30" s="3685" t="s">
        <v>860</v>
      </c>
      <c r="C30" s="3686" t="s">
        <v>657</v>
      </c>
      <c r="D30" s="535" t="s">
        <v>657</v>
      </c>
      <c r="E30" s="838" t="s">
        <v>426</v>
      </c>
      <c r="F30" s="492">
        <f>'R.GUI MAIL'!Z42</f>
        <v>10.95</v>
      </c>
      <c r="G30" s="493" t="s">
        <v>604</v>
      </c>
      <c r="H30" s="494">
        <f>'R.GUI MAIL'!AC42</f>
        <v>126.17968750000006</v>
      </c>
      <c r="I30" s="210" t="s">
        <v>683</v>
      </c>
      <c r="J30" s="492">
        <f>'R.GUI MAIL'!AF42</f>
        <v>10.95</v>
      </c>
      <c r="K30" s="493" t="s">
        <v>604</v>
      </c>
      <c r="L30" s="494">
        <f>'R.GUI MAIL'!AI42</f>
        <v>126.17968750000006</v>
      </c>
      <c r="M30" s="210" t="s">
        <v>683</v>
      </c>
      <c r="N30" s="492">
        <f>'R.GUI MAIL'!AL42</f>
        <v>10.584999999999999</v>
      </c>
      <c r="O30" s="493" t="s">
        <v>604</v>
      </c>
      <c r="P30" s="494">
        <f>'R.GUI MAIL'!AO42</f>
        <v>155.89296875000008</v>
      </c>
      <c r="Q30" s="210" t="s">
        <v>683</v>
      </c>
      <c r="R30" s="552" t="s">
        <v>690</v>
      </c>
    </row>
    <row r="31" spans="1:18" s="537" customFormat="1" ht="28.5" customHeight="1">
      <c r="A31" s="530">
        <v>4</v>
      </c>
      <c r="B31" s="3671" t="s">
        <v>688</v>
      </c>
      <c r="C31" s="3672">
        <f>R.HN!B27</f>
        <v>0</v>
      </c>
      <c r="D31" s="3573" t="s">
        <v>431</v>
      </c>
      <c r="E31" s="487" t="s">
        <v>730</v>
      </c>
      <c r="F31" s="602">
        <f>'R.GUI MAIL'!Z43</f>
        <v>54</v>
      </c>
      <c r="G31" s="493" t="s">
        <v>604</v>
      </c>
      <c r="H31" s="494">
        <f>'R.GUI MAIL'!AC43</f>
        <v>0</v>
      </c>
      <c r="I31" s="210" t="s">
        <v>681</v>
      </c>
      <c r="J31" s="602">
        <f>'R.GUI MAIL'!AF43</f>
        <v>47</v>
      </c>
      <c r="K31" s="493" t="s">
        <v>604</v>
      </c>
      <c r="L31" s="494">
        <f>'R.GUI MAIL'!AI43</f>
        <v>14.805</v>
      </c>
      <c r="M31" s="210" t="s">
        <v>681</v>
      </c>
      <c r="N31" s="602">
        <f>'R.GUI MAIL'!AL43</f>
        <v>49</v>
      </c>
      <c r="O31" s="493" t="s">
        <v>604</v>
      </c>
      <c r="P31" s="494">
        <f>'R.GUI MAIL'!AO43</f>
        <v>4.9349999999999996</v>
      </c>
      <c r="Q31" s="210" t="s">
        <v>681</v>
      </c>
      <c r="R31" s="552" t="s">
        <v>693</v>
      </c>
    </row>
    <row r="32" spans="1:18" s="537" customFormat="1" ht="28.5" customHeight="1">
      <c r="A32" s="530">
        <v>5</v>
      </c>
      <c r="B32" s="3675"/>
      <c r="C32" s="3676"/>
      <c r="D32" s="3573"/>
      <c r="E32" s="487" t="s">
        <v>726</v>
      </c>
      <c r="F32" s="602">
        <f>'R.GUI MAIL'!Z44</f>
        <v>8.7096774193548381</v>
      </c>
      <c r="G32" s="493" t="s">
        <v>604</v>
      </c>
      <c r="H32" s="494">
        <f>'R.GUI MAIL'!AC44</f>
        <v>0</v>
      </c>
      <c r="I32" s="210" t="s">
        <v>681</v>
      </c>
      <c r="J32" s="602">
        <f>'R.GUI MAIL'!AF44</f>
        <v>8.8679245283018879</v>
      </c>
      <c r="K32" s="493" t="s">
        <v>604</v>
      </c>
      <c r="L32" s="494">
        <f>'R.GUI MAIL'!AI44</f>
        <v>0</v>
      </c>
      <c r="M32" s="210" t="s">
        <v>681</v>
      </c>
      <c r="N32" s="602">
        <f>'R.GUI MAIL'!AL44</f>
        <v>10</v>
      </c>
      <c r="O32" s="493" t="s">
        <v>604</v>
      </c>
      <c r="P32" s="494">
        <f>'R.GUI MAIL'!AO44</f>
        <v>0</v>
      </c>
      <c r="Q32" s="210" t="s">
        <v>681</v>
      </c>
      <c r="R32" s="553"/>
    </row>
    <row r="33" spans="1:18" s="537" customFormat="1" ht="28.5" customHeight="1">
      <c r="A33" s="530">
        <v>6</v>
      </c>
      <c r="B33" s="3673"/>
      <c r="C33" s="3674"/>
      <c r="D33" s="3573"/>
      <c r="E33" s="487" t="s">
        <v>614</v>
      </c>
      <c r="F33" s="603">
        <f>'R.GUI MAIL'!Z45</f>
        <v>0.12</v>
      </c>
      <c r="G33" s="493" t="s">
        <v>604</v>
      </c>
      <c r="H33" s="494">
        <f>'R.GUI MAIL'!AC45</f>
        <v>0</v>
      </c>
      <c r="I33" s="65" t="s">
        <v>681</v>
      </c>
      <c r="J33" s="603">
        <f>'R.GUI MAIL'!AF45</f>
        <v>0.1</v>
      </c>
      <c r="K33" s="493" t="s">
        <v>604</v>
      </c>
      <c r="L33" s="494">
        <f>'R.GUI MAIL'!AI45</f>
        <v>0</v>
      </c>
      <c r="M33" s="65" t="s">
        <v>681</v>
      </c>
      <c r="N33" s="603">
        <f>'R.GUI MAIL'!AL45</f>
        <v>0.12</v>
      </c>
      <c r="O33" s="493" t="s">
        <v>604</v>
      </c>
      <c r="P33" s="494">
        <f>'R.GUI MAIL'!AO45</f>
        <v>0</v>
      </c>
      <c r="Q33" s="65" t="s">
        <v>681</v>
      </c>
      <c r="R33" s="552" t="s">
        <v>692</v>
      </c>
    </row>
    <row r="34" spans="1:18" s="537" customFormat="1" ht="28.5" hidden="1" customHeight="1">
      <c r="A34" s="530">
        <v>7</v>
      </c>
      <c r="B34" s="3671" t="s">
        <v>727</v>
      </c>
      <c r="C34" s="3672">
        <f>R.HN!B30</f>
        <v>0</v>
      </c>
      <c r="D34" s="3573" t="s">
        <v>431</v>
      </c>
      <c r="E34" s="487" t="s">
        <v>730</v>
      </c>
      <c r="F34" s="602" t="e">
        <f>'R.GUI MAIL'!#REF!</f>
        <v>#REF!</v>
      </c>
      <c r="G34" s="493" t="s">
        <v>604</v>
      </c>
      <c r="H34" s="494" t="e">
        <f>'R.GUI MAIL'!#REF!</f>
        <v>#REF!</v>
      </c>
      <c r="I34" s="210" t="s">
        <v>681</v>
      </c>
      <c r="J34" s="602" t="e">
        <f>'R.GUI MAIL'!#REF!</f>
        <v>#REF!</v>
      </c>
      <c r="K34" s="493" t="s">
        <v>604</v>
      </c>
      <c r="L34" s="494" t="e">
        <f>'R.GUI MAIL'!#REF!</f>
        <v>#REF!</v>
      </c>
      <c r="M34" s="210" t="s">
        <v>681</v>
      </c>
      <c r="N34" s="602" t="e">
        <f>'R.GUI MAIL'!#REF!</f>
        <v>#REF!</v>
      </c>
      <c r="O34" s="493" t="s">
        <v>604</v>
      </c>
      <c r="P34" s="494" t="e">
        <f>'R.GUI MAIL'!#REF!</f>
        <v>#REF!</v>
      </c>
      <c r="Q34" s="210" t="s">
        <v>681</v>
      </c>
      <c r="R34" s="552" t="s">
        <v>693</v>
      </c>
    </row>
    <row r="35" spans="1:18" s="537" customFormat="1" ht="28.5" hidden="1" customHeight="1">
      <c r="A35" s="530">
        <v>8</v>
      </c>
      <c r="B35" s="3675"/>
      <c r="C35" s="3676"/>
      <c r="D35" s="3573"/>
      <c r="E35" s="487" t="s">
        <v>726</v>
      </c>
      <c r="F35" s="602" t="e">
        <f>'R.GUI MAIL'!#REF!</f>
        <v>#REF!</v>
      </c>
      <c r="G35" s="493" t="s">
        <v>604</v>
      </c>
      <c r="H35" s="494" t="e">
        <f>'R.GUI MAIL'!#REF!</f>
        <v>#REF!</v>
      </c>
      <c r="I35" s="210" t="s">
        <v>681</v>
      </c>
      <c r="J35" s="602" t="e">
        <f>'R.GUI MAIL'!#REF!</f>
        <v>#REF!</v>
      </c>
      <c r="K35" s="493" t="s">
        <v>604</v>
      </c>
      <c r="L35" s="494" t="e">
        <f>'R.GUI MAIL'!#REF!</f>
        <v>#REF!</v>
      </c>
      <c r="M35" s="210" t="s">
        <v>681</v>
      </c>
      <c r="N35" s="602" t="e">
        <f>'R.GUI MAIL'!#REF!</f>
        <v>#REF!</v>
      </c>
      <c r="O35" s="493" t="s">
        <v>604</v>
      </c>
      <c r="P35" s="494" t="e">
        <f>'R.GUI MAIL'!#REF!</f>
        <v>#REF!</v>
      </c>
      <c r="Q35" s="210" t="s">
        <v>681</v>
      </c>
      <c r="R35" s="552"/>
    </row>
    <row r="36" spans="1:18" s="537" customFormat="1" ht="28.5" hidden="1" customHeight="1">
      <c r="A36" s="530">
        <v>9</v>
      </c>
      <c r="B36" s="3673"/>
      <c r="C36" s="3674"/>
      <c r="D36" s="3573"/>
      <c r="E36" s="487" t="s">
        <v>614</v>
      </c>
      <c r="F36" s="603" t="e">
        <f>'R.GUI MAIL'!#REF!</f>
        <v>#REF!</v>
      </c>
      <c r="G36" s="493" t="s">
        <v>604</v>
      </c>
      <c r="H36" s="494" t="e">
        <f>'R.GUI MAIL'!#REF!</f>
        <v>#REF!</v>
      </c>
      <c r="I36" s="65" t="s">
        <v>681</v>
      </c>
      <c r="J36" s="603" t="e">
        <f>'R.GUI MAIL'!#REF!</f>
        <v>#REF!</v>
      </c>
      <c r="K36" s="493" t="s">
        <v>604</v>
      </c>
      <c r="L36" s="494" t="e">
        <f>'R.GUI MAIL'!#REF!</f>
        <v>#REF!</v>
      </c>
      <c r="M36" s="65" t="s">
        <v>681</v>
      </c>
      <c r="N36" s="603" t="e">
        <f>'R.GUI MAIL'!#REF!</f>
        <v>#REF!</v>
      </c>
      <c r="O36" s="493" t="s">
        <v>604</v>
      </c>
      <c r="P36" s="494" t="e">
        <f>'R.GUI MAIL'!#REF!</f>
        <v>#REF!</v>
      </c>
      <c r="Q36" s="65" t="s">
        <v>681</v>
      </c>
      <c r="R36" s="552" t="s">
        <v>692</v>
      </c>
    </row>
    <row r="37" spans="1:18" s="542" customFormat="1" ht="28.5" customHeight="1">
      <c r="A37" s="530">
        <v>16</v>
      </c>
      <c r="B37" s="3671" t="s">
        <v>664</v>
      </c>
      <c r="C37" s="3672"/>
      <c r="D37" s="532" t="s">
        <v>431</v>
      </c>
      <c r="E37" s="487" t="s">
        <v>441</v>
      </c>
      <c r="F37" s="602">
        <f>'R.GUI MAIL'!Z46</f>
        <v>0.9</v>
      </c>
      <c r="G37" s="548" t="s">
        <v>604</v>
      </c>
      <c r="H37" s="540">
        <f>'R.GUI MAIL'!AC46</f>
        <v>0.12339999999999998</v>
      </c>
      <c r="I37" s="533" t="s">
        <v>681</v>
      </c>
      <c r="J37" s="602">
        <f>'R.GUI MAIL'!AF46</f>
        <v>0.95</v>
      </c>
      <c r="K37" s="548" t="s">
        <v>604</v>
      </c>
      <c r="L37" s="540">
        <f>'R.GUI MAIL'!AI46</f>
        <v>6.1700000000000053E-2</v>
      </c>
      <c r="M37" s="533" t="s">
        <v>681</v>
      </c>
      <c r="N37" s="602">
        <f>'R.GUI MAIL'!AL46</f>
        <v>0.95</v>
      </c>
      <c r="O37" s="548" t="s">
        <v>604</v>
      </c>
      <c r="P37" s="540">
        <f>'R.GUI MAIL'!AO46</f>
        <v>6.1700000000000053E-2</v>
      </c>
      <c r="Q37" s="533" t="s">
        <v>681</v>
      </c>
      <c r="R37" s="541" t="s">
        <v>665</v>
      </c>
    </row>
    <row r="38" spans="1:18" s="542" customFormat="1" ht="28.5" customHeight="1">
      <c r="A38" s="530">
        <v>17</v>
      </c>
      <c r="B38" s="3673"/>
      <c r="C38" s="3674"/>
      <c r="D38" s="543" t="s">
        <v>686</v>
      </c>
      <c r="E38" s="986" t="s">
        <v>974</v>
      </c>
      <c r="F38" s="602">
        <f>'R.GUI MAIL'!Z47</f>
        <v>9</v>
      </c>
      <c r="G38" s="493" t="s">
        <v>604</v>
      </c>
      <c r="H38" s="494">
        <f>'R.GUI MAIL'!AC47</f>
        <v>0</v>
      </c>
      <c r="I38" s="210" t="s">
        <v>681</v>
      </c>
      <c r="J38" s="602">
        <f>'R.GUI MAIL'!AF47</f>
        <v>9.5</v>
      </c>
      <c r="K38" s="493" t="s">
        <v>604</v>
      </c>
      <c r="L38" s="494">
        <f>'R.GUI MAIL'!AI47</f>
        <v>0</v>
      </c>
      <c r="M38" s="210" t="s">
        <v>681</v>
      </c>
      <c r="N38" s="602">
        <f>'R.GUI MAIL'!AL47</f>
        <v>10</v>
      </c>
      <c r="O38" s="493" t="s">
        <v>604</v>
      </c>
      <c r="P38" s="494">
        <f>'R.GUI MAIL'!AO47</f>
        <v>0</v>
      </c>
      <c r="Q38" s="210" t="s">
        <v>681</v>
      </c>
      <c r="R38" s="210"/>
    </row>
    <row r="39" spans="1:18" s="537" customFormat="1" ht="28.5" customHeight="1">
      <c r="A39" s="3574" t="s">
        <v>667</v>
      </c>
      <c r="B39" s="3574"/>
      <c r="C39" s="3574"/>
      <c r="D39" s="3574"/>
      <c r="E39" s="3574"/>
      <c r="F39" s="3574"/>
      <c r="G39" s="3574"/>
      <c r="H39" s="3574"/>
      <c r="I39" s="3574"/>
      <c r="J39" s="3574"/>
      <c r="K39" s="3574"/>
      <c r="L39" s="3574"/>
      <c r="M39" s="3574"/>
      <c r="N39" s="3574"/>
      <c r="O39" s="3574"/>
      <c r="P39" s="3574"/>
      <c r="Q39" s="3574"/>
      <c r="R39" s="3574"/>
    </row>
    <row r="40" spans="1:18" s="537" customFormat="1" ht="28.5" customHeight="1">
      <c r="A40" s="210" t="s">
        <v>687</v>
      </c>
      <c r="B40" s="3505" t="s">
        <v>669</v>
      </c>
      <c r="C40" s="3507"/>
      <c r="D40" s="544" t="s">
        <v>670</v>
      </c>
      <c r="E40" s="544" t="s">
        <v>671</v>
      </c>
      <c r="F40" s="3530" t="s">
        <v>45</v>
      </c>
      <c r="G40" s="3530"/>
      <c r="H40" s="3530" t="s">
        <v>62</v>
      </c>
      <c r="I40" s="3530"/>
      <c r="J40" s="3530" t="s">
        <v>45</v>
      </c>
      <c r="K40" s="3530"/>
      <c r="L40" s="3530" t="s">
        <v>62</v>
      </c>
      <c r="M40" s="3530"/>
      <c r="N40" s="3530" t="s">
        <v>45</v>
      </c>
      <c r="O40" s="3530"/>
      <c r="P40" s="3530" t="s">
        <v>62</v>
      </c>
      <c r="Q40" s="3530"/>
      <c r="R40" s="551"/>
    </row>
    <row r="41" spans="1:18" s="537" customFormat="1" ht="28.5" customHeight="1">
      <c r="A41" s="210">
        <v>1</v>
      </c>
      <c r="B41" s="3505" t="s">
        <v>866</v>
      </c>
      <c r="C41" s="3507"/>
      <c r="D41" s="545" t="s">
        <v>673</v>
      </c>
      <c r="E41" s="839" t="s">
        <v>674</v>
      </c>
      <c r="F41" s="3683">
        <f>'R.GUI MAIL'!Z50</f>
        <v>0</v>
      </c>
      <c r="G41" s="3684"/>
      <c r="H41" s="3118">
        <f>'R.FILE GOC'!AC50</f>
        <v>58</v>
      </c>
      <c r="I41" s="3119"/>
      <c r="J41" s="3683">
        <f>'R.GUI MAIL'!AF50</f>
        <v>0</v>
      </c>
      <c r="K41" s="3684"/>
      <c r="L41" s="3118">
        <f>'R.FILE GOC'!AI50</f>
        <v>59</v>
      </c>
      <c r="M41" s="3119"/>
      <c r="N41" s="3683">
        <f>'R.GUI MAIL'!AL50</f>
        <v>0</v>
      </c>
      <c r="O41" s="3684"/>
      <c r="P41" s="3118">
        <f>'R.FILE GOC'!AO50</f>
        <v>59</v>
      </c>
      <c r="Q41" s="3119"/>
      <c r="R41" s="271"/>
    </row>
    <row r="42" spans="1:18" s="537" customFormat="1" ht="28.5" customHeight="1">
      <c r="A42" s="210">
        <v>2</v>
      </c>
      <c r="B42" s="3505" t="s">
        <v>447</v>
      </c>
      <c r="C42" s="3507"/>
      <c r="D42" s="545" t="s">
        <v>673</v>
      </c>
      <c r="E42" s="487" t="s">
        <v>676</v>
      </c>
      <c r="F42" s="3118">
        <f>'R.GUI MAIL'!Z51</f>
        <v>0</v>
      </c>
      <c r="G42" s="3119"/>
      <c r="H42" s="3118">
        <f>'R.FILE GOC'!AC51</f>
        <v>68</v>
      </c>
      <c r="I42" s="3119"/>
      <c r="J42" s="3118">
        <f>'R.GUI MAIL'!AF51</f>
        <v>0</v>
      </c>
      <c r="K42" s="3119"/>
      <c r="L42" s="3118">
        <f>'R.FILE GOC'!AI51</f>
        <v>68</v>
      </c>
      <c r="M42" s="3119"/>
      <c r="N42" s="3118">
        <f>'R.GUI MAIL'!AL51</f>
        <v>0</v>
      </c>
      <c r="O42" s="3119"/>
      <c r="P42" s="3118">
        <f>'R.FILE GOC'!AO51</f>
        <v>68</v>
      </c>
      <c r="Q42" s="3119"/>
      <c r="R42" s="65"/>
    </row>
    <row r="43" spans="1:18" s="537" customFormat="1" ht="28.5" customHeight="1">
      <c r="A43" s="210">
        <v>3</v>
      </c>
      <c r="B43" s="3505" t="s">
        <v>677</v>
      </c>
      <c r="C43" s="3507"/>
      <c r="D43" s="545" t="s">
        <v>673</v>
      </c>
      <c r="E43" s="487" t="s">
        <v>678</v>
      </c>
      <c r="F43" s="3683">
        <f>'R.GUI MAIL'!Z52</f>
        <v>0</v>
      </c>
      <c r="G43" s="3684"/>
      <c r="H43" s="3118">
        <f>'R.FILE GOC'!AC52</f>
        <v>86</v>
      </c>
      <c r="I43" s="3119"/>
      <c r="J43" s="3683">
        <f>'R.GUI MAIL'!AF52</f>
        <v>0</v>
      </c>
      <c r="K43" s="3684"/>
      <c r="L43" s="3118">
        <f>'R.FILE GOC'!AI52</f>
        <v>85</v>
      </c>
      <c r="M43" s="3119"/>
      <c r="N43" s="3683">
        <f>'R.GUI MAIL'!AL52</f>
        <v>0</v>
      </c>
      <c r="O43" s="3684"/>
      <c r="P43" s="3118">
        <f>'R.FILE GOC'!AO52</f>
        <v>85</v>
      </c>
      <c r="Q43" s="3119"/>
      <c r="R43" s="271"/>
    </row>
    <row r="44" spans="1:18" ht="28.5" customHeight="1">
      <c r="A44" s="328"/>
      <c r="B44" s="327"/>
      <c r="C44" s="327"/>
      <c r="D44" s="604"/>
      <c r="E44" s="605"/>
      <c r="F44" s="3372"/>
      <c r="G44" s="3372"/>
      <c r="H44" s="3372"/>
      <c r="I44" s="3372"/>
      <c r="J44" s="3670"/>
      <c r="K44" s="3670"/>
      <c r="L44" s="3670"/>
      <c r="M44" s="3670"/>
      <c r="N44" s="3670"/>
      <c r="O44" s="3670"/>
      <c r="P44" s="3670"/>
      <c r="Q44" s="3670"/>
      <c r="R44" s="607"/>
    </row>
  </sheetData>
  <sheetProtection selectLockedCells="1"/>
  <mergeCells count="115">
    <mergeCell ref="A1:M1"/>
    <mergeCell ref="A2:M2"/>
    <mergeCell ref="P2:Q2"/>
    <mergeCell ref="J3:L3"/>
    <mergeCell ref="P3:Q3"/>
    <mergeCell ref="A4:A6"/>
    <mergeCell ref="B4:C6"/>
    <mergeCell ref="D4:D6"/>
    <mergeCell ref="E4:E6"/>
    <mergeCell ref="F4:Q4"/>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B15:C16"/>
    <mergeCell ref="A17:R17"/>
    <mergeCell ref="B18:C18"/>
    <mergeCell ref="F18:G18"/>
    <mergeCell ref="H18:I18"/>
    <mergeCell ref="J18:K18"/>
    <mergeCell ref="L18:M18"/>
    <mergeCell ref="N18:O18"/>
    <mergeCell ref="P18:Q18"/>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B37:C38"/>
    <mergeCell ref="A39:R39"/>
    <mergeCell ref="B40:C40"/>
    <mergeCell ref="F40:G40"/>
    <mergeCell ref="H40:I40"/>
    <mergeCell ref="J40:K40"/>
    <mergeCell ref="L40:M40"/>
    <mergeCell ref="N40:O40"/>
    <mergeCell ref="P40:Q40"/>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P43:Q43"/>
    <mergeCell ref="F44:I44"/>
    <mergeCell ref="J44:M44"/>
    <mergeCell ref="N44:Q44"/>
    <mergeCell ref="B43:C43"/>
    <mergeCell ref="F43:G43"/>
    <mergeCell ref="H43:I43"/>
    <mergeCell ref="J43:K43"/>
    <mergeCell ref="L43:M43"/>
    <mergeCell ref="N43:O43"/>
  </mergeCells>
  <phoneticPr fontId="7" type="noConversion"/>
  <conditionalFormatting sqref="F7:F8 J7:J8">
    <cfRule type="expression" dxfId="634" priority="116">
      <formula>F7&lt;10</formula>
    </cfRule>
    <cfRule type="expression" dxfId="633" priority="117">
      <formula>F7&gt;15</formula>
    </cfRule>
  </conditionalFormatting>
  <conditionalFormatting sqref="F9 F12 J9 J12">
    <cfRule type="expression" dxfId="632" priority="114">
      <formula>F9&lt;40</formula>
    </cfRule>
    <cfRule type="expression" dxfId="631" priority="115">
      <formula>F9&gt;60</formula>
    </cfRule>
  </conditionalFormatting>
  <conditionalFormatting sqref="F10 F13 J10 J13">
    <cfRule type="expression" dxfId="630" priority="112">
      <formula>F10&lt;5.2</formula>
    </cfRule>
    <cfRule type="expression" dxfId="629" priority="113">
      <formula>F10&gt;7.8</formula>
    </cfRule>
  </conditionalFormatting>
  <conditionalFormatting sqref="F11 F14 J11 J14">
    <cfRule type="expression" dxfId="628" priority="111">
      <formula>F11&gt;0.4</formula>
    </cfRule>
  </conditionalFormatting>
  <conditionalFormatting sqref="F15 J15">
    <cfRule type="expression" dxfId="627" priority="109">
      <formula>F15&lt;0.8</formula>
    </cfRule>
    <cfRule type="expression" dxfId="626" priority="110">
      <formula>F15&gt;1.2</formula>
    </cfRule>
  </conditionalFormatting>
  <conditionalFormatting sqref="F16 J16">
    <cfRule type="expression" dxfId="625" priority="107">
      <formula>F16&lt;8</formula>
    </cfRule>
    <cfRule type="expression" dxfId="624" priority="108">
      <formula>F16&gt;10</formula>
    </cfRule>
  </conditionalFormatting>
  <conditionalFormatting sqref="N7:N8">
    <cfRule type="expression" dxfId="623" priority="101">
      <formula>N7&lt;10</formula>
    </cfRule>
    <cfRule type="expression" dxfId="622" priority="102">
      <formula>N7&gt;15</formula>
    </cfRule>
  </conditionalFormatting>
  <conditionalFormatting sqref="N9 N12">
    <cfRule type="expression" dxfId="621" priority="99">
      <formula>N9&lt;40</formula>
    </cfRule>
    <cfRule type="expression" dxfId="620" priority="100">
      <formula>N9&gt;60</formula>
    </cfRule>
  </conditionalFormatting>
  <conditionalFormatting sqref="N10 N13">
    <cfRule type="expression" dxfId="619" priority="97">
      <formula>N10&lt;5.2</formula>
    </cfRule>
    <cfRule type="expression" dxfId="618" priority="98">
      <formula>N10&gt;7.8</formula>
    </cfRule>
  </conditionalFormatting>
  <conditionalFormatting sqref="N11 N14">
    <cfRule type="expression" dxfId="617" priority="96">
      <formula>N11&gt;0.4</formula>
    </cfRule>
  </conditionalFormatting>
  <conditionalFormatting sqref="N15">
    <cfRule type="expression" dxfId="616" priority="94">
      <formula>N15&lt;0.8</formula>
    </cfRule>
    <cfRule type="expression" dxfId="615" priority="95">
      <formula>N15&gt;1.2</formula>
    </cfRule>
  </conditionalFormatting>
  <conditionalFormatting sqref="N16">
    <cfRule type="expression" dxfId="614" priority="92">
      <formula>N16&lt;8</formula>
    </cfRule>
    <cfRule type="expression" dxfId="613" priority="93">
      <formula>N16&gt;10</formula>
    </cfRule>
  </conditionalFormatting>
  <conditionalFormatting sqref="J29:J30">
    <cfRule type="expression" dxfId="612" priority="78">
      <formula>J29&lt;10</formula>
    </cfRule>
    <cfRule type="expression" dxfId="611" priority="79">
      <formula>J29&gt;15</formula>
    </cfRule>
  </conditionalFormatting>
  <conditionalFormatting sqref="J31 J34">
    <cfRule type="expression" dxfId="610" priority="76">
      <formula>J31&lt;40</formula>
    </cfRule>
    <cfRule type="expression" dxfId="609" priority="77">
      <formula>J31&gt;60</formula>
    </cfRule>
  </conditionalFormatting>
  <conditionalFormatting sqref="J32 J35">
    <cfRule type="expression" dxfId="608" priority="74">
      <formula>J32&lt;5.2</formula>
    </cfRule>
    <cfRule type="expression" dxfId="607" priority="75">
      <formula>J32&gt;7.8</formula>
    </cfRule>
  </conditionalFormatting>
  <conditionalFormatting sqref="J33 J36">
    <cfRule type="expression" dxfId="606" priority="73">
      <formula>J33&gt;0.4</formula>
    </cfRule>
  </conditionalFormatting>
  <conditionalFormatting sqref="J37">
    <cfRule type="expression" dxfId="605" priority="71">
      <formula>J37&lt;0.8</formula>
    </cfRule>
    <cfRule type="expression" dxfId="604" priority="72">
      <formula>J37&gt;1.2</formula>
    </cfRule>
  </conditionalFormatting>
  <conditionalFormatting sqref="J38">
    <cfRule type="expression" dxfId="603" priority="69">
      <formula>J38&lt;8</formula>
    </cfRule>
    <cfRule type="expression" dxfId="602" priority="70">
      <formula>J38&gt;10</formula>
    </cfRule>
  </conditionalFormatting>
  <conditionalFormatting sqref="N29:N30">
    <cfRule type="expression" dxfId="601" priority="67">
      <formula>N29&lt;10</formula>
    </cfRule>
    <cfRule type="expression" dxfId="600" priority="68">
      <formula>N29&gt;15</formula>
    </cfRule>
  </conditionalFormatting>
  <conditionalFormatting sqref="N31 N34">
    <cfRule type="expression" dxfId="599" priority="65">
      <formula>N31&lt;40</formula>
    </cfRule>
    <cfRule type="expression" dxfId="598" priority="66">
      <formula>N31&gt;60</formula>
    </cfRule>
  </conditionalFormatting>
  <conditionalFormatting sqref="N32 N35">
    <cfRule type="expression" dxfId="597" priority="63">
      <formula>N32&lt;5.2</formula>
    </cfRule>
    <cfRule type="expression" dxfId="596" priority="64">
      <formula>N32&gt;7.8</formula>
    </cfRule>
  </conditionalFormatting>
  <conditionalFormatting sqref="N33 N36">
    <cfRule type="expression" dxfId="595" priority="62">
      <formula>N33&gt;0.4</formula>
    </cfRule>
  </conditionalFormatting>
  <conditionalFormatting sqref="N37">
    <cfRule type="expression" dxfId="594" priority="60">
      <formula>N37&lt;0.8</formula>
    </cfRule>
    <cfRule type="expression" dxfId="593" priority="61">
      <formula>N37&gt;1.2</formula>
    </cfRule>
  </conditionalFormatting>
  <conditionalFormatting sqref="N38">
    <cfRule type="expression" dxfId="592" priority="58">
      <formula>N38&lt;8</formula>
    </cfRule>
    <cfRule type="expression" dxfId="591" priority="59">
      <formula>N38&gt;10</formula>
    </cfRule>
  </conditionalFormatting>
  <conditionalFormatting sqref="F29:F30">
    <cfRule type="expression" dxfId="590" priority="56">
      <formula>F29&lt;10</formula>
    </cfRule>
    <cfRule type="expression" dxfId="589" priority="57">
      <formula>F29&gt;15</formula>
    </cfRule>
  </conditionalFormatting>
  <conditionalFormatting sqref="F31 F34">
    <cfRule type="expression" dxfId="588" priority="54">
      <formula>F31&lt;40</formula>
    </cfRule>
    <cfRule type="expression" dxfId="587" priority="55">
      <formula>F31&gt;60</formula>
    </cfRule>
  </conditionalFormatting>
  <conditionalFormatting sqref="F32 F35">
    <cfRule type="expression" dxfId="586" priority="52">
      <formula>F32&lt;5.2</formula>
    </cfRule>
    <cfRule type="expression" dxfId="585" priority="53">
      <formula>F32&gt;7.8</formula>
    </cfRule>
  </conditionalFormatting>
  <conditionalFormatting sqref="F33 F36">
    <cfRule type="expression" dxfId="584" priority="51">
      <formula>F33&gt;0.4</formula>
    </cfRule>
  </conditionalFormatting>
  <conditionalFormatting sqref="F37">
    <cfRule type="expression" dxfId="583" priority="49">
      <formula>F37&lt;0.8</formula>
    </cfRule>
    <cfRule type="expression" dxfId="582" priority="50">
      <formula>F37&gt;1.2</formula>
    </cfRule>
  </conditionalFormatting>
  <conditionalFormatting sqref="F38">
    <cfRule type="expression" dxfId="581" priority="47">
      <formula>F38&lt;8</formula>
    </cfRule>
    <cfRule type="expression" dxfId="580" priority="48">
      <formula>F38&gt;10</formula>
    </cfRule>
  </conditionalFormatting>
  <conditionalFormatting sqref="F8">
    <cfRule type="expression" dxfId="579" priority="41">
      <formula>F8&lt;10</formula>
    </cfRule>
    <cfRule type="expression" dxfId="578" priority="42">
      <formula>F8&gt;15</formula>
    </cfRule>
  </conditionalFormatting>
  <conditionalFormatting sqref="F8">
    <cfRule type="expression" dxfId="577" priority="40">
      <formula>F8&lt;1</formula>
    </cfRule>
  </conditionalFormatting>
  <conditionalFormatting sqref="J8">
    <cfRule type="expression" dxfId="576" priority="38">
      <formula>J8&lt;10</formula>
    </cfRule>
    <cfRule type="expression" dxfId="575" priority="39">
      <formula>J8&gt;15</formula>
    </cfRule>
  </conditionalFormatting>
  <conditionalFormatting sqref="J8">
    <cfRule type="expression" dxfId="574" priority="37">
      <formula>J8&lt;1</formula>
    </cfRule>
  </conditionalFormatting>
  <conditionalFormatting sqref="N8">
    <cfRule type="expression" dxfId="573" priority="35">
      <formula>N8&lt;10</formula>
    </cfRule>
    <cfRule type="expression" dxfId="572" priority="36">
      <formula>N8&gt;15</formula>
    </cfRule>
  </conditionalFormatting>
  <conditionalFormatting sqref="N8">
    <cfRule type="expression" dxfId="571" priority="33">
      <formula>N8&lt;10</formula>
    </cfRule>
    <cfRule type="expression" dxfId="570" priority="34">
      <formula>N8&gt;15</formula>
    </cfRule>
  </conditionalFormatting>
  <conditionalFormatting sqref="N8">
    <cfRule type="expression" dxfId="569" priority="32">
      <formula>N8&lt;1</formula>
    </cfRule>
  </conditionalFormatting>
  <conditionalFormatting sqref="F30 J30">
    <cfRule type="expression" dxfId="568" priority="30">
      <formula>F30&lt;10</formula>
    </cfRule>
    <cfRule type="expression" dxfId="567" priority="31">
      <formula>F30&gt;15</formula>
    </cfRule>
  </conditionalFormatting>
  <conditionalFormatting sqref="N30">
    <cfRule type="expression" dxfId="566" priority="28">
      <formula>N30&lt;10</formula>
    </cfRule>
    <cfRule type="expression" dxfId="565" priority="29">
      <formula>N30&gt;15</formula>
    </cfRule>
  </conditionalFormatting>
  <conditionalFormatting sqref="F30">
    <cfRule type="expression" dxfId="564" priority="26">
      <formula>F30&lt;10</formula>
    </cfRule>
    <cfRule type="expression" dxfId="563" priority="27">
      <formula>F30&gt;15</formula>
    </cfRule>
  </conditionalFormatting>
  <conditionalFormatting sqref="F30">
    <cfRule type="expression" dxfId="562" priority="25">
      <formula>F30&lt;1</formula>
    </cfRule>
  </conditionalFormatting>
  <conditionalFormatting sqref="J30">
    <cfRule type="expression" dxfId="561" priority="23">
      <formula>J30&lt;10</formula>
    </cfRule>
    <cfRule type="expression" dxfId="560" priority="24">
      <formula>J30&gt;15</formula>
    </cfRule>
  </conditionalFormatting>
  <conditionalFormatting sqref="J30">
    <cfRule type="expression" dxfId="559" priority="22">
      <formula>J30&lt;1</formula>
    </cfRule>
  </conditionalFormatting>
  <conditionalFormatting sqref="N30">
    <cfRule type="expression" dxfId="558" priority="20">
      <formula>N30&lt;10</formula>
    </cfRule>
    <cfRule type="expression" dxfId="557" priority="21">
      <formula>N30&gt;15</formula>
    </cfRule>
  </conditionalFormatting>
  <conditionalFormatting sqref="N30">
    <cfRule type="expression" dxfId="556" priority="18">
      <formula>N30&lt;10</formula>
    </cfRule>
    <cfRule type="expression" dxfId="555" priority="19">
      <formula>N30&gt;15</formula>
    </cfRule>
  </conditionalFormatting>
  <conditionalFormatting sqref="N30">
    <cfRule type="expression" dxfId="554" priority="17">
      <formula>N30&lt;1</formula>
    </cfRule>
  </conditionalFormatting>
  <conditionalFormatting sqref="F41:G42">
    <cfRule type="expression" dxfId="553" priority="15">
      <formula>F41&lt;65</formula>
    </cfRule>
    <cfRule type="expression" dxfId="552" priority="16">
      <formula>F41&gt;85</formula>
    </cfRule>
  </conditionalFormatting>
  <conditionalFormatting sqref="F43:G43">
    <cfRule type="expression" dxfId="551" priority="13">
      <formula>F43&lt;80</formula>
    </cfRule>
    <cfRule type="expression" dxfId="550" priority="14">
      <formula>F43&gt;90</formula>
    </cfRule>
  </conditionalFormatting>
  <conditionalFormatting sqref="H41:Q42">
    <cfRule type="expression" dxfId="549" priority="11">
      <formula>H41&lt;65</formula>
    </cfRule>
    <cfRule type="expression" dxfId="548" priority="12">
      <formula>H41&gt;85</formula>
    </cfRule>
  </conditionalFormatting>
  <conditionalFormatting sqref="H43:Q43">
    <cfRule type="expression" dxfId="547" priority="9">
      <formula>H43&lt;80</formula>
    </cfRule>
    <cfRule type="expression" dxfId="546" priority="10">
      <formula>H43&gt;90</formula>
    </cfRule>
  </conditionalFormatting>
  <conditionalFormatting sqref="F19:G20">
    <cfRule type="expression" dxfId="545" priority="7">
      <formula>F19&lt;65</formula>
    </cfRule>
    <cfRule type="expression" dxfId="544" priority="8">
      <formula>F19&gt;85</formula>
    </cfRule>
  </conditionalFormatting>
  <conditionalFormatting sqref="F21:G21">
    <cfRule type="expression" dxfId="543" priority="5">
      <formula>F21&lt;80</formula>
    </cfRule>
    <cfRule type="expression" dxfId="542" priority="6">
      <formula>F21&gt;90</formula>
    </cfRule>
  </conditionalFormatting>
  <conditionalFormatting sqref="H19:Q20">
    <cfRule type="expression" dxfId="541" priority="3">
      <formula>H19&lt;65</formula>
    </cfRule>
    <cfRule type="expression" dxfId="540" priority="4">
      <formula>H19&gt;85</formula>
    </cfRule>
  </conditionalFormatting>
  <conditionalFormatting sqref="H21:Q21">
    <cfRule type="expression" dxfId="539" priority="1">
      <formula>H21&lt;80</formula>
    </cfRule>
    <cfRule type="expression" dxfId="538"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40.xml><?xml version="1.0" encoding="utf-8"?>
<worksheet xmlns="http://schemas.openxmlformats.org/spreadsheetml/2006/main" xmlns:r="http://schemas.openxmlformats.org/officeDocument/2006/relationships">
  <sheetPr codeName="Sheet31">
    <tabColor rgb="FFFF0000"/>
  </sheetPr>
  <dimension ref="A1:R33"/>
  <sheetViews>
    <sheetView topLeftCell="A4" zoomScale="55" zoomScaleNormal="55" workbookViewId="0">
      <selection activeCell="B3" sqref="B3:L33"/>
    </sheetView>
  </sheetViews>
  <sheetFormatPr defaultRowHeight="16.5"/>
  <cols>
    <col min="1" max="1" width="5.25" style="554" customWidth="1"/>
    <col min="2" max="2" width="31.25" style="574" customWidth="1"/>
    <col min="3" max="3" width="8.375" style="554" customWidth="1"/>
    <col min="4" max="4" width="13.125" style="554" customWidth="1"/>
    <col min="5" max="5" width="9.5" style="554" customWidth="1"/>
    <col min="6" max="6" width="3.375" style="554" customWidth="1"/>
    <col min="7" max="7" width="6.375" style="554" customWidth="1"/>
    <col min="8" max="8" width="3.625" style="554" customWidth="1"/>
    <col min="9" max="9" width="9" style="554" customWidth="1"/>
    <col min="10" max="10" width="3.625" style="554" customWidth="1"/>
    <col min="11" max="12" width="5.625" style="554" customWidth="1"/>
    <col min="13" max="14" width="6" style="554" customWidth="1"/>
    <col min="15" max="15" width="6" style="575" customWidth="1"/>
    <col min="16" max="16" width="6" style="554" customWidth="1"/>
    <col min="17" max="18" width="6.375" style="554" customWidth="1"/>
    <col min="19" max="16384" width="9" style="554"/>
  </cols>
  <sheetData>
    <row r="1" spans="1:18" ht="33.75" customHeight="1">
      <c r="A1" s="3621" t="s">
        <v>135</v>
      </c>
      <c r="B1" s="3621"/>
      <c r="C1" s="3621"/>
      <c r="D1" s="3621"/>
      <c r="E1" s="3621"/>
      <c r="F1" s="3621"/>
      <c r="G1" s="3621"/>
      <c r="H1" s="3621"/>
      <c r="I1" s="3621"/>
      <c r="J1" s="3621"/>
      <c r="K1" s="3621"/>
      <c r="L1" s="3621"/>
      <c r="M1" s="3621"/>
      <c r="N1" s="3621"/>
      <c r="O1" s="1214"/>
      <c r="P1" s="1214"/>
      <c r="Q1" s="1214"/>
      <c r="R1" s="1214"/>
    </row>
    <row r="2" spans="1:18" ht="45.75" customHeight="1">
      <c r="A2" s="3622" t="s">
        <v>696</v>
      </c>
      <c r="B2" s="3622"/>
      <c r="C2" s="3622"/>
      <c r="D2" s="3622"/>
      <c r="E2" s="3622"/>
      <c r="F2" s="3622"/>
      <c r="G2" s="3622"/>
      <c r="H2" s="3622"/>
      <c r="I2" s="3622"/>
      <c r="J2" s="3622"/>
      <c r="K2" s="3622"/>
      <c r="L2" s="3622"/>
      <c r="M2" s="3622"/>
      <c r="N2" s="3623"/>
      <c r="O2" s="3316" t="s">
        <v>641</v>
      </c>
      <c r="P2" s="3318"/>
      <c r="Q2" s="3316" t="s">
        <v>17</v>
      </c>
      <c r="R2" s="3318"/>
    </row>
    <row r="3" spans="1:18" ht="31.5" customHeight="1">
      <c r="A3" s="555"/>
      <c r="B3" s="2000" t="str">
        <f>MENU!$AC$9</f>
        <v>Thứ 4,</v>
      </c>
      <c r="C3" s="1822" t="str">
        <f>MENU!$AD$9</f>
        <v>2024/05/22</v>
      </c>
      <c r="D3" s="2002"/>
      <c r="E3" s="555"/>
      <c r="F3" s="555"/>
      <c r="G3" s="555"/>
      <c r="H3" s="556"/>
      <c r="I3" s="556"/>
      <c r="J3" s="556"/>
      <c r="K3" s="556"/>
      <c r="L3" s="556"/>
      <c r="M3" s="556"/>
      <c r="N3" s="556"/>
      <c r="O3" s="3619" t="str">
        <f>'1.xi den'!R3</f>
        <v>Mi</v>
      </c>
      <c r="P3" s="3620"/>
      <c r="Q3" s="3619" t="s">
        <v>697</v>
      </c>
      <c r="R3" s="3620"/>
    </row>
    <row r="4" spans="1:18" s="560" customFormat="1" ht="43.5" customHeight="1">
      <c r="A4" s="3604" t="s">
        <v>7</v>
      </c>
      <c r="B4" s="3598" t="s">
        <v>698</v>
      </c>
      <c r="C4" s="3598" t="s">
        <v>18</v>
      </c>
      <c r="D4" s="3605" t="s">
        <v>699</v>
      </c>
      <c r="E4" s="557" t="s">
        <v>700</v>
      </c>
      <c r="F4" s="558"/>
      <c r="G4" s="558"/>
      <c r="H4" s="558"/>
      <c r="I4" s="558"/>
      <c r="J4" s="558"/>
      <c r="K4" s="558"/>
      <c r="L4" s="559"/>
      <c r="M4" s="3505" t="s">
        <v>701</v>
      </c>
      <c r="N4" s="3506"/>
      <c r="O4" s="3506"/>
      <c r="P4" s="3507"/>
      <c r="Q4" s="3613" t="s">
        <v>647</v>
      </c>
      <c r="R4" s="3614"/>
    </row>
    <row r="5" spans="1:18" s="560" customFormat="1" ht="24" customHeight="1">
      <c r="A5" s="3604"/>
      <c r="B5" s="3598"/>
      <c r="C5" s="3598"/>
      <c r="D5" s="3605"/>
      <c r="E5" s="3508">
        <v>0.375</v>
      </c>
      <c r="F5" s="3317"/>
      <c r="G5" s="3317"/>
      <c r="H5" s="3318"/>
      <c r="I5" s="3508">
        <v>0.875</v>
      </c>
      <c r="J5" s="3317"/>
      <c r="K5" s="3317"/>
      <c r="L5" s="3318"/>
      <c r="M5" s="3508">
        <v>0.375</v>
      </c>
      <c r="N5" s="3318"/>
      <c r="O5" s="3509">
        <v>0.875</v>
      </c>
      <c r="P5" s="3507"/>
      <c r="Q5" s="3615"/>
      <c r="R5" s="3616"/>
    </row>
    <row r="6" spans="1:18" s="560" customFormat="1" ht="55.5" customHeight="1">
      <c r="A6" s="3604"/>
      <c r="B6" s="3604"/>
      <c r="C6" s="3604"/>
      <c r="D6" s="3606"/>
      <c r="E6" s="1207" t="s">
        <v>702</v>
      </c>
      <c r="F6" s="3610" t="s">
        <v>703</v>
      </c>
      <c r="G6" s="3611"/>
      <c r="H6" s="3612"/>
      <c r="I6" s="1207" t="s">
        <v>702</v>
      </c>
      <c r="J6" s="3610" t="s">
        <v>703</v>
      </c>
      <c r="K6" s="3611"/>
      <c r="L6" s="3612"/>
      <c r="M6" s="561" t="s">
        <v>704</v>
      </c>
      <c r="N6" s="562" t="s">
        <v>705</v>
      </c>
      <c r="O6" s="561" t="s">
        <v>704</v>
      </c>
      <c r="P6" s="562" t="s">
        <v>705</v>
      </c>
      <c r="Q6" s="3617"/>
      <c r="R6" s="3618"/>
    </row>
    <row r="7" spans="1:18" ht="39.75" customHeight="1">
      <c r="A7" s="1208">
        <v>1</v>
      </c>
      <c r="B7" s="1208" t="s">
        <v>706</v>
      </c>
      <c r="C7" s="1208" t="s">
        <v>4</v>
      </c>
      <c r="D7" s="563" t="s">
        <v>529</v>
      </c>
      <c r="E7" s="35">
        <f>'R.GUI MAIL'!H89</f>
        <v>24.016000000000002</v>
      </c>
      <c r="F7" s="1215" t="s">
        <v>8</v>
      </c>
      <c r="G7" s="1216">
        <f>'R.GUI MAIL'!K89</f>
        <v>1.6058879999999971</v>
      </c>
      <c r="H7" s="1217" t="s">
        <v>9</v>
      </c>
      <c r="I7" s="35">
        <f>'R.GUI MAIL'!N89</f>
        <v>23.700000000000003</v>
      </c>
      <c r="J7" s="1215" t="s">
        <v>8</v>
      </c>
      <c r="K7" s="1216">
        <f>'R.GUI MAIL'!Q89</f>
        <v>2.1215999999999955</v>
      </c>
      <c r="L7" s="1217" t="s">
        <v>9</v>
      </c>
      <c r="M7" s="564"/>
      <c r="N7" s="565"/>
      <c r="O7" s="564"/>
      <c r="P7" s="565"/>
      <c r="Q7" s="3607" t="s">
        <v>12</v>
      </c>
      <c r="R7" s="3608"/>
    </row>
    <row r="8" spans="1:18" ht="39.75" customHeight="1">
      <c r="A8" s="1208">
        <v>2</v>
      </c>
      <c r="B8" s="1208" t="s">
        <v>707</v>
      </c>
      <c r="C8" s="1208" t="s">
        <v>4</v>
      </c>
      <c r="D8" s="563" t="s">
        <v>529</v>
      </c>
      <c r="E8" s="35">
        <f>'R.GUI MAIL'!H90</f>
        <v>25.596000000000004</v>
      </c>
      <c r="F8" s="1215" t="s">
        <v>8</v>
      </c>
      <c r="G8" s="1216">
        <f>'R.GUI MAIL'!K90</f>
        <v>0</v>
      </c>
      <c r="H8" s="1217" t="s">
        <v>9</v>
      </c>
      <c r="I8" s="35">
        <f>'R.GUI MAIL'!N90</f>
        <v>26.544</v>
      </c>
      <c r="J8" s="1215" t="s">
        <v>8</v>
      </c>
      <c r="K8" s="1216">
        <f>'R.GUI MAIL'!Q90</f>
        <v>0</v>
      </c>
      <c r="L8" s="1217" t="s">
        <v>9</v>
      </c>
      <c r="M8" s="564"/>
      <c r="N8" s="565"/>
      <c r="O8" s="564"/>
      <c r="P8" s="565"/>
      <c r="Q8" s="3607" t="s">
        <v>12</v>
      </c>
      <c r="R8" s="3608"/>
    </row>
    <row r="9" spans="1:18" ht="39.75" customHeight="1">
      <c r="A9" s="1208">
        <v>3</v>
      </c>
      <c r="B9" s="1208" t="s">
        <v>708</v>
      </c>
      <c r="C9" s="1208" t="s">
        <v>55</v>
      </c>
      <c r="D9" s="563" t="s">
        <v>1409</v>
      </c>
      <c r="E9" s="35">
        <f>'R.GUI MAIL'!H91</f>
        <v>234.72000000000003</v>
      </c>
      <c r="F9" s="1215" t="s">
        <v>8</v>
      </c>
      <c r="G9" s="1216">
        <f>'R.GUI MAIL'!K91</f>
        <v>24.936959999999956</v>
      </c>
      <c r="H9" s="1217" t="s">
        <v>1168</v>
      </c>
      <c r="I9" s="35">
        <f>'R.GUI MAIL'!N91</f>
        <v>228.20000000000002</v>
      </c>
      <c r="J9" s="1215" t="s">
        <v>8</v>
      </c>
      <c r="K9" s="1216">
        <f>'R.GUI MAIL'!Q91</f>
        <v>35.577599999999968</v>
      </c>
      <c r="L9" s="1217" t="s">
        <v>1158</v>
      </c>
      <c r="M9" s="564"/>
      <c r="N9" s="565"/>
      <c r="O9" s="564"/>
      <c r="P9" s="565"/>
      <c r="Q9" s="3607" t="s">
        <v>16</v>
      </c>
      <c r="R9" s="3608"/>
    </row>
    <row r="10" spans="1:18" ht="39.75" customHeight="1">
      <c r="A10" s="1208">
        <v>4</v>
      </c>
      <c r="B10" s="1209" t="s">
        <v>1159</v>
      </c>
      <c r="C10" s="1208" t="s">
        <v>4</v>
      </c>
      <c r="D10" s="1552" t="s">
        <v>1410</v>
      </c>
      <c r="E10" s="35">
        <f>'R.GUI MAIL'!H92</f>
        <v>125</v>
      </c>
      <c r="F10" s="1215" t="s">
        <v>8</v>
      </c>
      <c r="G10" s="1216">
        <f>'R.GUI MAIL'!K92</f>
        <v>8.64</v>
      </c>
      <c r="H10" s="1217" t="s">
        <v>9</v>
      </c>
      <c r="I10" s="35">
        <f>'R.GUI MAIL'!N92</f>
        <v>123.75</v>
      </c>
      <c r="J10" s="1215" t="s">
        <v>8</v>
      </c>
      <c r="K10" s="1216">
        <f>'R.GUI MAIL'!Q92</f>
        <v>10.8</v>
      </c>
      <c r="L10" s="1217" t="s">
        <v>9</v>
      </c>
      <c r="M10" s="564"/>
      <c r="N10" s="565"/>
      <c r="O10" s="564"/>
      <c r="P10" s="565"/>
      <c r="Q10" s="3607" t="s">
        <v>709</v>
      </c>
      <c r="R10" s="3608"/>
    </row>
    <row r="11" spans="1:18" ht="39.75" customHeight="1">
      <c r="A11" s="1208">
        <v>5</v>
      </c>
      <c r="B11" s="1209" t="s">
        <v>1160</v>
      </c>
      <c r="C11" s="1208" t="s">
        <v>4</v>
      </c>
      <c r="D11" s="566" t="s">
        <v>539</v>
      </c>
      <c r="E11" s="35">
        <f>'R.GUI MAIL'!H93</f>
        <v>1.1250000000000004</v>
      </c>
      <c r="F11" s="1215" t="s">
        <v>8</v>
      </c>
      <c r="G11" s="1216">
        <f>'R.GUI MAIL'!K93</f>
        <v>0</v>
      </c>
      <c r="H11" s="1217" t="s">
        <v>9</v>
      </c>
      <c r="I11" s="35">
        <f>'R.GUI MAIL'!N93</f>
        <v>1.3749999999999996</v>
      </c>
      <c r="J11" s="1215" t="s">
        <v>8</v>
      </c>
      <c r="K11" s="1216">
        <f>'R.GUI MAIL'!Q93</f>
        <v>0</v>
      </c>
      <c r="L11" s="1217" t="s">
        <v>9</v>
      </c>
      <c r="M11" s="564"/>
      <c r="N11" s="565"/>
      <c r="O11" s="564"/>
      <c r="P11" s="565"/>
      <c r="Q11" s="3607" t="s">
        <v>710</v>
      </c>
      <c r="R11" s="3608"/>
    </row>
    <row r="12" spans="1:18" ht="39.75" customHeight="1">
      <c r="A12" s="1208">
        <v>6</v>
      </c>
      <c r="B12" s="1209" t="s">
        <v>1161</v>
      </c>
      <c r="C12" s="1208" t="s">
        <v>4</v>
      </c>
      <c r="D12" s="1552" t="s">
        <v>1410</v>
      </c>
      <c r="E12" s="35">
        <f>'R.GUI MAIL'!H94</f>
        <v>126.25</v>
      </c>
      <c r="F12" s="1215" t="s">
        <v>8</v>
      </c>
      <c r="G12" s="1216">
        <f>'R.GUI MAIL'!K94</f>
        <v>6.48</v>
      </c>
      <c r="H12" s="1217" t="s">
        <v>9</v>
      </c>
      <c r="I12" s="35">
        <f>'R.GUI MAIL'!N94</f>
        <v>125</v>
      </c>
      <c r="J12" s="1215" t="s">
        <v>8</v>
      </c>
      <c r="K12" s="1216">
        <f>'R.GUI MAIL'!Q94</f>
        <v>8.64</v>
      </c>
      <c r="L12" s="1217" t="s">
        <v>9</v>
      </c>
      <c r="M12" s="564"/>
      <c r="N12" s="565"/>
      <c r="O12" s="564"/>
      <c r="P12" s="565"/>
      <c r="Q12" s="3607" t="s">
        <v>709</v>
      </c>
      <c r="R12" s="3608"/>
    </row>
    <row r="13" spans="1:18" ht="39.75" customHeight="1">
      <c r="A13" s="1208">
        <v>7</v>
      </c>
      <c r="B13" s="1209" t="s">
        <v>1162</v>
      </c>
      <c r="C13" s="1208" t="s">
        <v>4</v>
      </c>
      <c r="D13" s="566" t="s">
        <v>539</v>
      </c>
      <c r="E13" s="35">
        <f>'R.GUI MAIL'!H95</f>
        <v>1.25</v>
      </c>
      <c r="F13" s="1215" t="s">
        <v>8</v>
      </c>
      <c r="G13" s="1216">
        <f>'R.GUI MAIL'!K95</f>
        <v>0</v>
      </c>
      <c r="H13" s="1217" t="s">
        <v>9</v>
      </c>
      <c r="I13" s="35">
        <f>'R.GUI MAIL'!N95</f>
        <v>1.3749999999999996</v>
      </c>
      <c r="J13" s="1215" t="s">
        <v>8</v>
      </c>
      <c r="K13" s="1216">
        <f>'R.GUI MAIL'!Q95</f>
        <v>0</v>
      </c>
      <c r="L13" s="1217" t="s">
        <v>9</v>
      </c>
      <c r="M13" s="564"/>
      <c r="N13" s="565"/>
      <c r="O13" s="564"/>
      <c r="P13" s="565"/>
      <c r="Q13" s="3607" t="s">
        <v>710</v>
      </c>
      <c r="R13" s="3608"/>
    </row>
    <row r="14" spans="1:18" ht="39.75" customHeight="1">
      <c r="A14" s="1208">
        <v>8</v>
      </c>
      <c r="B14" s="1209" t="s">
        <v>937</v>
      </c>
      <c r="C14" s="1208" t="s">
        <v>4</v>
      </c>
      <c r="D14" s="1552" t="s">
        <v>1410</v>
      </c>
      <c r="E14" s="35">
        <f>'R.GUI MAIL'!H96</f>
        <v>123.75</v>
      </c>
      <c r="F14" s="1215" t="s">
        <v>8</v>
      </c>
      <c r="G14" s="1216">
        <f>'R.GUI MAIL'!K96</f>
        <v>10.8</v>
      </c>
      <c r="H14" s="1217" t="s">
        <v>9</v>
      </c>
      <c r="I14" s="35">
        <f>'R.GUI MAIL'!N96</f>
        <v>123.75</v>
      </c>
      <c r="J14" s="1215" t="s">
        <v>8</v>
      </c>
      <c r="K14" s="1216">
        <f>'R.GUI MAIL'!Q96</f>
        <v>10.8</v>
      </c>
      <c r="L14" s="1217" t="s">
        <v>9</v>
      </c>
      <c r="M14" s="564"/>
      <c r="N14" s="565"/>
      <c r="O14" s="564"/>
      <c r="P14" s="565"/>
      <c r="Q14" s="3607" t="s">
        <v>709</v>
      </c>
      <c r="R14" s="3608"/>
    </row>
    <row r="15" spans="1:18" ht="39.75" customHeight="1">
      <c r="A15" s="1208">
        <v>9</v>
      </c>
      <c r="B15" s="1209" t="s">
        <v>938</v>
      </c>
      <c r="C15" s="1208" t="s">
        <v>4</v>
      </c>
      <c r="D15" s="566" t="s">
        <v>539</v>
      </c>
      <c r="E15" s="35">
        <f>'R.GUI MAIL'!H97</f>
        <v>0.74999999999999956</v>
      </c>
      <c r="F15" s="1215" t="s">
        <v>8</v>
      </c>
      <c r="G15" s="1216">
        <f>'R.GUI MAIL'!K97</f>
        <v>0</v>
      </c>
      <c r="H15" s="1217" t="s">
        <v>9</v>
      </c>
      <c r="I15" s="35">
        <f>'R.GUI MAIL'!N97</f>
        <v>1.3749999999999996</v>
      </c>
      <c r="J15" s="1215" t="s">
        <v>8</v>
      </c>
      <c r="K15" s="1216">
        <f>'R.GUI MAIL'!Q97</f>
        <v>0</v>
      </c>
      <c r="L15" s="1217" t="s">
        <v>9</v>
      </c>
      <c r="M15" s="564"/>
      <c r="N15" s="565"/>
      <c r="O15" s="564"/>
      <c r="P15" s="565"/>
      <c r="Q15" s="3607" t="s">
        <v>710</v>
      </c>
      <c r="R15" s="3608"/>
    </row>
    <row r="16" spans="1:18" ht="39.75" customHeight="1">
      <c r="A16" s="3594">
        <v>10</v>
      </c>
      <c r="B16" s="3602" t="s">
        <v>711</v>
      </c>
      <c r="C16" s="1208" t="s">
        <v>4</v>
      </c>
      <c r="D16" s="563" t="s">
        <v>546</v>
      </c>
      <c r="E16" s="35">
        <f>'R.GUI MAIL'!H98</f>
        <v>11.232000000000001</v>
      </c>
      <c r="F16" s="1215" t="s">
        <v>8</v>
      </c>
      <c r="G16" s="1216">
        <f>'R.GUI MAIL'!K98</f>
        <v>0</v>
      </c>
      <c r="H16" s="1217" t="s">
        <v>9</v>
      </c>
      <c r="I16" s="35">
        <f>'R.GUI MAIL'!N98</f>
        <v>11.023999999999999</v>
      </c>
      <c r="J16" s="1215" t="s">
        <v>8</v>
      </c>
      <c r="K16" s="1216">
        <f>'R.GUI MAIL'!Q98</f>
        <v>0</v>
      </c>
      <c r="L16" s="1217" t="s">
        <v>9</v>
      </c>
      <c r="M16" s="564"/>
      <c r="N16" s="565"/>
      <c r="O16" s="564"/>
      <c r="P16" s="565"/>
      <c r="Q16" s="3607" t="s">
        <v>712</v>
      </c>
      <c r="R16" s="3608"/>
    </row>
    <row r="17" spans="1:18" ht="33" customHeight="1">
      <c r="A17" s="3595"/>
      <c r="B17" s="3603"/>
      <c r="C17" s="1208" t="s">
        <v>5</v>
      </c>
      <c r="D17" s="563" t="s">
        <v>548</v>
      </c>
      <c r="E17" s="609">
        <f>'R.GUI MAIL'!H99</f>
        <v>6.6</v>
      </c>
      <c r="F17" s="1218"/>
      <c r="G17" s="1218"/>
      <c r="H17" s="1218"/>
      <c r="I17" s="609">
        <f>'R.GUI MAIL'!N99</f>
        <v>6.6</v>
      </c>
      <c r="J17" s="1219"/>
      <c r="K17" s="1219"/>
      <c r="L17" s="1220"/>
      <c r="M17" s="564"/>
      <c r="N17" s="565"/>
      <c r="O17" s="564"/>
      <c r="P17" s="565"/>
      <c r="Q17" s="3609"/>
      <c r="R17" s="3608"/>
    </row>
    <row r="18" spans="1:18" ht="31.5" hidden="1" customHeight="1">
      <c r="A18" s="1208">
        <v>11</v>
      </c>
      <c r="B18" s="567" t="s">
        <v>713</v>
      </c>
      <c r="C18" s="1210" t="s">
        <v>5</v>
      </c>
      <c r="D18" s="1559" t="s">
        <v>1412</v>
      </c>
      <c r="E18" s="1554">
        <f>'R.GUI MAIL'!H100</f>
        <v>0</v>
      </c>
      <c r="F18" s="1555"/>
      <c r="G18" s="1555"/>
      <c r="H18" s="1555"/>
      <c r="I18" s="1554">
        <f>'R.GUI MAIL'!N100</f>
        <v>0</v>
      </c>
      <c r="J18" s="1219"/>
      <c r="K18" s="1219"/>
      <c r="L18" s="1220"/>
      <c r="M18" s="564"/>
      <c r="N18" s="565"/>
      <c r="O18" s="568"/>
      <c r="P18" s="565"/>
      <c r="Q18" s="3586"/>
      <c r="R18" s="3587"/>
    </row>
    <row r="19" spans="1:18" ht="31.5" hidden="1" customHeight="1">
      <c r="A19" s="1208">
        <v>12</v>
      </c>
      <c r="B19" s="569" t="s">
        <v>714</v>
      </c>
      <c r="C19" s="1210" t="s">
        <v>5</v>
      </c>
      <c r="D19" s="1559" t="s">
        <v>1412</v>
      </c>
      <c r="E19" s="1554">
        <f>'R.GUI MAIL'!H101</f>
        <v>0</v>
      </c>
      <c r="F19" s="1555"/>
      <c r="G19" s="1555"/>
      <c r="H19" s="1555"/>
      <c r="I19" s="1554">
        <f>'R.GUI MAIL'!N101</f>
        <v>0</v>
      </c>
      <c r="J19" s="1221"/>
      <c r="K19" s="1221"/>
      <c r="L19" s="1222"/>
      <c r="M19" s="564"/>
      <c r="N19" s="565"/>
      <c r="O19" s="568"/>
      <c r="P19" s="565"/>
      <c r="Q19" s="3586"/>
      <c r="R19" s="3587"/>
    </row>
    <row r="20" spans="1:18" ht="32.25" customHeight="1">
      <c r="A20" s="1208">
        <v>13</v>
      </c>
      <c r="B20" s="567" t="s">
        <v>715</v>
      </c>
      <c r="C20" s="1210" t="s">
        <v>5</v>
      </c>
      <c r="D20" s="1559" t="s">
        <v>1412</v>
      </c>
      <c r="E20" s="1554">
        <f>'R.GUI MAIL'!H102</f>
        <v>5.8</v>
      </c>
      <c r="F20" s="1555"/>
      <c r="G20" s="1555"/>
      <c r="H20" s="1555"/>
      <c r="I20" s="1554">
        <f>'R.GUI MAIL'!N102</f>
        <v>5.7</v>
      </c>
      <c r="J20" s="1221"/>
      <c r="K20" s="1221"/>
      <c r="L20" s="1222"/>
      <c r="M20" s="564"/>
      <c r="N20" s="565"/>
      <c r="O20" s="568"/>
      <c r="P20" s="565"/>
      <c r="Q20" s="3586"/>
      <c r="R20" s="3587"/>
    </row>
    <row r="21" spans="1:18" ht="31.5" customHeight="1">
      <c r="A21" s="1208"/>
      <c r="B21" s="570" t="s">
        <v>137</v>
      </c>
      <c r="C21" s="571"/>
      <c r="D21" s="571"/>
      <c r="E21" s="571"/>
      <c r="F21" s="571"/>
      <c r="G21" s="571"/>
      <c r="H21" s="571"/>
      <c r="I21" s="571"/>
      <c r="J21" s="571"/>
      <c r="K21" s="571"/>
      <c r="L21" s="571"/>
      <c r="M21" s="571"/>
      <c r="N21" s="571"/>
      <c r="O21" s="571"/>
      <c r="P21" s="571"/>
      <c r="Q21" s="571"/>
      <c r="R21" s="572"/>
    </row>
    <row r="22" spans="1:18" ht="43.5" customHeight="1">
      <c r="A22" s="3594" t="s">
        <v>7</v>
      </c>
      <c r="B22" s="3596" t="s">
        <v>21</v>
      </c>
      <c r="C22" s="3596" t="s">
        <v>22</v>
      </c>
      <c r="D22" s="3596" t="s">
        <v>23</v>
      </c>
      <c r="E22" s="3598" t="s">
        <v>45</v>
      </c>
      <c r="F22" s="3598"/>
      <c r="G22" s="3599" t="s">
        <v>62</v>
      </c>
      <c r="H22" s="3599"/>
      <c r="I22" s="3598" t="s">
        <v>45</v>
      </c>
      <c r="J22" s="3598"/>
      <c r="K22" s="3599" t="s">
        <v>62</v>
      </c>
      <c r="L22" s="3599"/>
      <c r="M22" s="3600"/>
      <c r="N22" s="3600"/>
      <c r="O22" s="3596"/>
      <c r="P22" s="3600"/>
      <c r="Q22" s="3590"/>
      <c r="R22" s="3591"/>
    </row>
    <row r="23" spans="1:18" ht="22.5" customHeight="1">
      <c r="A23" s="3595"/>
      <c r="B23" s="3597"/>
      <c r="C23" s="3597"/>
      <c r="D23" s="3597"/>
      <c r="E23" s="3508">
        <v>0.375</v>
      </c>
      <c r="F23" s="3317"/>
      <c r="G23" s="3317"/>
      <c r="H23" s="3318"/>
      <c r="I23" s="3508">
        <v>0.875</v>
      </c>
      <c r="J23" s="3317"/>
      <c r="K23" s="3317"/>
      <c r="L23" s="3318"/>
      <c r="M23" s="3601"/>
      <c r="N23" s="3601"/>
      <c r="O23" s="3597"/>
      <c r="P23" s="3601"/>
      <c r="Q23" s="3592"/>
      <c r="R23" s="3593"/>
    </row>
    <row r="24" spans="1:18" ht="36.75" customHeight="1">
      <c r="A24" s="1208">
        <v>1</v>
      </c>
      <c r="B24" s="1208" t="s">
        <v>706</v>
      </c>
      <c r="C24" s="573" t="s">
        <v>26</v>
      </c>
      <c r="D24" s="1553" t="s">
        <v>1414</v>
      </c>
      <c r="E24" s="3198">
        <f>'R.GUI MAIL'!H105</f>
        <v>61</v>
      </c>
      <c r="F24" s="3230"/>
      <c r="G24" s="3198">
        <f>'R.GUI MAIL'!K105</f>
        <v>64</v>
      </c>
      <c r="H24" s="3230"/>
      <c r="I24" s="3198">
        <f>'R.GUI MAIL'!N105</f>
        <v>60</v>
      </c>
      <c r="J24" s="3230"/>
      <c r="K24" s="3166">
        <f>'R.GUI MAIL'!Q105</f>
        <v>63</v>
      </c>
      <c r="L24" s="3166"/>
      <c r="M24" s="1203"/>
      <c r="N24" s="1203"/>
      <c r="O24" s="3584"/>
      <c r="P24" s="3585"/>
      <c r="Q24" s="3586"/>
      <c r="R24" s="3587"/>
    </row>
    <row r="25" spans="1:18" ht="36.75" customHeight="1">
      <c r="A25" s="1208">
        <v>2</v>
      </c>
      <c r="B25" s="1208" t="s">
        <v>707</v>
      </c>
      <c r="C25" s="573" t="s">
        <v>26</v>
      </c>
      <c r="D25" s="1553" t="s">
        <v>1414</v>
      </c>
      <c r="E25" s="3198">
        <f>'R.GUI MAIL'!H106</f>
        <v>55</v>
      </c>
      <c r="F25" s="3230"/>
      <c r="G25" s="3198">
        <f>'R.GUI MAIL'!K106</f>
        <v>61</v>
      </c>
      <c r="H25" s="3230"/>
      <c r="I25" s="3198">
        <f>'R.GUI MAIL'!N106</f>
        <v>54</v>
      </c>
      <c r="J25" s="3230"/>
      <c r="K25" s="3166">
        <f>'R.GUI MAIL'!Q106</f>
        <v>60</v>
      </c>
      <c r="L25" s="3166"/>
      <c r="M25" s="1203"/>
      <c r="N25" s="1203"/>
      <c r="O25" s="3584"/>
      <c r="P25" s="3585"/>
      <c r="Q25" s="3586"/>
      <c r="R25" s="3587"/>
    </row>
    <row r="26" spans="1:18" ht="36.75" customHeight="1">
      <c r="A26" s="1208">
        <v>3</v>
      </c>
      <c r="B26" s="1209" t="s">
        <v>1165</v>
      </c>
      <c r="C26" s="573" t="s">
        <v>26</v>
      </c>
      <c r="D26" s="1553" t="s">
        <v>1415</v>
      </c>
      <c r="E26" s="3198">
        <f>'R.GUI MAIL'!H107</f>
        <v>23</v>
      </c>
      <c r="F26" s="3230"/>
      <c r="G26" s="3198">
        <f>'R.GUI MAIL'!K107</f>
        <v>20</v>
      </c>
      <c r="H26" s="3230"/>
      <c r="I26" s="3198">
        <f>'R.GUI MAIL'!N107</f>
        <v>25</v>
      </c>
      <c r="J26" s="3230"/>
      <c r="K26" s="3166">
        <f>'R.GUI MAIL'!Q107</f>
        <v>23</v>
      </c>
      <c r="L26" s="3166"/>
      <c r="M26" s="1203"/>
      <c r="N26" s="1203"/>
      <c r="O26" s="3584"/>
      <c r="P26" s="3585"/>
      <c r="Q26" s="3586"/>
      <c r="R26" s="3587"/>
    </row>
    <row r="27" spans="1:18" ht="36.75" customHeight="1">
      <c r="A27" s="1208">
        <v>4</v>
      </c>
      <c r="B27" s="1209" t="s">
        <v>1166</v>
      </c>
      <c r="C27" s="573" t="s">
        <v>26</v>
      </c>
      <c r="D27" s="1553" t="s">
        <v>1415</v>
      </c>
      <c r="E27" s="3198">
        <f>'R.GUI MAIL'!H108</f>
        <v>23</v>
      </c>
      <c r="F27" s="3230"/>
      <c r="G27" s="3198">
        <f>'R.GUI MAIL'!K108</f>
        <v>22</v>
      </c>
      <c r="H27" s="3230"/>
      <c r="I27" s="3198">
        <f>'R.GUI MAIL'!N108</f>
        <v>23</v>
      </c>
      <c r="J27" s="3230"/>
      <c r="K27" s="3166">
        <f>'R.GUI MAIL'!Q108</f>
        <v>21</v>
      </c>
      <c r="L27" s="3166"/>
      <c r="M27" s="1203"/>
      <c r="N27" s="1203"/>
      <c r="O27" s="3584"/>
      <c r="P27" s="3585"/>
      <c r="Q27" s="3586"/>
      <c r="R27" s="3587"/>
    </row>
    <row r="28" spans="1:18" ht="36.75" customHeight="1">
      <c r="A28" s="1208">
        <v>5</v>
      </c>
      <c r="B28" s="1209" t="s">
        <v>1167</v>
      </c>
      <c r="C28" s="573" t="s">
        <v>26</v>
      </c>
      <c r="D28" s="1553" t="s">
        <v>1415</v>
      </c>
      <c r="E28" s="3198">
        <f>'R.GUI MAIL'!H109</f>
        <v>22</v>
      </c>
      <c r="F28" s="3230"/>
      <c r="G28" s="3198">
        <f>'R.GUI MAIL'!K109</f>
        <v>19</v>
      </c>
      <c r="H28" s="3230"/>
      <c r="I28" s="3198">
        <f>'R.GUI MAIL'!N109</f>
        <v>22</v>
      </c>
      <c r="J28" s="3230"/>
      <c r="K28" s="3166">
        <f>'R.GUI MAIL'!Q109</f>
        <v>20</v>
      </c>
      <c r="L28" s="3166"/>
      <c r="M28" s="1203"/>
      <c r="N28" s="1203"/>
      <c r="O28" s="3584"/>
      <c r="P28" s="3585"/>
      <c r="Q28" s="3586"/>
      <c r="R28" s="3587"/>
    </row>
    <row r="29" spans="1:18" ht="36.75" customHeight="1">
      <c r="A29" s="1208">
        <v>6</v>
      </c>
      <c r="B29" s="1209" t="s">
        <v>716</v>
      </c>
      <c r="C29" s="573" t="s">
        <v>26</v>
      </c>
      <c r="D29" s="1553" t="s">
        <v>1586</v>
      </c>
      <c r="E29" s="3166">
        <f>'R.GUI MAIL'!H110</f>
        <v>30</v>
      </c>
      <c r="F29" s="3166"/>
      <c r="G29" s="3166">
        <f>'R.GUI MAIL'!K110</f>
        <v>32</v>
      </c>
      <c r="H29" s="3166"/>
      <c r="I29" s="3166">
        <f>'R.GUI MAIL'!N110</f>
        <v>31</v>
      </c>
      <c r="J29" s="3166"/>
      <c r="K29" s="3166">
        <f>'R.GUI MAIL'!Q110</f>
        <v>32</v>
      </c>
      <c r="L29" s="3166"/>
      <c r="M29" s="1203"/>
      <c r="N29" s="1203"/>
      <c r="O29" s="3584"/>
      <c r="P29" s="3585"/>
      <c r="Q29" s="3586"/>
      <c r="R29" s="3587"/>
    </row>
    <row r="30" spans="1:18" ht="38.25" hidden="1" customHeight="1">
      <c r="A30" s="1208">
        <v>7</v>
      </c>
      <c r="B30" s="567" t="s">
        <v>713</v>
      </c>
      <c r="C30" s="573" t="s">
        <v>26</v>
      </c>
      <c r="D30" s="1553" t="s">
        <v>1456</v>
      </c>
      <c r="E30" s="3166">
        <f>'R.GUI MAIL'!H111</f>
        <v>0</v>
      </c>
      <c r="F30" s="3166"/>
      <c r="G30" s="3166">
        <f>'R.GUI MAIL'!K111</f>
        <v>0</v>
      </c>
      <c r="H30" s="3166"/>
      <c r="I30" s="3166">
        <f>'R.GUI MAIL'!N111</f>
        <v>0</v>
      </c>
      <c r="J30" s="3166"/>
      <c r="K30" s="3166">
        <f>'R.GUI MAIL'!Q111</f>
        <v>0</v>
      </c>
      <c r="L30" s="3166"/>
      <c r="M30" s="1203"/>
      <c r="N30" s="1203"/>
      <c r="O30" s="3588"/>
      <c r="P30" s="3589"/>
      <c r="Q30" s="3586"/>
      <c r="R30" s="3587"/>
    </row>
    <row r="31" spans="1:18" ht="36.75" hidden="1" customHeight="1">
      <c r="A31" s="1208">
        <v>8</v>
      </c>
      <c r="B31" s="569" t="s">
        <v>714</v>
      </c>
      <c r="C31" s="573" t="s">
        <v>26</v>
      </c>
      <c r="D31" s="1553" t="s">
        <v>1457</v>
      </c>
      <c r="E31" s="3166">
        <f>'R.GUI MAIL'!H112</f>
        <v>0</v>
      </c>
      <c r="F31" s="3166"/>
      <c r="G31" s="3166">
        <f>'R.GUI MAIL'!K112</f>
        <v>0</v>
      </c>
      <c r="H31" s="3166"/>
      <c r="I31" s="3166">
        <f>'R.GUI MAIL'!N112</f>
        <v>0</v>
      </c>
      <c r="J31" s="3166"/>
      <c r="K31" s="3166">
        <f>'R.GUI MAIL'!Q112</f>
        <v>0</v>
      </c>
      <c r="L31" s="3166"/>
      <c r="M31" s="1203"/>
      <c r="N31" s="1203"/>
      <c r="O31" s="3588"/>
      <c r="P31" s="3589"/>
      <c r="Q31" s="3586"/>
      <c r="R31" s="3587"/>
    </row>
    <row r="32" spans="1:18" ht="36.75" customHeight="1">
      <c r="A32" s="1208">
        <v>9</v>
      </c>
      <c r="B32" s="567" t="s">
        <v>715</v>
      </c>
      <c r="C32" s="573" t="s">
        <v>26</v>
      </c>
      <c r="D32" s="1553" t="s">
        <v>1456</v>
      </c>
      <c r="E32" s="3166">
        <f>'R.GUI MAIL'!H113</f>
        <v>62</v>
      </c>
      <c r="F32" s="3166"/>
      <c r="G32" s="3166">
        <f>'R.GUI MAIL'!K113</f>
        <v>61</v>
      </c>
      <c r="H32" s="3166"/>
      <c r="I32" s="3166">
        <f>'R.GUI MAIL'!N113</f>
        <v>64</v>
      </c>
      <c r="J32" s="3166"/>
      <c r="K32" s="3166">
        <f>'R.GUI MAIL'!Q113</f>
        <v>60</v>
      </c>
      <c r="L32" s="3166"/>
      <c r="M32" s="1203"/>
      <c r="N32" s="1203"/>
      <c r="O32" s="3588"/>
      <c r="P32" s="3589"/>
      <c r="Q32" s="3586"/>
      <c r="R32" s="3587"/>
    </row>
    <row r="33" spans="1:18" ht="36.75" customHeight="1">
      <c r="A33" s="1208">
        <v>11</v>
      </c>
      <c r="B33" s="1209" t="s">
        <v>717</v>
      </c>
      <c r="C33" s="573" t="s">
        <v>26</v>
      </c>
      <c r="D33" s="1553" t="s">
        <v>1416</v>
      </c>
      <c r="E33" s="3624" t="s">
        <v>1169</v>
      </c>
      <c r="F33" s="3625"/>
      <c r="G33" s="3198">
        <f>'R.GUI MAIL'!K114</f>
        <v>109</v>
      </c>
      <c r="H33" s="3230"/>
      <c r="I33" s="3624" t="s">
        <v>1169</v>
      </c>
      <c r="J33" s="3625"/>
      <c r="K33" s="3166">
        <f>'R.GUI MAIL'!Q114</f>
        <v>109</v>
      </c>
      <c r="L33" s="3166"/>
      <c r="M33" s="1203"/>
      <c r="N33" s="1203"/>
      <c r="O33" s="3588"/>
      <c r="P33" s="3589"/>
      <c r="Q33" s="3586"/>
      <c r="R33" s="3587"/>
    </row>
  </sheetData>
  <mergeCells count="109">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A1:N1"/>
    <mergeCell ref="A2:N2"/>
    <mergeCell ref="O2:P2"/>
    <mergeCell ref="A16:A17"/>
    <mergeCell ref="B16:B17"/>
    <mergeCell ref="A4:A6"/>
    <mergeCell ref="B4:B6"/>
    <mergeCell ref="C4:C6"/>
    <mergeCell ref="D4:D6"/>
    <mergeCell ref="M4:P4"/>
    <mergeCell ref="F6:H6"/>
    <mergeCell ref="J6:L6"/>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O24:P24"/>
    <mergeCell ref="Q24:R24"/>
    <mergeCell ref="O25:P25"/>
    <mergeCell ref="Q25:R25"/>
    <mergeCell ref="Q22:R23"/>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s>
  <phoneticPr fontId="7" type="noConversion"/>
  <conditionalFormatting sqref="E7:E8 I7:I8">
    <cfRule type="expression" dxfId="537" priority="131">
      <formula>E7&lt;20</formula>
    </cfRule>
    <cfRule type="expression" dxfId="536" priority="132">
      <formula>E7&gt;30</formula>
    </cfRule>
  </conditionalFormatting>
  <conditionalFormatting sqref="E9 I9">
    <cfRule type="expression" dxfId="535" priority="129">
      <formula>E9&lt;210</formula>
    </cfRule>
    <cfRule type="expression" dxfId="534" priority="130">
      <formula>E9&gt;290</formula>
    </cfRule>
  </conditionalFormatting>
  <conditionalFormatting sqref="E10 E12 E14 I10 I12 I14">
    <cfRule type="expression" dxfId="533" priority="127">
      <formula>E10&lt;120</formula>
    </cfRule>
    <cfRule type="expression" dxfId="532" priority="128">
      <formula>E10&gt;150</formula>
    </cfRule>
  </conditionalFormatting>
  <conditionalFormatting sqref="E11 E13 E15 I11 I13 I15">
    <cfRule type="expression" dxfId="531" priority="125">
      <formula>E11&lt;1</formula>
    </cfRule>
    <cfRule type="expression" dxfId="530" priority="126">
      <formula>E11&gt;5</formula>
    </cfRule>
  </conditionalFormatting>
  <conditionalFormatting sqref="E16 I16">
    <cfRule type="expression" dxfId="529" priority="123">
      <formula>E16&lt;8</formula>
    </cfRule>
    <cfRule type="expression" dxfId="528" priority="124">
      <formula>E16&gt;12</formula>
    </cfRule>
  </conditionalFormatting>
  <conditionalFormatting sqref="E17">
    <cfRule type="expression" dxfId="527" priority="121">
      <formula>E17&lt;6</formula>
    </cfRule>
    <cfRule type="expression" dxfId="526" priority="122">
      <formula>E17&gt;8</formula>
    </cfRule>
  </conditionalFormatting>
  <conditionalFormatting sqref="I17">
    <cfRule type="expression" dxfId="525" priority="117">
      <formula>I17&lt;6</formula>
    </cfRule>
    <cfRule type="expression" dxfId="524" priority="118">
      <formula>I17&gt;8</formula>
    </cfRule>
  </conditionalFormatting>
  <conditionalFormatting sqref="E24">
    <cfRule type="expression" dxfId="523" priority="113">
      <formula>E24&lt;45</formula>
    </cfRule>
    <cfRule type="expression" dxfId="522" priority="114">
      <formula>E24&gt;65</formula>
    </cfRule>
  </conditionalFormatting>
  <conditionalFormatting sqref="E25">
    <cfRule type="expression" dxfId="521" priority="111">
      <formula>E25&lt;45</formula>
    </cfRule>
    <cfRule type="expression" dxfId="520" priority="112">
      <formula>E25&gt;65</formula>
    </cfRule>
  </conditionalFormatting>
  <conditionalFormatting sqref="G33">
    <cfRule type="expression" dxfId="519" priority="105">
      <formula>G33&lt;100</formula>
    </cfRule>
    <cfRule type="expression" dxfId="518" priority="106">
      <formula>G33&gt;110</formula>
    </cfRule>
  </conditionalFormatting>
  <conditionalFormatting sqref="G24">
    <cfRule type="expression" dxfId="517" priority="103">
      <formula>G24&lt;45</formula>
    </cfRule>
    <cfRule type="expression" dxfId="516" priority="104">
      <formula>G24&gt;65</formula>
    </cfRule>
  </conditionalFormatting>
  <conditionalFormatting sqref="G25">
    <cfRule type="expression" dxfId="515" priority="101">
      <formula>G25&lt;45</formula>
    </cfRule>
    <cfRule type="expression" dxfId="514" priority="102">
      <formula>G25&gt;65</formula>
    </cfRule>
  </conditionalFormatting>
  <conditionalFormatting sqref="I24">
    <cfRule type="expression" dxfId="513" priority="95">
      <formula>I24&lt;45</formula>
    </cfRule>
    <cfRule type="expression" dxfId="512" priority="96">
      <formula>I24&gt;65</formula>
    </cfRule>
  </conditionalFormatting>
  <conditionalFormatting sqref="I25">
    <cfRule type="expression" dxfId="511" priority="93">
      <formula>I25&lt;45</formula>
    </cfRule>
    <cfRule type="expression" dxfId="510" priority="94">
      <formula>I25&gt;65</formula>
    </cfRule>
  </conditionalFormatting>
  <conditionalFormatting sqref="K33">
    <cfRule type="expression" dxfId="509" priority="87">
      <formula>K33&lt;100</formula>
    </cfRule>
    <cfRule type="expression" dxfId="508" priority="88">
      <formula>K33&gt;110</formula>
    </cfRule>
  </conditionalFormatting>
  <conditionalFormatting sqref="K24">
    <cfRule type="expression" dxfId="507" priority="85">
      <formula>K24&lt;45</formula>
    </cfRule>
    <cfRule type="expression" dxfId="506" priority="86">
      <formula>K24&gt;65</formula>
    </cfRule>
  </conditionalFormatting>
  <conditionalFormatting sqref="K25">
    <cfRule type="expression" dxfId="505" priority="83">
      <formula>K25&lt;45</formula>
    </cfRule>
    <cfRule type="expression" dxfId="504" priority="84">
      <formula>K25&gt;65</formula>
    </cfRule>
  </conditionalFormatting>
  <conditionalFormatting sqref="E26">
    <cfRule type="expression" dxfId="503" priority="77">
      <formula>E26&lt;18</formula>
    </cfRule>
    <cfRule type="expression" dxfId="502" priority="78">
      <formula>E26&gt;25</formula>
    </cfRule>
  </conditionalFormatting>
  <conditionalFormatting sqref="E27:E28">
    <cfRule type="expression" dxfId="501" priority="75">
      <formula>E27&lt;18</formula>
    </cfRule>
    <cfRule type="expression" dxfId="500" priority="76">
      <formula>E27&gt;25</formula>
    </cfRule>
  </conditionalFormatting>
  <conditionalFormatting sqref="G26:G28 I26:I28 K26:K28">
    <cfRule type="expression" dxfId="499" priority="73">
      <formula>G26&lt;18</formula>
    </cfRule>
    <cfRule type="expression" dxfId="498" priority="74">
      <formula>G26&gt;25</formula>
    </cfRule>
  </conditionalFormatting>
  <conditionalFormatting sqref="E18">
    <cfRule type="expression" dxfId="497" priority="55">
      <formula>E18&lt;5.5</formula>
    </cfRule>
    <cfRule type="expression" dxfId="496" priority="56">
      <formula>E18&gt;6</formula>
    </cfRule>
  </conditionalFormatting>
  <conditionalFormatting sqref="E19:E20">
    <cfRule type="expression" dxfId="495" priority="53">
      <formula>E19&lt;5.5</formula>
    </cfRule>
    <cfRule type="expression" dxfId="494" priority="54">
      <formula>E19&gt;6</formula>
    </cfRule>
  </conditionalFormatting>
  <conditionalFormatting sqref="I18">
    <cfRule type="expression" dxfId="493" priority="51">
      <formula>I18&lt;5.5</formula>
    </cfRule>
    <cfRule type="expression" dxfId="492" priority="52">
      <formula>I18&gt;6</formula>
    </cfRule>
  </conditionalFormatting>
  <conditionalFormatting sqref="I19:I20">
    <cfRule type="expression" dxfId="491" priority="49">
      <formula>I19&lt;5.5</formula>
    </cfRule>
    <cfRule type="expression" dxfId="490" priority="50">
      <formula>I19&gt;6</formula>
    </cfRule>
  </conditionalFormatting>
  <conditionalFormatting sqref="E30">
    <cfRule type="expression" dxfId="489" priority="45">
      <formula>E30&lt;55</formula>
    </cfRule>
    <cfRule type="expression" dxfId="488" priority="46">
      <formula>E30&gt;65</formula>
    </cfRule>
  </conditionalFormatting>
  <conditionalFormatting sqref="E32">
    <cfRule type="expression" dxfId="487" priority="43">
      <formula>E32&lt;55</formula>
    </cfRule>
    <cfRule type="expression" dxfId="486" priority="44">
      <formula>E32&gt;65</formula>
    </cfRule>
  </conditionalFormatting>
  <conditionalFormatting sqref="E31">
    <cfRule type="expression" dxfId="485" priority="41">
      <formula>E31&lt;42</formula>
    </cfRule>
    <cfRule type="expression" dxfId="484" priority="42">
      <formula>E31&gt;47</formula>
    </cfRule>
  </conditionalFormatting>
  <conditionalFormatting sqref="G30">
    <cfRule type="expression" dxfId="483" priority="37">
      <formula>G30&lt;55</formula>
    </cfRule>
    <cfRule type="expression" dxfId="482" priority="38">
      <formula>G30&gt;65</formula>
    </cfRule>
  </conditionalFormatting>
  <conditionalFormatting sqref="G32">
    <cfRule type="expression" dxfId="481" priority="35">
      <formula>G32&lt;55</formula>
    </cfRule>
    <cfRule type="expression" dxfId="480" priority="36">
      <formula>G32&gt;65</formula>
    </cfRule>
  </conditionalFormatting>
  <conditionalFormatting sqref="G31">
    <cfRule type="expression" dxfId="479" priority="33">
      <formula>G31&lt;42</formula>
    </cfRule>
    <cfRule type="expression" dxfId="478" priority="34">
      <formula>G31&gt;47</formula>
    </cfRule>
  </conditionalFormatting>
  <conditionalFormatting sqref="I30">
    <cfRule type="expression" dxfId="477" priority="29">
      <formula>I30&lt;55</formula>
    </cfRule>
    <cfRule type="expression" dxfId="476" priority="30">
      <formula>I30&gt;65</formula>
    </cfRule>
  </conditionalFormatting>
  <conditionalFormatting sqref="I32">
    <cfRule type="expression" dxfId="475" priority="27">
      <formula>I32&lt;55</formula>
    </cfRule>
    <cfRule type="expression" dxfId="474" priority="28">
      <formula>I32&gt;65</formula>
    </cfRule>
  </conditionalFormatting>
  <conditionalFormatting sqref="I31">
    <cfRule type="expression" dxfId="473" priority="25">
      <formula>I31&lt;42</formula>
    </cfRule>
    <cfRule type="expression" dxfId="472" priority="26">
      <formula>I31&gt;47</formula>
    </cfRule>
  </conditionalFormatting>
  <conditionalFormatting sqref="K30">
    <cfRule type="expression" dxfId="471" priority="21">
      <formula>K30&lt;55</formula>
    </cfRule>
    <cfRule type="expression" dxfId="470" priority="22">
      <formula>K30&gt;65</formula>
    </cfRule>
  </conditionalFormatting>
  <conditionalFormatting sqref="K32">
    <cfRule type="expression" dxfId="469" priority="19">
      <formula>K32&lt;55</formula>
    </cfRule>
    <cfRule type="expression" dxfId="468" priority="20">
      <formula>K32&gt;65</formula>
    </cfRule>
  </conditionalFormatting>
  <conditionalFormatting sqref="K31">
    <cfRule type="expression" dxfId="467" priority="17">
      <formula>K31&lt;42</formula>
    </cfRule>
    <cfRule type="expression" dxfId="466" priority="18">
      <formula>K31&gt;47</formula>
    </cfRule>
  </conditionalFormatting>
  <conditionalFormatting sqref="E29">
    <cfRule type="expression" dxfId="465" priority="7">
      <formula>E29&lt;45</formula>
    </cfRule>
    <cfRule type="expression" dxfId="464" priority="8">
      <formula>E29&gt;60</formula>
    </cfRule>
  </conditionalFormatting>
  <conditionalFormatting sqref="G29">
    <cfRule type="expression" dxfId="463" priority="5">
      <formula>G29&lt;45</formula>
    </cfRule>
    <cfRule type="expression" dxfId="462" priority="6">
      <formula>G29&gt;60</formula>
    </cfRule>
  </conditionalFormatting>
  <conditionalFormatting sqref="I29">
    <cfRule type="expression" dxfId="461" priority="3">
      <formula>I29&lt;45</formula>
    </cfRule>
    <cfRule type="expression" dxfId="460" priority="4">
      <formula>I29&gt;60</formula>
    </cfRule>
  </conditionalFormatting>
  <conditionalFormatting sqref="K29">
    <cfRule type="expression" dxfId="459" priority="1">
      <formula>K29&lt;45</formula>
    </cfRule>
    <cfRule type="expression" dxfId="458" priority="2">
      <formula>K29&gt;60</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41.xml><?xml version="1.0" encoding="utf-8"?>
<worksheet xmlns="http://schemas.openxmlformats.org/spreadsheetml/2006/main" xmlns:r="http://schemas.openxmlformats.org/officeDocument/2006/relationships">
  <sheetPr codeName="Sheet32">
    <tabColor rgb="FFC00000"/>
  </sheetPr>
  <dimension ref="A1:AQ114"/>
  <sheetViews>
    <sheetView showGridLines="0" zoomScale="55" zoomScaleNormal="55" workbookViewId="0">
      <pane xSplit="7" ySplit="2" topLeftCell="H53" activePane="bottomRight" state="frozen"/>
      <selection pane="topRight" activeCell="H1" sqref="H1"/>
      <selection pane="bottomLeft" activeCell="A3" sqref="A3"/>
      <selection pane="bottomRight"/>
    </sheetView>
  </sheetViews>
  <sheetFormatPr defaultRowHeight="15.75"/>
  <cols>
    <col min="1" max="1" width="17.25" style="12" customWidth="1"/>
    <col min="2" max="2" width="36.875" style="12" customWidth="1"/>
    <col min="3" max="3" width="6" style="12" customWidth="1"/>
    <col min="4" max="4" width="12" style="12" customWidth="1"/>
    <col min="5" max="5" width="18.875" style="12" customWidth="1"/>
    <col min="6" max="6" width="12" style="12" hidden="1" customWidth="1"/>
    <col min="7" max="7" width="12.875" style="12" hidden="1" customWidth="1"/>
    <col min="8" max="8" width="9.75" style="12" customWidth="1"/>
    <col min="9" max="9" width="8.375" style="12" hidden="1" customWidth="1"/>
    <col min="10" max="10" width="2.5" style="12" customWidth="1"/>
    <col min="11" max="11" width="8" style="12" customWidth="1"/>
    <col min="12" max="12" width="6.25" style="12" customWidth="1"/>
    <col min="13" max="13" width="6.625" style="12" hidden="1" customWidth="1"/>
    <col min="14" max="14" width="9" style="12" customWidth="1"/>
    <col min="15" max="15" width="5.75" style="12" hidden="1" customWidth="1"/>
    <col min="16" max="16" width="3" style="12" customWidth="1"/>
    <col min="17" max="17" width="8.375" style="12" customWidth="1"/>
    <col min="18" max="18" width="6.125" style="12" customWidth="1"/>
    <col min="19" max="19" width="9" style="12" hidden="1" customWidth="1"/>
    <col min="20" max="20" width="8.375" style="12" customWidth="1"/>
    <col min="21" max="21" width="9" style="12" hidden="1" customWidth="1"/>
    <col min="22" max="22" width="3.75" style="12" customWidth="1"/>
    <col min="23" max="23" width="8.875" style="12" customWidth="1"/>
    <col min="24" max="24" width="6.125" style="12" customWidth="1"/>
    <col min="25" max="25" width="9" style="12" hidden="1" customWidth="1"/>
    <col min="26" max="26" width="8.25" style="12" customWidth="1"/>
    <col min="27" max="27" width="9" style="12" hidden="1" customWidth="1"/>
    <col min="28" max="28" width="4" style="12" customWidth="1"/>
    <col min="29" max="29" width="7.75" style="12" customWidth="1"/>
    <col min="30" max="30" width="5.625" style="307" customWidth="1"/>
    <col min="31" max="31" width="9" style="12" hidden="1" customWidth="1"/>
    <col min="32" max="32" width="8.375" style="12" customWidth="1"/>
    <col min="33" max="33" width="9" style="12" hidden="1" customWidth="1"/>
    <col min="34" max="34" width="3.75" style="12" customWidth="1"/>
    <col min="35" max="35" width="9.75" style="12" customWidth="1"/>
    <col min="36" max="36" width="6.125" style="12" customWidth="1"/>
    <col min="37" max="37" width="9" style="12" hidden="1" customWidth="1"/>
    <col min="38" max="38" width="8.25" style="12" customWidth="1"/>
    <col min="39" max="39" width="9" style="12" hidden="1" customWidth="1"/>
    <col min="40" max="40" width="4" style="12" customWidth="1"/>
    <col min="41" max="41" width="7.75" style="12" customWidth="1"/>
    <col min="42" max="42" width="6.5" style="307" customWidth="1"/>
    <col min="43" max="43" width="13.875" style="12" hidden="1" customWidth="1"/>
    <col min="44" max="44" width="6.5" style="12" customWidth="1"/>
    <col min="45" max="16384" width="9" style="12"/>
  </cols>
  <sheetData>
    <row r="1" spans="1:43" ht="39.75" customHeight="1">
      <c r="A1" s="397" t="s">
        <v>1518</v>
      </c>
      <c r="B1" s="398"/>
      <c r="C1" s="398"/>
      <c r="D1" s="398"/>
      <c r="E1" s="398"/>
      <c r="F1" s="398"/>
      <c r="G1" s="398"/>
      <c r="H1" s="398"/>
      <c r="I1" s="398"/>
      <c r="J1" s="398"/>
      <c r="K1" s="398"/>
      <c r="L1" s="398"/>
      <c r="M1" s="398"/>
      <c r="N1" s="398"/>
      <c r="O1" s="398"/>
      <c r="P1" s="398"/>
      <c r="Q1" s="398"/>
      <c r="R1" s="398"/>
      <c r="S1" s="398"/>
      <c r="T1" s="398"/>
      <c r="U1" s="398"/>
      <c r="V1" s="398"/>
      <c r="W1" s="398"/>
      <c r="X1" s="398"/>
      <c r="Y1" s="398"/>
      <c r="Z1" s="398"/>
      <c r="AA1" s="398"/>
      <c r="AB1" s="398"/>
      <c r="AC1" s="398"/>
      <c r="AD1" s="398"/>
      <c r="AE1" s="398"/>
      <c r="AF1" s="398"/>
      <c r="AH1" s="767"/>
      <c r="AI1" s="1960"/>
      <c r="AJ1" s="767" t="s">
        <v>173</v>
      </c>
      <c r="AK1" s="767" t="s">
        <v>173</v>
      </c>
      <c r="AL1" s="399"/>
      <c r="AM1" s="399"/>
      <c r="AN1" s="399"/>
      <c r="AO1" s="399"/>
      <c r="AP1" s="399"/>
      <c r="AQ1" s="399"/>
    </row>
    <row r="2" spans="1:43" ht="34.5" customHeight="1">
      <c r="A2" s="1998" t="str">
        <f>MENU!$AC$9</f>
        <v>Thứ 4,</v>
      </c>
      <c r="B2" s="1992" t="str">
        <f>MENU!$AD$9</f>
        <v>2024/05/22</v>
      </c>
      <c r="C2" s="398"/>
      <c r="D2" s="398"/>
      <c r="E2" s="398"/>
      <c r="F2" s="398"/>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H2" s="767"/>
      <c r="AI2" s="1961"/>
      <c r="AJ2" s="767" t="s">
        <v>174</v>
      </c>
      <c r="AK2" s="767" t="s">
        <v>174</v>
      </c>
      <c r="AL2" s="399"/>
      <c r="AM2" s="399"/>
      <c r="AN2" s="399"/>
      <c r="AO2" s="399"/>
      <c r="AP2" s="399"/>
      <c r="AQ2" s="399"/>
    </row>
    <row r="3" spans="1:43" ht="41.25" customHeight="1">
      <c r="A3" s="1976" t="s">
        <v>421</v>
      </c>
      <c r="B3" s="1977"/>
      <c r="C3" s="1978"/>
      <c r="D3" s="1978"/>
      <c r="E3" s="2093" t="s">
        <v>1512</v>
      </c>
      <c r="F3" s="1979" t="s">
        <v>72</v>
      </c>
      <c r="G3" s="1980"/>
      <c r="H3" s="1981" t="s">
        <v>72</v>
      </c>
      <c r="I3" s="1981"/>
      <c r="J3" s="1981"/>
      <c r="K3" s="1981"/>
      <c r="L3" s="1981"/>
      <c r="M3" s="1981"/>
      <c r="N3" s="1981"/>
      <c r="O3" s="1981"/>
      <c r="P3" s="1981"/>
      <c r="Q3" s="1981"/>
      <c r="R3" s="1981"/>
      <c r="S3" s="1981"/>
      <c r="T3" s="1981"/>
      <c r="U3" s="1981"/>
      <c r="V3" s="1981"/>
      <c r="W3" s="1981"/>
      <c r="X3" s="1981"/>
      <c r="Y3" s="1981"/>
      <c r="Z3" s="1981"/>
      <c r="AA3" s="1981"/>
      <c r="AB3" s="1981"/>
      <c r="AC3" s="1981"/>
      <c r="AD3" s="1981"/>
      <c r="AE3" s="1981"/>
      <c r="AF3" s="1981"/>
      <c r="AG3" s="1981"/>
      <c r="AH3" s="1981"/>
      <c r="AI3" s="1982"/>
      <c r="AJ3" s="1981"/>
      <c r="AK3" s="1981"/>
      <c r="AL3" s="1981"/>
      <c r="AM3" s="1981"/>
      <c r="AN3" s="1981"/>
      <c r="AO3" s="1981"/>
      <c r="AP3" s="1981"/>
    </row>
    <row r="4" spans="1:43" s="307" customFormat="1" ht="33" hidden="1" customHeight="1">
      <c r="A4" s="1097"/>
      <c r="B4" s="3153" t="s">
        <v>76</v>
      </c>
      <c r="C4" s="3153"/>
      <c r="D4" s="3044" t="s">
        <v>124</v>
      </c>
      <c r="E4" s="3695" t="s">
        <v>64</v>
      </c>
      <c r="F4" s="401"/>
      <c r="G4" s="402"/>
      <c r="H4" s="3441" t="s">
        <v>472</v>
      </c>
      <c r="I4" s="3441"/>
      <c r="J4" s="3441"/>
      <c r="K4" s="3441"/>
      <c r="L4" s="3441"/>
      <c r="M4" s="1227"/>
      <c r="N4" s="3466" t="s">
        <v>1464</v>
      </c>
      <c r="O4" s="3466"/>
      <c r="P4" s="3466"/>
      <c r="Q4" s="3466"/>
      <c r="R4" s="3466"/>
      <c r="S4" s="1227"/>
      <c r="T4" s="3441" t="s">
        <v>1465</v>
      </c>
      <c r="U4" s="3441"/>
      <c r="V4" s="3441"/>
      <c r="W4" s="3441"/>
      <c r="X4" s="3441"/>
      <c r="Y4" s="1227"/>
      <c r="Z4" s="3441" t="s">
        <v>1466</v>
      </c>
      <c r="AA4" s="3441"/>
      <c r="AB4" s="3441"/>
      <c r="AC4" s="3441"/>
      <c r="AD4" s="3441"/>
      <c r="AE4" s="1227"/>
      <c r="AF4" s="3441" t="s">
        <v>1467</v>
      </c>
      <c r="AG4" s="3441"/>
      <c r="AH4" s="3441"/>
      <c r="AI4" s="3441"/>
      <c r="AJ4" s="3441"/>
      <c r="AK4" s="1227"/>
      <c r="AL4" s="3441" t="s">
        <v>1468</v>
      </c>
      <c r="AM4" s="3441"/>
      <c r="AN4" s="3441"/>
      <c r="AO4" s="3441"/>
      <c r="AP4" s="3441"/>
      <c r="AQ4" s="400"/>
    </row>
    <row r="5" spans="1:43" s="307" customFormat="1" ht="33" hidden="1" customHeight="1">
      <c r="A5" s="427" t="s">
        <v>238</v>
      </c>
      <c r="B5" s="3153"/>
      <c r="C5" s="3153"/>
      <c r="D5" s="3694"/>
      <c r="E5" s="3696"/>
      <c r="F5" s="405" t="s">
        <v>422</v>
      </c>
      <c r="G5" s="406"/>
      <c r="H5" s="1067" t="s">
        <v>731</v>
      </c>
      <c r="I5" s="295" t="s">
        <v>1</v>
      </c>
      <c r="J5" s="3706" t="s">
        <v>1</v>
      </c>
      <c r="K5" s="3706"/>
      <c r="L5" s="3706"/>
      <c r="M5" s="1098"/>
      <c r="N5" s="1067" t="s">
        <v>731</v>
      </c>
      <c r="O5" s="295" t="s">
        <v>1</v>
      </c>
      <c r="P5" s="3706" t="s">
        <v>1</v>
      </c>
      <c r="Q5" s="3706"/>
      <c r="R5" s="3707"/>
      <c r="S5" s="406"/>
      <c r="T5" s="1067" t="s">
        <v>731</v>
      </c>
      <c r="U5" s="295" t="s">
        <v>1</v>
      </c>
      <c r="V5" s="3706" t="s">
        <v>1</v>
      </c>
      <c r="W5" s="3706"/>
      <c r="X5" s="3707"/>
      <c r="Y5" s="1098"/>
      <c r="Z5" s="1067" t="s">
        <v>731</v>
      </c>
      <c r="AA5" s="295" t="s">
        <v>1</v>
      </c>
      <c r="AB5" s="3699" t="s">
        <v>1</v>
      </c>
      <c r="AC5" s="3699"/>
      <c r="AD5" s="3699"/>
      <c r="AE5" s="406"/>
      <c r="AF5" s="1067" t="s">
        <v>731</v>
      </c>
      <c r="AG5" s="295" t="s">
        <v>1</v>
      </c>
      <c r="AH5" s="3706" t="s">
        <v>1</v>
      </c>
      <c r="AI5" s="3706"/>
      <c r="AJ5" s="3707"/>
      <c r="AK5" s="1098"/>
      <c r="AL5" s="1067" t="s">
        <v>731</v>
      </c>
      <c r="AM5" s="295" t="s">
        <v>1</v>
      </c>
      <c r="AN5" s="3699" t="s">
        <v>1</v>
      </c>
      <c r="AO5" s="3699"/>
      <c r="AP5" s="3699"/>
      <c r="AQ5" s="427" t="s">
        <v>423</v>
      </c>
    </row>
    <row r="6" spans="1:43" ht="28.5" hidden="1" customHeight="1">
      <c r="A6" s="1099" t="s">
        <v>424</v>
      </c>
      <c r="B6" s="3135" t="s">
        <v>835</v>
      </c>
      <c r="C6" s="3628"/>
      <c r="D6" s="47" t="s">
        <v>3</v>
      </c>
      <c r="E6" s="48" t="s">
        <v>426</v>
      </c>
      <c r="F6" s="407">
        <v>12.5</v>
      </c>
      <c r="G6" s="408">
        <f>R.HN!C2</f>
        <v>0</v>
      </c>
      <c r="H6" s="1474">
        <f>(1*G6*36.5)/(1*10)</f>
        <v>0</v>
      </c>
      <c r="I6" s="1474">
        <f>($F$6-H6)*748/32</f>
        <v>292.1875</v>
      </c>
      <c r="J6" s="1475" t="s">
        <v>8</v>
      </c>
      <c r="K6" s="1465">
        <f>IF(H6=0,0,IF(I6&lt;0,0,I6))</f>
        <v>0</v>
      </c>
      <c r="L6" s="1475" t="s">
        <v>10</v>
      </c>
      <c r="M6" s="1477">
        <f>R.HN!D2</f>
        <v>0</v>
      </c>
      <c r="N6" s="1474">
        <f>(1*M6*36.5)/(1*10)</f>
        <v>0</v>
      </c>
      <c r="O6" s="1474">
        <f>($F$6-N6)*748/32</f>
        <v>292.1875</v>
      </c>
      <c r="P6" s="1475" t="s">
        <v>8</v>
      </c>
      <c r="Q6" s="1465">
        <f>IF(N6=0,0,IF(O6&lt;0,0,O6))</f>
        <v>0</v>
      </c>
      <c r="R6" s="1474" t="s">
        <v>10</v>
      </c>
      <c r="S6" s="1478">
        <f>R.HN!E2</f>
        <v>0</v>
      </c>
      <c r="T6" s="1474">
        <f>(1*S6*36.5)/(1*10)</f>
        <v>0</v>
      </c>
      <c r="U6" s="1474">
        <f>($F$6-T6)*748/32</f>
        <v>292.1875</v>
      </c>
      <c r="V6" s="1475" t="s">
        <v>8</v>
      </c>
      <c r="W6" s="1465">
        <f>IF(T6=0,0,IF(U6&lt;0,0,U6))</f>
        <v>0</v>
      </c>
      <c r="X6" s="1474" t="s">
        <v>10</v>
      </c>
      <c r="Y6" s="1478">
        <f>R.HN!F2</f>
        <v>0</v>
      </c>
      <c r="Z6" s="1474">
        <f>(1*Y6*36.5)/(1*10)</f>
        <v>0</v>
      </c>
      <c r="AA6" s="1474">
        <f>($F$6-Z6)*748/32</f>
        <v>292.1875</v>
      </c>
      <c r="AB6" s="1475" t="s">
        <v>8</v>
      </c>
      <c r="AC6" s="1465">
        <f>IF(Z6=0,0,IF(AA6&lt;0,0,AA6))</f>
        <v>0</v>
      </c>
      <c r="AD6" s="1474" t="s">
        <v>10</v>
      </c>
      <c r="AE6" s="1478">
        <f>R.HN!G2</f>
        <v>0</v>
      </c>
      <c r="AF6" s="1474">
        <f>(1*AE6*36.5)/(1*10)</f>
        <v>0</v>
      </c>
      <c r="AG6" s="1474">
        <f>($F$6-AF6)*748/32</f>
        <v>292.1875</v>
      </c>
      <c r="AH6" s="1475" t="s">
        <v>8</v>
      </c>
      <c r="AI6" s="1465">
        <f>IF(AF6=0,0,IF(AG6&lt;0,0,AG6))</f>
        <v>0</v>
      </c>
      <c r="AJ6" s="1474" t="s">
        <v>10</v>
      </c>
      <c r="AK6" s="1478">
        <f>R.HN!H2</f>
        <v>0</v>
      </c>
      <c r="AL6" s="1474">
        <f>(1*AK6*36.5)/(1*10)</f>
        <v>0</v>
      </c>
      <c r="AM6" s="1474">
        <f>($F$6-AL6)*748/32</f>
        <v>292.1875</v>
      </c>
      <c r="AN6" s="1475" t="s">
        <v>8</v>
      </c>
      <c r="AO6" s="1465">
        <f>IF(AL6=0,0,IF(AM6&lt;0,0,AM6))</f>
        <v>0</v>
      </c>
      <c r="AP6" s="272" t="s">
        <v>10</v>
      </c>
      <c r="AQ6" s="12" t="s">
        <v>427</v>
      </c>
    </row>
    <row r="7" spans="1:43" ht="28.5" hidden="1" customHeight="1">
      <c r="A7" s="1099" t="s">
        <v>428</v>
      </c>
      <c r="B7" s="3135" t="s">
        <v>836</v>
      </c>
      <c r="C7" s="3628"/>
      <c r="D7" s="47" t="s">
        <v>3</v>
      </c>
      <c r="E7" s="48" t="s">
        <v>426</v>
      </c>
      <c r="F7" s="407">
        <v>12.5</v>
      </c>
      <c r="G7" s="408">
        <f>R.HN!C3</f>
        <v>0</v>
      </c>
      <c r="H7" s="1474">
        <f>(1*G7*36.5)/(1*10)</f>
        <v>0</v>
      </c>
      <c r="I7" s="1474">
        <f>($F$6-H7)*748/32</f>
        <v>292.1875</v>
      </c>
      <c r="J7" s="1475" t="s">
        <v>8</v>
      </c>
      <c r="K7" s="1479">
        <f>IF(I7&lt;0,0,I7)</f>
        <v>292.1875</v>
      </c>
      <c r="L7" s="1475" t="s">
        <v>10</v>
      </c>
      <c r="M7" s="1477">
        <f>R.HN!D3</f>
        <v>0</v>
      </c>
      <c r="N7" s="1474">
        <f>(1*M7*36.5)/(1*10)</f>
        <v>0</v>
      </c>
      <c r="O7" s="1474">
        <f>($F$6-N7)*748/32</f>
        <v>292.1875</v>
      </c>
      <c r="P7" s="1475" t="s">
        <v>8</v>
      </c>
      <c r="Q7" s="1479">
        <f>IF(O7&lt;0,0,O7)</f>
        <v>292.1875</v>
      </c>
      <c r="R7" s="1474" t="s">
        <v>10</v>
      </c>
      <c r="S7" s="1478">
        <f>R.HN!E3</f>
        <v>0</v>
      </c>
      <c r="T7" s="1474">
        <f>(1*S7*36.5)/(1*10)</f>
        <v>0</v>
      </c>
      <c r="U7" s="1474">
        <f>($F$6-T7)*748/32</f>
        <v>292.1875</v>
      </c>
      <c r="V7" s="1475" t="s">
        <v>8</v>
      </c>
      <c r="W7" s="1479">
        <f>IF(U7&lt;0,0,U7)</f>
        <v>292.1875</v>
      </c>
      <c r="X7" s="1474" t="s">
        <v>10</v>
      </c>
      <c r="Y7" s="1478">
        <f>R.HN!F3</f>
        <v>0</v>
      </c>
      <c r="Z7" s="1474">
        <f>(1*Y7*36.5)/(1*10)</f>
        <v>0</v>
      </c>
      <c r="AA7" s="1474">
        <f>($F$6-Z7)*748/32</f>
        <v>292.1875</v>
      </c>
      <c r="AB7" s="1475" t="s">
        <v>8</v>
      </c>
      <c r="AC7" s="1479">
        <f>IF(AA7&lt;0,0,AA7)</f>
        <v>292.1875</v>
      </c>
      <c r="AD7" s="1474" t="s">
        <v>10</v>
      </c>
      <c r="AE7" s="1478">
        <f>R.HN!G3</f>
        <v>0</v>
      </c>
      <c r="AF7" s="1474">
        <f>(1*AE7*36.5)/(1*10)</f>
        <v>0</v>
      </c>
      <c r="AG7" s="1474">
        <f>($F$6-AF7)*748/32</f>
        <v>292.1875</v>
      </c>
      <c r="AH7" s="1475" t="s">
        <v>8</v>
      </c>
      <c r="AI7" s="1479">
        <f>IF(AG7&lt;0,0,AG7)</f>
        <v>292.1875</v>
      </c>
      <c r="AJ7" s="1474" t="s">
        <v>10</v>
      </c>
      <c r="AK7" s="1478">
        <f>R.HN!H3</f>
        <v>0</v>
      </c>
      <c r="AL7" s="1474">
        <f>(1*AK7*36.5)/(1*10)</f>
        <v>0</v>
      </c>
      <c r="AM7" s="1474">
        <f>($F$6-AL7)*748/32</f>
        <v>292.1875</v>
      </c>
      <c r="AN7" s="1475" t="s">
        <v>8</v>
      </c>
      <c r="AO7" s="1479">
        <f>IF(AM7&lt;0,0,AM7)</f>
        <v>292.1875</v>
      </c>
      <c r="AP7" s="272" t="s">
        <v>10</v>
      </c>
      <c r="AQ7" s="12" t="s">
        <v>427</v>
      </c>
    </row>
    <row r="8" spans="1:43" ht="33.75" hidden="1" customHeight="1">
      <c r="A8" s="1099" t="s">
        <v>429</v>
      </c>
      <c r="B8" s="1102" t="s">
        <v>785</v>
      </c>
      <c r="C8" s="3703">
        <f>R.HN!B4</f>
        <v>3</v>
      </c>
      <c r="D8" s="1103" t="s">
        <v>431</v>
      </c>
      <c r="E8" s="48" t="s">
        <v>1417</v>
      </c>
      <c r="F8" s="411">
        <v>50</v>
      </c>
      <c r="G8" s="408">
        <f>R.HN!C4</f>
        <v>0</v>
      </c>
      <c r="H8" s="1474">
        <f>G8*10</f>
        <v>0</v>
      </c>
      <c r="I8" s="1474">
        <f>($F$8-H8)*2*694/1000</f>
        <v>69.400000000000006</v>
      </c>
      <c r="J8" s="1475" t="s">
        <v>8</v>
      </c>
      <c r="K8" s="1465">
        <f>IF(H8=0,0,IF(I8&lt;0,0,I8))</f>
        <v>0</v>
      </c>
      <c r="L8" s="1475" t="s">
        <v>9</v>
      </c>
      <c r="M8" s="1477">
        <f>R.HN!D4</f>
        <v>0</v>
      </c>
      <c r="N8" s="1474">
        <f>M8*10</f>
        <v>0</v>
      </c>
      <c r="O8" s="1474">
        <f>($F$8-N8)*2*694/1000</f>
        <v>69.400000000000006</v>
      </c>
      <c r="P8" s="1475" t="s">
        <v>8</v>
      </c>
      <c r="Q8" s="1465">
        <f>IF(N8=0,0,IF(O8&lt;0,0,O8))</f>
        <v>0</v>
      </c>
      <c r="R8" s="1474" t="s">
        <v>9</v>
      </c>
      <c r="S8" s="1478">
        <f>R.HN!E4</f>
        <v>0</v>
      </c>
      <c r="T8" s="1474">
        <f>S8*10</f>
        <v>0</v>
      </c>
      <c r="U8" s="1474">
        <f>($F$8-T8)*2*694/1000</f>
        <v>69.400000000000006</v>
      </c>
      <c r="V8" s="1475" t="s">
        <v>8</v>
      </c>
      <c r="W8" s="1465">
        <f>IF(T8=0,0,IF(U8&lt;0,0,U8))</f>
        <v>0</v>
      </c>
      <c r="X8" s="1474" t="s">
        <v>9</v>
      </c>
      <c r="Y8" s="1478">
        <f>R.HN!F4</f>
        <v>0</v>
      </c>
      <c r="Z8" s="1474">
        <f>Y8*10</f>
        <v>0</v>
      </c>
      <c r="AA8" s="1474">
        <f>($F$8-Z8)*2*694/1000</f>
        <v>69.400000000000006</v>
      </c>
      <c r="AB8" s="1475" t="s">
        <v>8</v>
      </c>
      <c r="AC8" s="1465">
        <f>IF(Z8=0,0,IF(AA8&lt;0,0,AA8))</f>
        <v>0</v>
      </c>
      <c r="AD8" s="1474" t="s">
        <v>9</v>
      </c>
      <c r="AE8" s="1478">
        <f>R.HN!G4</f>
        <v>0</v>
      </c>
      <c r="AF8" s="1474">
        <f>AE8*10</f>
        <v>0</v>
      </c>
      <c r="AG8" s="1474">
        <f>($F$8-AF8)*2*694/1000</f>
        <v>69.400000000000006</v>
      </c>
      <c r="AH8" s="1475" t="s">
        <v>8</v>
      </c>
      <c r="AI8" s="1465">
        <f>IF(AF8=0,0,IF(AG8&lt;0,0,AG8))</f>
        <v>0</v>
      </c>
      <c r="AJ8" s="1474" t="s">
        <v>9</v>
      </c>
      <c r="AK8" s="1478">
        <f>R.HN!H4</f>
        <v>0</v>
      </c>
      <c r="AL8" s="1474">
        <f>AK8*10</f>
        <v>0</v>
      </c>
      <c r="AM8" s="1474">
        <f>($F$8-AL8)*2*694/1000</f>
        <v>69.400000000000006</v>
      </c>
      <c r="AN8" s="1475" t="s">
        <v>8</v>
      </c>
      <c r="AO8" s="1465">
        <f>IF(AL8=0,0,IF(AM8&lt;0,0,AM8))</f>
        <v>0</v>
      </c>
      <c r="AP8" s="272" t="s">
        <v>9</v>
      </c>
      <c r="AQ8" s="12" t="s">
        <v>427</v>
      </c>
    </row>
    <row r="9" spans="1:43" ht="33.75" hidden="1" customHeight="1">
      <c r="A9" s="1069" t="s">
        <v>432</v>
      </c>
      <c r="B9" s="1104" t="s">
        <v>786</v>
      </c>
      <c r="C9" s="3704"/>
      <c r="D9" s="1103" t="s">
        <v>431</v>
      </c>
      <c r="E9" s="48" t="s">
        <v>1062</v>
      </c>
      <c r="F9" s="412">
        <v>6.5</v>
      </c>
      <c r="G9" s="408">
        <f>R.HN!C5</f>
        <v>0</v>
      </c>
      <c r="H9" s="1474">
        <f>IFERROR(H8/G9,0)</f>
        <v>0</v>
      </c>
      <c r="I9" s="1474">
        <f>($F$9-H9)*694/1000</f>
        <v>4.5110000000000001</v>
      </c>
      <c r="J9" s="1475"/>
      <c r="K9" s="1465">
        <f>IF(H9=0,0,IF(I9&lt;0,0,I9))</f>
        <v>0</v>
      </c>
      <c r="L9" s="1475" t="s">
        <v>9</v>
      </c>
      <c r="M9" s="1477">
        <f>R.HN!D5</f>
        <v>0</v>
      </c>
      <c r="N9" s="1474">
        <f>IFERROR(N8/M9,0)</f>
        <v>0</v>
      </c>
      <c r="O9" s="1474">
        <f>($F$9-N9)*694/1000</f>
        <v>4.5110000000000001</v>
      </c>
      <c r="P9" s="1475"/>
      <c r="Q9" s="1465">
        <f>IF(N9=0,0,IF(O9&lt;0,0,O9))</f>
        <v>0</v>
      </c>
      <c r="R9" s="1474" t="s">
        <v>9</v>
      </c>
      <c r="S9" s="1478">
        <f>R.HN!E5</f>
        <v>0</v>
      </c>
      <c r="T9" s="1474">
        <f>IFERROR(T8/S9,0)</f>
        <v>0</v>
      </c>
      <c r="U9" s="1474">
        <f>($F$9-T9)*694/1000</f>
        <v>4.5110000000000001</v>
      </c>
      <c r="V9" s="1475"/>
      <c r="W9" s="1465">
        <f>IF(T9=0,0,IF(U9&lt;0,0,U9))</f>
        <v>0</v>
      </c>
      <c r="X9" s="1474" t="s">
        <v>9</v>
      </c>
      <c r="Y9" s="1478">
        <f>R.HN!F5</f>
        <v>0</v>
      </c>
      <c r="Z9" s="1474">
        <f>IFERROR(Z8/Y9,0)</f>
        <v>0</v>
      </c>
      <c r="AA9" s="1474">
        <f>($F$9-Z9)*694/1000</f>
        <v>4.5110000000000001</v>
      </c>
      <c r="AB9" s="1475"/>
      <c r="AC9" s="1465">
        <f>IF(Z9=0,0,IF(AA9&lt;0,0,AA9))</f>
        <v>0</v>
      </c>
      <c r="AD9" s="1474" t="s">
        <v>9</v>
      </c>
      <c r="AE9" s="1478">
        <f>R.HN!G5</f>
        <v>0</v>
      </c>
      <c r="AF9" s="1474">
        <f>IFERROR(AF8/AE9,0)</f>
        <v>0</v>
      </c>
      <c r="AG9" s="1474">
        <f>($F$9-AF9)*694/1000</f>
        <v>4.5110000000000001</v>
      </c>
      <c r="AH9" s="1475"/>
      <c r="AI9" s="1465">
        <f>IF(AF9=0,0,IF(AG9&lt;0,0,AG9))</f>
        <v>0</v>
      </c>
      <c r="AJ9" s="1474" t="s">
        <v>9</v>
      </c>
      <c r="AK9" s="1478">
        <f>R.HN!H5</f>
        <v>0</v>
      </c>
      <c r="AL9" s="1474">
        <f>IFERROR(AL8/AK9,0)</f>
        <v>0</v>
      </c>
      <c r="AM9" s="1474">
        <f>($F$9-AL9)*694/1000</f>
        <v>4.5110000000000001</v>
      </c>
      <c r="AN9" s="1475"/>
      <c r="AO9" s="1465">
        <f>IF(AL9=0,0,IF(AM9&lt;0,0,AM9))</f>
        <v>0</v>
      </c>
      <c r="AP9" s="272" t="s">
        <v>9</v>
      </c>
      <c r="AQ9" s="12" t="s">
        <v>427</v>
      </c>
    </row>
    <row r="10" spans="1:43" ht="33.75" hidden="1" customHeight="1">
      <c r="A10" s="1099" t="s">
        <v>433</v>
      </c>
      <c r="B10" s="1105" t="s">
        <v>787</v>
      </c>
      <c r="C10" s="3705"/>
      <c r="D10" s="1103" t="s">
        <v>431</v>
      </c>
      <c r="E10" s="48" t="s">
        <v>1063</v>
      </c>
      <c r="F10" s="407">
        <v>0.4</v>
      </c>
      <c r="G10" s="408">
        <f>R.HN!C6</f>
        <v>0</v>
      </c>
      <c r="H10" s="1474">
        <f>G10</f>
        <v>0</v>
      </c>
      <c r="I10" s="1474">
        <f>($F$10-H10)*5</f>
        <v>2</v>
      </c>
      <c r="J10" s="1475"/>
      <c r="K10" s="1479"/>
      <c r="L10" s="1475"/>
      <c r="M10" s="1477">
        <f>R.HN!D6</f>
        <v>0</v>
      </c>
      <c r="N10" s="1474">
        <f>M10</f>
        <v>0</v>
      </c>
      <c r="O10" s="1474">
        <f>($F$10-N10)*5</f>
        <v>2</v>
      </c>
      <c r="P10" s="1475"/>
      <c r="Q10" s="1479"/>
      <c r="R10" s="1474"/>
      <c r="S10" s="1478">
        <f>R.HN!E6</f>
        <v>0</v>
      </c>
      <c r="T10" s="1474">
        <f>S10</f>
        <v>0</v>
      </c>
      <c r="U10" s="1474">
        <f>($F$10-T10)*5</f>
        <v>2</v>
      </c>
      <c r="V10" s="1475"/>
      <c r="W10" s="1479"/>
      <c r="X10" s="1474"/>
      <c r="Y10" s="1478">
        <f>R.HN!F6</f>
        <v>0</v>
      </c>
      <c r="Z10" s="1474">
        <f>Y10</f>
        <v>0</v>
      </c>
      <c r="AA10" s="1474">
        <f>($F$10-Z10)*5</f>
        <v>2</v>
      </c>
      <c r="AB10" s="1475"/>
      <c r="AC10" s="1479"/>
      <c r="AD10" s="1474"/>
      <c r="AE10" s="1478">
        <f>R.HN!G6</f>
        <v>0</v>
      </c>
      <c r="AF10" s="1474">
        <f>AE10</f>
        <v>0</v>
      </c>
      <c r="AG10" s="1474">
        <f>($F$10-AF10)*5</f>
        <v>2</v>
      </c>
      <c r="AH10" s="1475"/>
      <c r="AI10" s="1479"/>
      <c r="AJ10" s="1474"/>
      <c r="AK10" s="1478">
        <f>R.HN!H6</f>
        <v>0</v>
      </c>
      <c r="AL10" s="1474">
        <f>AK10</f>
        <v>0</v>
      </c>
      <c r="AM10" s="1474">
        <f>($F$10-AL10)*5</f>
        <v>2</v>
      </c>
      <c r="AN10" s="1475"/>
      <c r="AO10" s="1479"/>
      <c r="AP10" s="272"/>
      <c r="AQ10" s="12" t="s">
        <v>427</v>
      </c>
    </row>
    <row r="11" spans="1:43" ht="33.75" hidden="1" customHeight="1">
      <c r="A11" s="1099" t="s">
        <v>435</v>
      </c>
      <c r="B11" s="1102" t="s">
        <v>785</v>
      </c>
      <c r="C11" s="3703">
        <f>R.HN!B7</f>
        <v>4</v>
      </c>
      <c r="D11" s="1103" t="s">
        <v>431</v>
      </c>
      <c r="E11" s="48" t="s">
        <v>1417</v>
      </c>
      <c r="F11" s="411">
        <v>50</v>
      </c>
      <c r="G11" s="408">
        <f>R.HN!C7</f>
        <v>0</v>
      </c>
      <c r="H11" s="1474">
        <f>G11*10</f>
        <v>0</v>
      </c>
      <c r="I11" s="1474">
        <f>($F$8-H11)*2*694/1000</f>
        <v>69.400000000000006</v>
      </c>
      <c r="J11" s="1475" t="s">
        <v>8</v>
      </c>
      <c r="K11" s="1465">
        <f>IF(H11=0,0,IF(I11&lt;0,0,I11))</f>
        <v>0</v>
      </c>
      <c r="L11" s="1475" t="s">
        <v>9</v>
      </c>
      <c r="M11" s="1477">
        <f>R.HN!D7</f>
        <v>0</v>
      </c>
      <c r="N11" s="1474">
        <f>M11*10</f>
        <v>0</v>
      </c>
      <c r="O11" s="1474">
        <f>($F$8-N11)*2*694/1000</f>
        <v>69.400000000000006</v>
      </c>
      <c r="P11" s="1475" t="s">
        <v>8</v>
      </c>
      <c r="Q11" s="1465">
        <f>IF(N11=0,0,IF(O11&lt;0,0,O11))</f>
        <v>0</v>
      </c>
      <c r="R11" s="1474" t="s">
        <v>9</v>
      </c>
      <c r="S11" s="1478">
        <f>R.HN!E7</f>
        <v>0</v>
      </c>
      <c r="T11" s="1474">
        <f>S11*10</f>
        <v>0</v>
      </c>
      <c r="U11" s="1474">
        <f>($F$8-T11)*2*694/1000</f>
        <v>69.400000000000006</v>
      </c>
      <c r="V11" s="1475" t="s">
        <v>8</v>
      </c>
      <c r="W11" s="1465">
        <f>IF(T11=0,0,IF(U11&lt;0,0,U11))</f>
        <v>0</v>
      </c>
      <c r="X11" s="1474" t="s">
        <v>9</v>
      </c>
      <c r="Y11" s="1478">
        <f>R.HN!F7</f>
        <v>0</v>
      </c>
      <c r="Z11" s="1474">
        <f>Y11*10</f>
        <v>0</v>
      </c>
      <c r="AA11" s="1474">
        <f>($F$8-Z11)*2*694/1000</f>
        <v>69.400000000000006</v>
      </c>
      <c r="AB11" s="1475" t="s">
        <v>8</v>
      </c>
      <c r="AC11" s="1465">
        <f>IF(Z11=0,0,IF(AA11&lt;0,0,AA11))</f>
        <v>0</v>
      </c>
      <c r="AD11" s="1474" t="s">
        <v>9</v>
      </c>
      <c r="AE11" s="1478">
        <f>R.HN!G7</f>
        <v>0</v>
      </c>
      <c r="AF11" s="1474">
        <f>AE11*10</f>
        <v>0</v>
      </c>
      <c r="AG11" s="1474">
        <f>($F$8-AF11)*2*694/1000</f>
        <v>69.400000000000006</v>
      </c>
      <c r="AH11" s="1475" t="s">
        <v>8</v>
      </c>
      <c r="AI11" s="1465">
        <f>IF(AF11=0,0,IF(AG11&lt;0,0,AG11))</f>
        <v>0</v>
      </c>
      <c r="AJ11" s="1474" t="s">
        <v>9</v>
      </c>
      <c r="AK11" s="1478">
        <f>R.HN!H7</f>
        <v>0</v>
      </c>
      <c r="AL11" s="1474">
        <f>AK11*10</f>
        <v>0</v>
      </c>
      <c r="AM11" s="1474">
        <f>($F$8-AL11)*2*694/1000</f>
        <v>69.400000000000006</v>
      </c>
      <c r="AN11" s="1475" t="s">
        <v>8</v>
      </c>
      <c r="AO11" s="1465">
        <f>IF(AL11=0,0,IF(AM11&lt;0,0,AM11))</f>
        <v>0</v>
      </c>
      <c r="AP11" s="272" t="s">
        <v>9</v>
      </c>
      <c r="AQ11" s="12" t="s">
        <v>427</v>
      </c>
    </row>
    <row r="12" spans="1:43" ht="31.5" hidden="1" customHeight="1">
      <c r="A12" s="1099" t="s">
        <v>437</v>
      </c>
      <c r="B12" s="1104" t="s">
        <v>786</v>
      </c>
      <c r="C12" s="3704"/>
      <c r="D12" s="1103" t="s">
        <v>431</v>
      </c>
      <c r="E12" s="48" t="s">
        <v>1062</v>
      </c>
      <c r="F12" s="412">
        <v>6.5</v>
      </c>
      <c r="G12" s="408">
        <f>R.HN!C8</f>
        <v>0</v>
      </c>
      <c r="H12" s="1474">
        <f>IFERROR(H11/G12,0)</f>
        <v>0</v>
      </c>
      <c r="I12" s="1474">
        <f>($F$9-H12)*694/1000</f>
        <v>4.5110000000000001</v>
      </c>
      <c r="J12" s="1475"/>
      <c r="K12" s="1465">
        <f>IF(H12=0,0,IF(I12&lt;0,0,I12))</f>
        <v>0</v>
      </c>
      <c r="L12" s="1475" t="s">
        <v>9</v>
      </c>
      <c r="M12" s="1477">
        <f>R.HN!D8</f>
        <v>0</v>
      </c>
      <c r="N12" s="1474">
        <f>IFERROR(N11/M12,0)</f>
        <v>0</v>
      </c>
      <c r="O12" s="1474">
        <f>($F$9-N12)*694/1000</f>
        <v>4.5110000000000001</v>
      </c>
      <c r="P12" s="1475"/>
      <c r="Q12" s="1465">
        <f>IF(N12=0,0,IF(O12&lt;0,0,O12))</f>
        <v>0</v>
      </c>
      <c r="R12" s="1474" t="s">
        <v>9</v>
      </c>
      <c r="S12" s="1478">
        <f>R.HN!E8</f>
        <v>0</v>
      </c>
      <c r="T12" s="1474">
        <f>IFERROR(T11/S12,0)</f>
        <v>0</v>
      </c>
      <c r="U12" s="1474">
        <f>($F$9-T12)*694/1000</f>
        <v>4.5110000000000001</v>
      </c>
      <c r="V12" s="1475"/>
      <c r="W12" s="1465">
        <f>IF(T12=0,0,IF(U12&lt;0,0,U12))</f>
        <v>0</v>
      </c>
      <c r="X12" s="1474" t="s">
        <v>9</v>
      </c>
      <c r="Y12" s="1478">
        <f>R.HN!F8</f>
        <v>0</v>
      </c>
      <c r="Z12" s="1474">
        <f>IFERROR(Z11/Y12,0)</f>
        <v>0</v>
      </c>
      <c r="AA12" s="1474">
        <f>($F$9-Z12)*694/1000</f>
        <v>4.5110000000000001</v>
      </c>
      <c r="AB12" s="1475"/>
      <c r="AC12" s="1465">
        <f>IF(Z12=0,0,IF(AA12&lt;0,0,AA12))</f>
        <v>0</v>
      </c>
      <c r="AD12" s="1474" t="s">
        <v>9</v>
      </c>
      <c r="AE12" s="1478">
        <f>R.HN!G8</f>
        <v>0</v>
      </c>
      <c r="AF12" s="1474">
        <f>IFERROR(AF11/AE12,0)</f>
        <v>0</v>
      </c>
      <c r="AG12" s="1474">
        <f>($F$9-AF12)*694/1000</f>
        <v>4.5110000000000001</v>
      </c>
      <c r="AH12" s="1475"/>
      <c r="AI12" s="1465">
        <f>IF(AF12=0,0,IF(AG12&lt;0,0,AG12))</f>
        <v>0</v>
      </c>
      <c r="AJ12" s="1474" t="s">
        <v>9</v>
      </c>
      <c r="AK12" s="1478">
        <f>R.HN!H8</f>
        <v>0</v>
      </c>
      <c r="AL12" s="1474">
        <f>IFERROR(AL11/AK12,0)</f>
        <v>0</v>
      </c>
      <c r="AM12" s="1474">
        <f>($F$9-AL12)*694/1000</f>
        <v>4.5110000000000001</v>
      </c>
      <c r="AN12" s="1475"/>
      <c r="AO12" s="1465">
        <f>IF(AL12=0,0,IF(AM12&lt;0,0,AM12))</f>
        <v>0</v>
      </c>
      <c r="AP12" s="272" t="s">
        <v>9</v>
      </c>
      <c r="AQ12" s="12" t="s">
        <v>427</v>
      </c>
    </row>
    <row r="13" spans="1:43" ht="31.5" hidden="1" customHeight="1">
      <c r="A13" s="1099" t="s">
        <v>438</v>
      </c>
      <c r="B13" s="1105" t="s">
        <v>787</v>
      </c>
      <c r="C13" s="3705"/>
      <c r="D13" s="1103" t="s">
        <v>431</v>
      </c>
      <c r="E13" s="48" t="s">
        <v>1063</v>
      </c>
      <c r="F13" s="407">
        <v>0.4</v>
      </c>
      <c r="G13" s="408">
        <f>R.HN!C9</f>
        <v>0</v>
      </c>
      <c r="H13" s="1469">
        <f>G13</f>
        <v>0</v>
      </c>
      <c r="I13" s="1469">
        <f>($F$10-H13)*5</f>
        <v>2</v>
      </c>
      <c r="J13" s="1470"/>
      <c r="K13" s="1479"/>
      <c r="L13" s="1470"/>
      <c r="M13" s="1472">
        <f>R.HN!D9</f>
        <v>0</v>
      </c>
      <c r="N13" s="1469">
        <f>M13</f>
        <v>0</v>
      </c>
      <c r="O13" s="1469">
        <f>($F$10-N13)*5</f>
        <v>2</v>
      </c>
      <c r="P13" s="1470"/>
      <c r="Q13" s="1479"/>
      <c r="R13" s="1469"/>
      <c r="S13" s="1473">
        <f>R.HN!E9</f>
        <v>0</v>
      </c>
      <c r="T13" s="1469">
        <f>S13</f>
        <v>0</v>
      </c>
      <c r="U13" s="1469">
        <f>($F$10-T13)*5</f>
        <v>2</v>
      </c>
      <c r="V13" s="1470"/>
      <c r="W13" s="1479"/>
      <c r="X13" s="1469"/>
      <c r="Y13" s="1473">
        <f>R.HN!F9</f>
        <v>0</v>
      </c>
      <c r="Z13" s="1469">
        <f>Y13</f>
        <v>0</v>
      </c>
      <c r="AA13" s="1469">
        <f>($F$10-Z13)*5</f>
        <v>2</v>
      </c>
      <c r="AB13" s="1470"/>
      <c r="AC13" s="1479"/>
      <c r="AD13" s="1469"/>
      <c r="AE13" s="1473">
        <f>R.HN!G9</f>
        <v>0</v>
      </c>
      <c r="AF13" s="1469">
        <f>AE13</f>
        <v>0</v>
      </c>
      <c r="AG13" s="1469">
        <f>($F$10-AF13)*5</f>
        <v>2</v>
      </c>
      <c r="AH13" s="1470"/>
      <c r="AI13" s="1479"/>
      <c r="AJ13" s="1469"/>
      <c r="AK13" s="1473">
        <f>R.HN!H9</f>
        <v>0</v>
      </c>
      <c r="AL13" s="1469">
        <f>AK13</f>
        <v>0</v>
      </c>
      <c r="AM13" s="1474">
        <f>($F$10-AL13)*5</f>
        <v>2</v>
      </c>
      <c r="AN13" s="1475"/>
      <c r="AO13" s="1479"/>
      <c r="AP13" s="272"/>
      <c r="AQ13" s="12" t="s">
        <v>427</v>
      </c>
    </row>
    <row r="14" spans="1:43" ht="31.5" hidden="1" customHeight="1">
      <c r="A14" s="1099" t="s">
        <v>439</v>
      </c>
      <c r="B14" s="1106" t="s">
        <v>440</v>
      </c>
      <c r="C14" s="1107"/>
      <c r="D14" s="1069" t="s">
        <v>431</v>
      </c>
      <c r="E14" s="48" t="s">
        <v>441</v>
      </c>
      <c r="F14" s="412">
        <v>1</v>
      </c>
      <c r="G14" s="408">
        <f>R.HN!C10</f>
        <v>0</v>
      </c>
      <c r="H14" s="1474">
        <f>G14</f>
        <v>0</v>
      </c>
      <c r="I14" s="1474">
        <f>($F$14-H14)*546/1000*8</f>
        <v>4.3680000000000003</v>
      </c>
      <c r="J14" s="1475" t="s">
        <v>8</v>
      </c>
      <c r="K14" s="1464">
        <f>IF(H14=0,0,IF(I14&lt;0,0,I14))</f>
        <v>0</v>
      </c>
      <c r="L14" s="1475" t="s">
        <v>9</v>
      </c>
      <c r="M14" s="1477">
        <f>R.HN!D10</f>
        <v>0</v>
      </c>
      <c r="N14" s="1474">
        <f>M14</f>
        <v>0</v>
      </c>
      <c r="O14" s="1474">
        <f>($F$14-N14)*546/1000*8</f>
        <v>4.3680000000000003</v>
      </c>
      <c r="P14" s="1475" t="s">
        <v>8</v>
      </c>
      <c r="Q14" s="1464">
        <f>IF(N14=0,0,IF(O14&lt;0,0,O14))</f>
        <v>0</v>
      </c>
      <c r="R14" s="1474" t="s">
        <v>9</v>
      </c>
      <c r="S14" s="1478">
        <f>R.HN!E10</f>
        <v>0</v>
      </c>
      <c r="T14" s="1474">
        <f>S14</f>
        <v>0</v>
      </c>
      <c r="U14" s="1474">
        <f>($F$14-T14)*546/1000*8</f>
        <v>4.3680000000000003</v>
      </c>
      <c r="V14" s="1475" t="s">
        <v>8</v>
      </c>
      <c r="W14" s="1464">
        <f>IF(T14=0,0,IF(U14&lt;0,0,U14))</f>
        <v>0</v>
      </c>
      <c r="X14" s="1474" t="s">
        <v>9</v>
      </c>
      <c r="Y14" s="1478">
        <f>R.HN!F10</f>
        <v>0</v>
      </c>
      <c r="Z14" s="1474">
        <f>Y14</f>
        <v>0</v>
      </c>
      <c r="AA14" s="1474">
        <f>($F$14-Z14)*546/1000*8</f>
        <v>4.3680000000000003</v>
      </c>
      <c r="AB14" s="1475" t="s">
        <v>8</v>
      </c>
      <c r="AC14" s="1464">
        <f>IF(Z14=0,0,IF(AA14&lt;0,0,AA14))</f>
        <v>0</v>
      </c>
      <c r="AD14" s="1474" t="s">
        <v>9</v>
      </c>
      <c r="AE14" s="1478">
        <f>R.HN!G10</f>
        <v>0</v>
      </c>
      <c r="AF14" s="1474">
        <f>AE14</f>
        <v>0</v>
      </c>
      <c r="AG14" s="1474">
        <f>($F$14-AF14)*546/1000*8</f>
        <v>4.3680000000000003</v>
      </c>
      <c r="AH14" s="1475" t="s">
        <v>8</v>
      </c>
      <c r="AI14" s="1464">
        <f>IF(AF14=0,0,IF(AG14&lt;0,0,AG14))</f>
        <v>0</v>
      </c>
      <c r="AJ14" s="1474" t="s">
        <v>9</v>
      </c>
      <c r="AK14" s="1478">
        <f>R.HN!H10</f>
        <v>0</v>
      </c>
      <c r="AL14" s="1474">
        <f>AK14</f>
        <v>0</v>
      </c>
      <c r="AM14" s="1474">
        <f>($F$14-AL14)*546/1000*8</f>
        <v>4.3680000000000003</v>
      </c>
      <c r="AN14" s="1475" t="s">
        <v>8</v>
      </c>
      <c r="AO14" s="1464">
        <f>IF(AL14=0,0,IF(AM14&lt;0,0,AM14))</f>
        <v>0</v>
      </c>
      <c r="AP14" s="272" t="s">
        <v>9</v>
      </c>
      <c r="AQ14" s="12" t="s">
        <v>427</v>
      </c>
    </row>
    <row r="15" spans="1:43" ht="31.5" hidden="1" customHeight="1">
      <c r="A15" s="1099" t="s">
        <v>442</v>
      </c>
      <c r="B15" s="1108" t="s">
        <v>5</v>
      </c>
      <c r="C15" s="1109"/>
      <c r="D15" s="1069" t="s">
        <v>5</v>
      </c>
      <c r="E15" s="48" t="s">
        <v>443</v>
      </c>
      <c r="F15" s="414">
        <v>9.5</v>
      </c>
      <c r="G15" s="408">
        <f>R.HN!C11</f>
        <v>0</v>
      </c>
      <c r="H15" s="1474">
        <f>G15</f>
        <v>0</v>
      </c>
      <c r="I15" s="1474"/>
      <c r="J15" s="1475"/>
      <c r="K15" s="1476"/>
      <c r="L15" s="1475"/>
      <c r="M15" s="1477">
        <f>R.HN!D11</f>
        <v>0</v>
      </c>
      <c r="N15" s="1474">
        <f>M15</f>
        <v>0</v>
      </c>
      <c r="O15" s="1474"/>
      <c r="P15" s="1475"/>
      <c r="Q15" s="1476"/>
      <c r="R15" s="1474"/>
      <c r="S15" s="1478">
        <f>R.HN!E11</f>
        <v>0</v>
      </c>
      <c r="T15" s="1474">
        <f>S15</f>
        <v>0</v>
      </c>
      <c r="U15" s="1474"/>
      <c r="V15" s="1475"/>
      <c r="W15" s="1476"/>
      <c r="X15" s="1474"/>
      <c r="Y15" s="1478">
        <f>R.HN!F11</f>
        <v>0</v>
      </c>
      <c r="Z15" s="1474">
        <f>Y15</f>
        <v>0</v>
      </c>
      <c r="AA15" s="1474"/>
      <c r="AB15" s="1475"/>
      <c r="AC15" s="1476"/>
      <c r="AD15" s="1474"/>
      <c r="AE15" s="1478">
        <f>R.HN!G11</f>
        <v>0</v>
      </c>
      <c r="AF15" s="1474">
        <f>AE15</f>
        <v>0</v>
      </c>
      <c r="AG15" s="1474"/>
      <c r="AH15" s="1475"/>
      <c r="AI15" s="1476"/>
      <c r="AJ15" s="1474"/>
      <c r="AK15" s="1478">
        <f>R.HN!H11</f>
        <v>0</v>
      </c>
      <c r="AL15" s="1474">
        <f>AK15</f>
        <v>0</v>
      </c>
      <c r="AM15" s="1474"/>
      <c r="AN15" s="1475"/>
      <c r="AO15" s="1476"/>
      <c r="AP15" s="272"/>
      <c r="AQ15" s="12" t="s">
        <v>427</v>
      </c>
    </row>
    <row r="16" spans="1:43" ht="33" hidden="1" customHeight="1">
      <c r="A16" s="1110" t="s">
        <v>73</v>
      </c>
      <c r="B16" s="303"/>
      <c r="C16" s="303"/>
      <c r="D16" s="303"/>
      <c r="E16" s="296"/>
      <c r="F16" s="303"/>
      <c r="G16" s="303"/>
      <c r="H16" s="303"/>
      <c r="I16" s="303"/>
      <c r="J16" s="303"/>
      <c r="K16" s="303"/>
      <c r="L16" s="303"/>
      <c r="M16" s="303"/>
      <c r="N16" s="308"/>
      <c r="O16" s="303"/>
      <c r="P16" s="303"/>
      <c r="Q16" s="303"/>
      <c r="R16" s="308"/>
      <c r="S16" s="303"/>
      <c r="T16" s="308"/>
      <c r="U16" s="303"/>
      <c r="V16" s="303"/>
      <c r="W16" s="303"/>
      <c r="X16" s="303"/>
      <c r="Y16" s="303"/>
      <c r="Z16" s="303"/>
      <c r="AA16" s="303"/>
      <c r="AB16" s="303"/>
      <c r="AC16" s="303"/>
      <c r="AD16" s="303"/>
      <c r="AE16" s="308"/>
      <c r="AF16" s="308"/>
      <c r="AG16" s="308"/>
      <c r="AH16" s="308"/>
      <c r="AI16" s="308"/>
      <c r="AJ16" s="308"/>
      <c r="AK16" s="308"/>
      <c r="AL16" s="308"/>
      <c r="AM16" s="308"/>
      <c r="AN16" s="308"/>
      <c r="AO16" s="308"/>
      <c r="AP16" s="1111"/>
    </row>
    <row r="17" spans="1:43" ht="47.25" hidden="1" customHeight="1">
      <c r="A17" s="1099" t="s">
        <v>238</v>
      </c>
      <c r="B17" s="3130" t="s">
        <v>61</v>
      </c>
      <c r="C17" s="3132"/>
      <c r="D17" s="277" t="s">
        <v>63</v>
      </c>
      <c r="E17" s="277" t="s">
        <v>64</v>
      </c>
      <c r="F17" s="415"/>
      <c r="G17" s="415"/>
      <c r="H17" s="304" t="s">
        <v>45</v>
      </c>
      <c r="I17" s="305"/>
      <c r="J17" s="305"/>
      <c r="K17" s="304" t="s">
        <v>62</v>
      </c>
      <c r="L17" s="306"/>
      <c r="M17" s="277"/>
      <c r="N17" s="304" t="s">
        <v>45</v>
      </c>
      <c r="O17" s="305"/>
      <c r="P17" s="305"/>
      <c r="Q17" s="304" t="s">
        <v>62</v>
      </c>
      <c r="R17" s="306"/>
      <c r="S17" s="1112"/>
      <c r="T17" s="304" t="s">
        <v>45</v>
      </c>
      <c r="U17" s="305"/>
      <c r="V17" s="305"/>
      <c r="W17" s="304" t="s">
        <v>62</v>
      </c>
      <c r="X17" s="306"/>
      <c r="Y17" s="1113"/>
      <c r="Z17" s="304" t="s">
        <v>45</v>
      </c>
      <c r="AA17" s="305"/>
      <c r="AB17" s="305"/>
      <c r="AC17" s="304" t="s">
        <v>62</v>
      </c>
      <c r="AD17" s="306"/>
      <c r="AE17" s="1113"/>
      <c r="AF17" s="304" t="s">
        <v>45</v>
      </c>
      <c r="AG17" s="305"/>
      <c r="AH17" s="305"/>
      <c r="AI17" s="304" t="s">
        <v>62</v>
      </c>
      <c r="AJ17" s="306"/>
      <c r="AK17" s="1113"/>
      <c r="AL17" s="304" t="s">
        <v>45</v>
      </c>
      <c r="AM17" s="305"/>
      <c r="AN17" s="305"/>
      <c r="AO17" s="304" t="s">
        <v>62</v>
      </c>
      <c r="AP17" s="306"/>
    </row>
    <row r="18" spans="1:43" ht="38.25" hidden="1" customHeight="1">
      <c r="A18" s="1099" t="s">
        <v>444</v>
      </c>
      <c r="B18" s="3130" t="s">
        <v>445</v>
      </c>
      <c r="C18" s="3132"/>
      <c r="D18" s="247" t="s">
        <v>195</v>
      </c>
      <c r="E18" s="48" t="s">
        <v>1064</v>
      </c>
      <c r="F18" s="416"/>
      <c r="G18" s="416"/>
      <c r="H18" s="3687">
        <f>'R.FILE GOC'!H18</f>
        <v>0</v>
      </c>
      <c r="I18" s="3687"/>
      <c r="J18" s="3687"/>
      <c r="K18" s="3687">
        <f>'R.FILE GOC'!K18</f>
        <v>0</v>
      </c>
      <c r="L18" s="3687"/>
      <c r="M18" s="1466"/>
      <c r="N18" s="3687">
        <f>'R.FILE GOC'!N18</f>
        <v>0</v>
      </c>
      <c r="O18" s="3687"/>
      <c r="P18" s="3687"/>
      <c r="Q18" s="3687">
        <f>'R.FILE GOC'!Q18</f>
        <v>0</v>
      </c>
      <c r="R18" s="3687"/>
      <c r="S18" s="1466"/>
      <c r="T18" s="3687">
        <f>'R.FILE GOC'!T18</f>
        <v>0</v>
      </c>
      <c r="U18" s="3687"/>
      <c r="V18" s="3687"/>
      <c r="W18" s="3687">
        <f>'R.FILE GOC'!W18</f>
        <v>0</v>
      </c>
      <c r="X18" s="3687"/>
      <c r="Y18" s="1466"/>
      <c r="Z18" s="3687">
        <f>'R.FILE GOC'!Z18</f>
        <v>0</v>
      </c>
      <c r="AA18" s="3687"/>
      <c r="AB18" s="3687"/>
      <c r="AC18" s="3687">
        <f>'R.FILE GOC'!AC18</f>
        <v>0</v>
      </c>
      <c r="AD18" s="3687"/>
      <c r="AE18" s="1466"/>
      <c r="AF18" s="3687">
        <f>'R.FILE GOC'!AF18</f>
        <v>0</v>
      </c>
      <c r="AG18" s="3687"/>
      <c r="AH18" s="3687"/>
      <c r="AI18" s="3687">
        <f>'R.FILE GOC'!AI18</f>
        <v>0</v>
      </c>
      <c r="AJ18" s="3687"/>
      <c r="AK18" s="1466"/>
      <c r="AL18" s="3687">
        <f>'R.FILE GOC'!AL18</f>
        <v>0</v>
      </c>
      <c r="AM18" s="3687"/>
      <c r="AN18" s="3687"/>
      <c r="AO18" s="3687">
        <f>'R.FILE GOC'!AO18</f>
        <v>0</v>
      </c>
      <c r="AP18" s="3687"/>
      <c r="AQ18" s="12" t="s">
        <v>427</v>
      </c>
    </row>
    <row r="19" spans="1:43" ht="38.25" hidden="1" customHeight="1">
      <c r="A19" s="1099" t="s">
        <v>446</v>
      </c>
      <c r="B19" s="3130" t="s">
        <v>447</v>
      </c>
      <c r="C19" s="3132"/>
      <c r="D19" s="247" t="s">
        <v>195</v>
      </c>
      <c r="E19" s="48" t="s">
        <v>1064</v>
      </c>
      <c r="F19" s="416"/>
      <c r="G19" s="416"/>
      <c r="H19" s="3687">
        <f>'R.FILE GOC'!H19</f>
        <v>0</v>
      </c>
      <c r="I19" s="3687"/>
      <c r="J19" s="3687"/>
      <c r="K19" s="3687">
        <f>'R.FILE GOC'!K19</f>
        <v>0</v>
      </c>
      <c r="L19" s="3687"/>
      <c r="M19" s="1466"/>
      <c r="N19" s="3687">
        <f>'R.FILE GOC'!N19</f>
        <v>0</v>
      </c>
      <c r="O19" s="3687"/>
      <c r="P19" s="3687"/>
      <c r="Q19" s="3687">
        <f>'R.FILE GOC'!Q19</f>
        <v>0</v>
      </c>
      <c r="R19" s="3687"/>
      <c r="S19" s="1466"/>
      <c r="T19" s="3687">
        <f>'R.FILE GOC'!T19</f>
        <v>0</v>
      </c>
      <c r="U19" s="3687"/>
      <c r="V19" s="3687"/>
      <c r="W19" s="3687">
        <f>'R.FILE GOC'!W19</f>
        <v>0</v>
      </c>
      <c r="X19" s="3687"/>
      <c r="Y19" s="1466"/>
      <c r="Z19" s="3687">
        <f>'R.FILE GOC'!Z19</f>
        <v>0</v>
      </c>
      <c r="AA19" s="3687"/>
      <c r="AB19" s="3687"/>
      <c r="AC19" s="3687">
        <f>'R.FILE GOC'!AC19</f>
        <v>0</v>
      </c>
      <c r="AD19" s="3687"/>
      <c r="AE19" s="1466"/>
      <c r="AF19" s="3687">
        <f>'R.FILE GOC'!AF19</f>
        <v>0</v>
      </c>
      <c r="AG19" s="3687"/>
      <c r="AH19" s="3687"/>
      <c r="AI19" s="3687">
        <f>'R.FILE GOC'!AI19</f>
        <v>0</v>
      </c>
      <c r="AJ19" s="3687"/>
      <c r="AK19" s="1466"/>
      <c r="AL19" s="3687">
        <f>'R.FILE GOC'!AL19</f>
        <v>0</v>
      </c>
      <c r="AM19" s="3687"/>
      <c r="AN19" s="3687"/>
      <c r="AO19" s="3687">
        <f>'R.FILE GOC'!AO19</f>
        <v>0</v>
      </c>
      <c r="AP19" s="3687"/>
      <c r="AQ19" s="12" t="s">
        <v>427</v>
      </c>
    </row>
    <row r="20" spans="1:43" ht="38.25" hidden="1" customHeight="1">
      <c r="A20" s="1099" t="s">
        <v>448</v>
      </c>
      <c r="B20" s="3130" t="s">
        <v>440</v>
      </c>
      <c r="C20" s="3132"/>
      <c r="D20" s="247" t="s">
        <v>195</v>
      </c>
      <c r="E20" s="48" t="s">
        <v>1065</v>
      </c>
      <c r="F20" s="416"/>
      <c r="G20" s="416"/>
      <c r="H20" s="3687">
        <f>'R.FILE GOC'!H20</f>
        <v>0</v>
      </c>
      <c r="I20" s="3687"/>
      <c r="J20" s="3687"/>
      <c r="K20" s="3687">
        <f>'R.FILE GOC'!K20</f>
        <v>0</v>
      </c>
      <c r="L20" s="3687"/>
      <c r="M20" s="1466"/>
      <c r="N20" s="3687">
        <f>'R.FILE GOC'!N20</f>
        <v>0</v>
      </c>
      <c r="O20" s="3687"/>
      <c r="P20" s="3687"/>
      <c r="Q20" s="3687">
        <f>'R.FILE GOC'!Q20</f>
        <v>0</v>
      </c>
      <c r="R20" s="3687"/>
      <c r="S20" s="1466"/>
      <c r="T20" s="3687">
        <f>'R.FILE GOC'!T20</f>
        <v>0</v>
      </c>
      <c r="U20" s="3687"/>
      <c r="V20" s="3687"/>
      <c r="W20" s="3687">
        <f>'R.FILE GOC'!W20</f>
        <v>0</v>
      </c>
      <c r="X20" s="3687"/>
      <c r="Y20" s="1466"/>
      <c r="Z20" s="3687">
        <f>'R.FILE GOC'!Z20</f>
        <v>0</v>
      </c>
      <c r="AA20" s="3687"/>
      <c r="AB20" s="3687"/>
      <c r="AC20" s="3687">
        <f>'R.FILE GOC'!AC20</f>
        <v>0</v>
      </c>
      <c r="AD20" s="3687"/>
      <c r="AE20" s="1466"/>
      <c r="AF20" s="3687">
        <f>'R.FILE GOC'!AF20</f>
        <v>0</v>
      </c>
      <c r="AG20" s="3687"/>
      <c r="AH20" s="3687"/>
      <c r="AI20" s="3687">
        <f>'R.FILE GOC'!AI20</f>
        <v>0</v>
      </c>
      <c r="AJ20" s="3687"/>
      <c r="AK20" s="1466"/>
      <c r="AL20" s="3687">
        <f>'R.FILE GOC'!AL20</f>
        <v>0</v>
      </c>
      <c r="AM20" s="3687"/>
      <c r="AN20" s="3687"/>
      <c r="AO20" s="3687">
        <f>'R.FILE GOC'!AO20</f>
        <v>0</v>
      </c>
      <c r="AP20" s="3687"/>
      <c r="AQ20" s="12" t="s">
        <v>427</v>
      </c>
    </row>
    <row r="21" spans="1:43" ht="27" customHeight="1">
      <c r="A21" s="417"/>
      <c r="B21" s="417"/>
      <c r="C21" s="417"/>
      <c r="D21" s="417"/>
      <c r="E21" s="417"/>
      <c r="F21" s="417"/>
      <c r="G21" s="417"/>
      <c r="H21" s="417"/>
      <c r="I21" s="417"/>
      <c r="J21" s="417"/>
      <c r="K21" s="417"/>
      <c r="L21" s="417"/>
      <c r="M21" s="417"/>
      <c r="N21" s="417"/>
      <c r="O21" s="417"/>
      <c r="P21" s="417"/>
      <c r="Q21" s="417"/>
      <c r="R21" s="417"/>
      <c r="S21" s="417"/>
      <c r="T21" s="417"/>
      <c r="U21" s="417"/>
      <c r="V21" s="417"/>
      <c r="W21" s="417"/>
      <c r="X21" s="417"/>
      <c r="Y21" s="417"/>
      <c r="Z21" s="417"/>
      <c r="AA21" s="417"/>
      <c r="AB21" s="417"/>
      <c r="AC21" s="417"/>
      <c r="AD21" s="417"/>
      <c r="AP21" s="12"/>
    </row>
    <row r="22" spans="1:43" ht="36" customHeight="1">
      <c r="A22" s="1976" t="s">
        <v>1066</v>
      </c>
      <c r="B22" s="1977"/>
      <c r="C22" s="1978"/>
      <c r="D22" s="1978"/>
      <c r="E22" s="2093"/>
      <c r="F22" s="1979" t="s">
        <v>72</v>
      </c>
      <c r="G22" s="1980"/>
      <c r="H22" s="1981" t="s">
        <v>72</v>
      </c>
      <c r="I22" s="1981"/>
      <c r="J22" s="1981"/>
      <c r="K22" s="1981"/>
      <c r="L22" s="1981"/>
      <c r="M22" s="1981"/>
      <c r="N22" s="1981"/>
      <c r="O22" s="1981"/>
      <c r="P22" s="1981"/>
      <c r="Q22" s="1981"/>
      <c r="R22" s="1981"/>
      <c r="S22" s="1981"/>
      <c r="T22" s="1981"/>
      <c r="U22" s="1981"/>
      <c r="V22" s="1981"/>
      <c r="W22" s="1981"/>
      <c r="X22" s="1981"/>
      <c r="Y22" s="1981"/>
      <c r="Z22" s="1981"/>
      <c r="AA22" s="1981"/>
      <c r="AB22" s="1981"/>
      <c r="AC22" s="1981"/>
      <c r="AD22" s="1981"/>
      <c r="AE22" s="1981"/>
      <c r="AF22" s="1981"/>
      <c r="AG22" s="1981"/>
      <c r="AH22" s="1981"/>
      <c r="AI22" s="1982"/>
      <c r="AJ22" s="1981"/>
      <c r="AK22" s="1981"/>
      <c r="AL22" s="1981"/>
      <c r="AM22" s="1981"/>
      <c r="AN22" s="1981"/>
      <c r="AO22" s="1981"/>
      <c r="AP22" s="1981"/>
    </row>
    <row r="23" spans="1:43" ht="30" customHeight="1">
      <c r="A23" s="400"/>
      <c r="B23" s="3690" t="s">
        <v>76</v>
      </c>
      <c r="C23" s="3691"/>
      <c r="D23" s="3044" t="s">
        <v>124</v>
      </c>
      <c r="E23" s="3695" t="s">
        <v>64</v>
      </c>
      <c r="F23" s="419"/>
      <c r="G23" s="420"/>
      <c r="H23" s="3441" t="s">
        <v>472</v>
      </c>
      <c r="I23" s="3441"/>
      <c r="J23" s="3441"/>
      <c r="K23" s="3441"/>
      <c r="L23" s="3441"/>
      <c r="M23" s="1227"/>
      <c r="N23" s="3466" t="s">
        <v>1464</v>
      </c>
      <c r="O23" s="3466"/>
      <c r="P23" s="3466"/>
      <c r="Q23" s="3466"/>
      <c r="R23" s="3466"/>
      <c r="S23" s="1227"/>
      <c r="T23" s="3441" t="s">
        <v>1465</v>
      </c>
      <c r="U23" s="3441"/>
      <c r="V23" s="3441"/>
      <c r="W23" s="3441"/>
      <c r="X23" s="3441"/>
      <c r="Y23" s="1227"/>
      <c r="Z23" s="3441" t="s">
        <v>1466</v>
      </c>
      <c r="AA23" s="3441"/>
      <c r="AB23" s="3441"/>
      <c r="AC23" s="3441"/>
      <c r="AD23" s="3441"/>
      <c r="AE23" s="1227"/>
      <c r="AF23" s="3441" t="s">
        <v>1467</v>
      </c>
      <c r="AG23" s="3441"/>
      <c r="AH23" s="3441"/>
      <c r="AI23" s="3441"/>
      <c r="AJ23" s="3441"/>
      <c r="AK23" s="1227"/>
      <c r="AL23" s="3441" t="s">
        <v>1468</v>
      </c>
      <c r="AM23" s="3441"/>
      <c r="AN23" s="3441"/>
      <c r="AO23" s="3441"/>
      <c r="AP23" s="3441"/>
    </row>
    <row r="24" spans="1:43" ht="30" customHeight="1">
      <c r="A24" s="437" t="s">
        <v>238</v>
      </c>
      <c r="B24" s="3692"/>
      <c r="C24" s="3693"/>
      <c r="D24" s="3694"/>
      <c r="E24" s="3696"/>
      <c r="F24" s="405" t="s">
        <v>422</v>
      </c>
      <c r="G24" s="406"/>
      <c r="H24" s="1067" t="s">
        <v>731</v>
      </c>
      <c r="I24" s="295" t="s">
        <v>1</v>
      </c>
      <c r="J24" s="3706" t="s">
        <v>1</v>
      </c>
      <c r="K24" s="3706"/>
      <c r="L24" s="3706"/>
      <c r="M24" s="1098"/>
      <c r="N24" s="1067" t="s">
        <v>731</v>
      </c>
      <c r="O24" s="295" t="s">
        <v>1</v>
      </c>
      <c r="P24" s="3706" t="s">
        <v>1</v>
      </c>
      <c r="Q24" s="3706"/>
      <c r="R24" s="3707"/>
      <c r="S24" s="406"/>
      <c r="T24" s="1067" t="s">
        <v>731</v>
      </c>
      <c r="U24" s="295" t="s">
        <v>1</v>
      </c>
      <c r="V24" s="3706" t="s">
        <v>1</v>
      </c>
      <c r="W24" s="3706"/>
      <c r="X24" s="3707"/>
      <c r="Y24" s="1098"/>
      <c r="Z24" s="1067" t="s">
        <v>731</v>
      </c>
      <c r="AA24" s="295" t="s">
        <v>1</v>
      </c>
      <c r="AB24" s="3699" t="s">
        <v>1</v>
      </c>
      <c r="AC24" s="3699"/>
      <c r="AD24" s="3699"/>
      <c r="AE24" s="406"/>
      <c r="AF24" s="1067" t="s">
        <v>731</v>
      </c>
      <c r="AG24" s="295" t="s">
        <v>1</v>
      </c>
      <c r="AH24" s="3706" t="s">
        <v>1</v>
      </c>
      <c r="AI24" s="3706"/>
      <c r="AJ24" s="3707"/>
      <c r="AK24" s="1098"/>
      <c r="AL24" s="1067" t="s">
        <v>731</v>
      </c>
      <c r="AM24" s="295" t="s">
        <v>1</v>
      </c>
      <c r="AN24" s="3699" t="s">
        <v>1</v>
      </c>
      <c r="AO24" s="3699"/>
      <c r="AP24" s="3699"/>
    </row>
    <row r="25" spans="1:43" ht="35.25" customHeight="1">
      <c r="A25" s="1099" t="s">
        <v>1067</v>
      </c>
      <c r="B25" s="3135" t="s">
        <v>449</v>
      </c>
      <c r="C25" s="3628"/>
      <c r="D25" s="421" t="s">
        <v>431</v>
      </c>
      <c r="E25" s="48" t="s">
        <v>450</v>
      </c>
      <c r="F25" s="411">
        <v>40</v>
      </c>
      <c r="G25" s="408">
        <f>R.HN!C16</f>
        <v>0</v>
      </c>
      <c r="H25" s="1474">
        <f>G25*10</f>
        <v>0</v>
      </c>
      <c r="I25" s="1474">
        <f>($F$25-H25)*2330/1000</f>
        <v>93.2</v>
      </c>
      <c r="J25" s="1475" t="s">
        <v>8</v>
      </c>
      <c r="K25" s="1465">
        <f>IF(H25=0,0,IF(I25&lt;0,0,I25))</f>
        <v>0</v>
      </c>
      <c r="L25" s="1475" t="s">
        <v>9</v>
      </c>
      <c r="M25" s="1476">
        <f>R.HN!D16</f>
        <v>0</v>
      </c>
      <c r="N25" s="1474">
        <f>M25*10</f>
        <v>0</v>
      </c>
      <c r="O25" s="1474">
        <f>($F$25-N25)*2330/1000</f>
        <v>93.2</v>
      </c>
      <c r="P25" s="1475" t="s">
        <v>8</v>
      </c>
      <c r="Q25" s="1465">
        <f>IF(N25=0,0,IF(O25&lt;0,0,O25))</f>
        <v>0</v>
      </c>
      <c r="R25" s="1475" t="s">
        <v>9</v>
      </c>
      <c r="S25" s="1476">
        <f>R.HN!E16</f>
        <v>0</v>
      </c>
      <c r="T25" s="1474">
        <f>S25*10</f>
        <v>0</v>
      </c>
      <c r="U25" s="1474">
        <f>($F$25-T25)*2330/1000</f>
        <v>93.2</v>
      </c>
      <c r="V25" s="1475" t="s">
        <v>8</v>
      </c>
      <c r="W25" s="1465">
        <f>IF(T25=0,0,IF(U25&lt;0,0,U25))</f>
        <v>0</v>
      </c>
      <c r="X25" s="1475" t="s">
        <v>9</v>
      </c>
      <c r="Y25" s="1476">
        <f>R.HN!F16</f>
        <v>0</v>
      </c>
      <c r="Z25" s="1474">
        <f>Y25*10</f>
        <v>0</v>
      </c>
      <c r="AA25" s="1474">
        <f>($F$25-Z25)*2330/1000</f>
        <v>93.2</v>
      </c>
      <c r="AB25" s="1475" t="s">
        <v>8</v>
      </c>
      <c r="AC25" s="1465">
        <f>IF(Z25=0,0,IF(AA25&lt;0,0,AA25))</f>
        <v>0</v>
      </c>
      <c r="AD25" s="1475" t="s">
        <v>9</v>
      </c>
      <c r="AE25" s="1476">
        <f>R.HN!G16</f>
        <v>0</v>
      </c>
      <c r="AF25" s="1474">
        <f>AE25*10</f>
        <v>0</v>
      </c>
      <c r="AG25" s="1474">
        <f>($F$25-AF25)*2330/1000</f>
        <v>93.2</v>
      </c>
      <c r="AH25" s="1475" t="s">
        <v>8</v>
      </c>
      <c r="AI25" s="1465">
        <f>IF(AF25=0,0,IF(AG25&lt;0,0,AG25))</f>
        <v>0</v>
      </c>
      <c r="AJ25" s="1475" t="s">
        <v>9</v>
      </c>
      <c r="AK25" s="1476">
        <f>R.HN!H16</f>
        <v>0</v>
      </c>
      <c r="AL25" s="1474">
        <f>AK25*10</f>
        <v>0</v>
      </c>
      <c r="AM25" s="1474">
        <f>($F$25-AL25)*2330/1000</f>
        <v>93.2</v>
      </c>
      <c r="AN25" s="1475" t="s">
        <v>8</v>
      </c>
      <c r="AO25" s="1465">
        <f>IF(AL25=0,0,IF(AM25&lt;0,0,AM25))</f>
        <v>0</v>
      </c>
      <c r="AP25" s="272" t="s">
        <v>9</v>
      </c>
      <c r="AQ25" s="12" t="s">
        <v>451</v>
      </c>
    </row>
    <row r="26" spans="1:43" ht="30" customHeight="1">
      <c r="A26" s="1099" t="s">
        <v>1068</v>
      </c>
      <c r="B26" s="3135" t="s">
        <v>838</v>
      </c>
      <c r="C26" s="3628"/>
      <c r="D26" s="47" t="s">
        <v>3</v>
      </c>
      <c r="E26" s="48" t="s">
        <v>426</v>
      </c>
      <c r="F26" s="407">
        <v>12.5</v>
      </c>
      <c r="G26" s="408">
        <f>R.HN!C17</f>
        <v>0</v>
      </c>
      <c r="H26" s="1474">
        <f>(1*G26*36.5)/(1*10)</f>
        <v>0</v>
      </c>
      <c r="I26" s="1474">
        <f>($F$26-H26)*2605/32</f>
        <v>1017.578125</v>
      </c>
      <c r="J26" s="1475" t="s">
        <v>8</v>
      </c>
      <c r="K26" s="1465">
        <f>IF(H26=0,0,IF(I26&lt;0,0,I26))</f>
        <v>0</v>
      </c>
      <c r="L26" s="1475" t="s">
        <v>10</v>
      </c>
      <c r="M26" s="1476">
        <f>R.HN!D17</f>
        <v>0</v>
      </c>
      <c r="N26" s="1474">
        <f>(1*M26*36.5)/(1*10)</f>
        <v>0</v>
      </c>
      <c r="O26" s="1474">
        <f>($F$26-N26)*2605/32</f>
        <v>1017.578125</v>
      </c>
      <c r="P26" s="1475" t="s">
        <v>8</v>
      </c>
      <c r="Q26" s="1465">
        <f>IF(N26=0,0,IF(O26&lt;0,0,O26))</f>
        <v>0</v>
      </c>
      <c r="R26" s="1475" t="s">
        <v>10</v>
      </c>
      <c r="S26" s="1476">
        <f>R.HN!E17</f>
        <v>0</v>
      </c>
      <c r="T26" s="1474">
        <f>(1*S26*36.5)/(1*10)</f>
        <v>0</v>
      </c>
      <c r="U26" s="1474">
        <f>($F$26-T26)*2605/32</f>
        <v>1017.578125</v>
      </c>
      <c r="V26" s="1475" t="s">
        <v>8</v>
      </c>
      <c r="W26" s="1465">
        <f>IF(T26=0,0,IF(U26&lt;0,0,U26))</f>
        <v>0</v>
      </c>
      <c r="X26" s="1475" t="s">
        <v>10</v>
      </c>
      <c r="Y26" s="1476">
        <f>R.HN!F17</f>
        <v>0</v>
      </c>
      <c r="Z26" s="1474">
        <f>(1*Y26*36.5)/(1*10)</f>
        <v>0</v>
      </c>
      <c r="AA26" s="1474">
        <f>($F$26-Z26)*2605/32</f>
        <v>1017.578125</v>
      </c>
      <c r="AB26" s="1475" t="s">
        <v>8</v>
      </c>
      <c r="AC26" s="1465">
        <f>IF(Z26=0,0,IF(AA26&lt;0,0,AA26))</f>
        <v>0</v>
      </c>
      <c r="AD26" s="1475" t="s">
        <v>10</v>
      </c>
      <c r="AE26" s="1476">
        <f>R.HN!G17</f>
        <v>0</v>
      </c>
      <c r="AF26" s="1474">
        <f>(1*AE26*36.5)/(1*10)</f>
        <v>0</v>
      </c>
      <c r="AG26" s="1474">
        <f>($F$26-AF26)*2605/32</f>
        <v>1017.578125</v>
      </c>
      <c r="AH26" s="1475" t="s">
        <v>8</v>
      </c>
      <c r="AI26" s="1465">
        <f>IF(AF26=0,0,IF(AG26&lt;0,0,AG26))</f>
        <v>0</v>
      </c>
      <c r="AJ26" s="1475" t="s">
        <v>10</v>
      </c>
      <c r="AK26" s="1476">
        <f>R.HN!H17</f>
        <v>0</v>
      </c>
      <c r="AL26" s="1474">
        <f>(1*AK26*36.5)/(1*10)</f>
        <v>0</v>
      </c>
      <c r="AM26" s="1474">
        <f>($F$26-AL26)*2605/32</f>
        <v>1017.578125</v>
      </c>
      <c r="AN26" s="1475" t="s">
        <v>8</v>
      </c>
      <c r="AO26" s="1465">
        <f>IF(AL26=0,0,IF(AM26&lt;0,0,AM26))</f>
        <v>0</v>
      </c>
      <c r="AP26" s="272" t="s">
        <v>10</v>
      </c>
      <c r="AQ26" s="12" t="s">
        <v>451</v>
      </c>
    </row>
    <row r="27" spans="1:43" ht="30" customHeight="1">
      <c r="A27" s="1099" t="s">
        <v>1069</v>
      </c>
      <c r="B27" s="1102" t="s">
        <v>785</v>
      </c>
      <c r="C27" s="1114"/>
      <c r="D27" s="1103" t="s">
        <v>431</v>
      </c>
      <c r="E27" s="48" t="s">
        <v>1417</v>
      </c>
      <c r="F27" s="422">
        <v>50</v>
      </c>
      <c r="G27" s="408">
        <f>R.HN!C18</f>
        <v>0</v>
      </c>
      <c r="H27" s="1474">
        <f>G27*10</f>
        <v>0</v>
      </c>
      <c r="I27" s="1474">
        <f>($F$43-H27)*4935/1000</f>
        <v>246.75</v>
      </c>
      <c r="J27" s="1475" t="s">
        <v>8</v>
      </c>
      <c r="K27" s="1465">
        <f>IF(H27=0,0,IF(I27&lt;0,0,I27))</f>
        <v>0</v>
      </c>
      <c r="L27" s="1475" t="s">
        <v>9</v>
      </c>
      <c r="M27" s="1476">
        <f>R.HN!D18</f>
        <v>0</v>
      </c>
      <c r="N27" s="1474">
        <f>M27*10</f>
        <v>0</v>
      </c>
      <c r="O27" s="1474">
        <f>($F$43-N27)*4935/1000</f>
        <v>246.75</v>
      </c>
      <c r="P27" s="1475" t="s">
        <v>8</v>
      </c>
      <c r="Q27" s="1465">
        <f>IF(N27=0,0,IF(O27&lt;0,0,O27))</f>
        <v>0</v>
      </c>
      <c r="R27" s="1475" t="s">
        <v>9</v>
      </c>
      <c r="S27" s="1476">
        <f>R.HN!E18</f>
        <v>0</v>
      </c>
      <c r="T27" s="1474">
        <f>S27*10</f>
        <v>0</v>
      </c>
      <c r="U27" s="1474">
        <f>($F$43-T27)*4935/1000</f>
        <v>246.75</v>
      </c>
      <c r="V27" s="1475" t="s">
        <v>8</v>
      </c>
      <c r="W27" s="1465">
        <f>IF(T27=0,0,IF(U27&lt;0,0,U27))</f>
        <v>0</v>
      </c>
      <c r="X27" s="1475" t="s">
        <v>9</v>
      </c>
      <c r="Y27" s="1476">
        <f>R.HN!F18</f>
        <v>0</v>
      </c>
      <c r="Z27" s="1474">
        <f>Y27*10</f>
        <v>0</v>
      </c>
      <c r="AA27" s="1474">
        <f>($F$43-Z27)*4935/1000</f>
        <v>246.75</v>
      </c>
      <c r="AB27" s="1475" t="s">
        <v>8</v>
      </c>
      <c r="AC27" s="1465">
        <f>IF(Z27=0,0,IF(AA27&lt;0,0,AA27))</f>
        <v>0</v>
      </c>
      <c r="AD27" s="1475" t="s">
        <v>9</v>
      </c>
      <c r="AE27" s="1476">
        <f>R.HN!G18</f>
        <v>0</v>
      </c>
      <c r="AF27" s="1474">
        <f>AE27*10</f>
        <v>0</v>
      </c>
      <c r="AG27" s="1474">
        <f>($F$43-AF27)*4935/1000</f>
        <v>246.75</v>
      </c>
      <c r="AH27" s="1475" t="s">
        <v>8</v>
      </c>
      <c r="AI27" s="1465">
        <f>IF(AF27=0,0,IF(AG27&lt;0,0,AG27))</f>
        <v>0</v>
      </c>
      <c r="AJ27" s="1475" t="s">
        <v>9</v>
      </c>
      <c r="AK27" s="1476">
        <f>R.HN!H18</f>
        <v>0</v>
      </c>
      <c r="AL27" s="1474">
        <f>AK27*10</f>
        <v>0</v>
      </c>
      <c r="AM27" s="1474">
        <f>($F$43-AL27)*4935/1000</f>
        <v>246.75</v>
      </c>
      <c r="AN27" s="1475" t="s">
        <v>8</v>
      </c>
      <c r="AO27" s="1465">
        <f>IF(AL27=0,0,IF(AM27&lt;0,0,AM27))</f>
        <v>0</v>
      </c>
      <c r="AP27" s="272" t="s">
        <v>9</v>
      </c>
      <c r="AQ27" s="12" t="s">
        <v>451</v>
      </c>
    </row>
    <row r="28" spans="1:43" ht="30" customHeight="1">
      <c r="A28" s="1099" t="s">
        <v>1070</v>
      </c>
      <c r="B28" s="1104" t="s">
        <v>786</v>
      </c>
      <c r="C28" s="1115"/>
      <c r="D28" s="1103" t="s">
        <v>431</v>
      </c>
      <c r="E28" s="48" t="s">
        <v>1062</v>
      </c>
      <c r="F28" s="408">
        <v>6.5</v>
      </c>
      <c r="G28" s="408">
        <f>R.HN!C19</f>
        <v>0</v>
      </c>
      <c r="H28" s="1474">
        <f>IFERROR(H27/G28,0)</f>
        <v>0</v>
      </c>
      <c r="I28" s="1474">
        <f>($F$44-H28)*4935/1000</f>
        <v>32.077500000000001</v>
      </c>
      <c r="J28" s="1475"/>
      <c r="K28" s="1465">
        <f>IF(H28=0,0,IF(I28&lt;0,0,I28))</f>
        <v>0</v>
      </c>
      <c r="L28" s="1475" t="s">
        <v>9</v>
      </c>
      <c r="M28" s="1477">
        <f>R.HN!D19</f>
        <v>0</v>
      </c>
      <c r="N28" s="1474">
        <f>IFERROR(N27/M28,0)</f>
        <v>0</v>
      </c>
      <c r="O28" s="1474">
        <f>($F$44-N28)*4935/1000</f>
        <v>32.077500000000001</v>
      </c>
      <c r="P28" s="1475"/>
      <c r="Q28" s="1465">
        <f>IF(N28=0,0,IF(O28&lt;0,0,O28))</f>
        <v>0</v>
      </c>
      <c r="R28" s="1475" t="s">
        <v>9</v>
      </c>
      <c r="S28" s="1478">
        <f>R.HN!E19</f>
        <v>0</v>
      </c>
      <c r="T28" s="1474">
        <f>IFERROR(T27/S28,0)</f>
        <v>0</v>
      </c>
      <c r="U28" s="1474">
        <f>($F$44-T28)*4935/1000</f>
        <v>32.077500000000001</v>
      </c>
      <c r="V28" s="1475"/>
      <c r="W28" s="1465">
        <f>IF(T28=0,0,IF(U28&lt;0,0,U28))</f>
        <v>0</v>
      </c>
      <c r="X28" s="1475" t="s">
        <v>9</v>
      </c>
      <c r="Y28" s="1478">
        <f>R.HN!F19</f>
        <v>0</v>
      </c>
      <c r="Z28" s="1474">
        <f>IFERROR(Z27/Y28,0)</f>
        <v>0</v>
      </c>
      <c r="AA28" s="1474">
        <f>($F$44-Z28)*4935/1000</f>
        <v>32.077500000000001</v>
      </c>
      <c r="AB28" s="1475"/>
      <c r="AC28" s="1465">
        <f>IF(Z28=0,0,IF(AA28&lt;0,0,AA28))</f>
        <v>0</v>
      </c>
      <c r="AD28" s="1475" t="s">
        <v>9</v>
      </c>
      <c r="AE28" s="1476">
        <f>R.HN!G19</f>
        <v>0</v>
      </c>
      <c r="AF28" s="1474">
        <f>IFERROR(AF27/AE28,0)</f>
        <v>0</v>
      </c>
      <c r="AG28" s="1474">
        <f>($F$44-AF28)*4935/1000</f>
        <v>32.077500000000001</v>
      </c>
      <c r="AH28" s="1475"/>
      <c r="AI28" s="1465">
        <f>IF(AF28=0,0,IF(AG28&lt;0,0,AG28))</f>
        <v>0</v>
      </c>
      <c r="AJ28" s="1475" t="s">
        <v>9</v>
      </c>
      <c r="AK28" s="1476">
        <f>R.HN!H19</f>
        <v>0</v>
      </c>
      <c r="AL28" s="1474">
        <f>IFERROR(AL27/AK28,0)</f>
        <v>0</v>
      </c>
      <c r="AM28" s="1474">
        <f>($F$44-AL28)*4935/1000</f>
        <v>32.077500000000001</v>
      </c>
      <c r="AN28" s="1475"/>
      <c r="AO28" s="1465">
        <f>IF(AL28=0,0,IF(AM28&lt;0,0,AM28))</f>
        <v>0</v>
      </c>
      <c r="AP28" s="272" t="s">
        <v>9</v>
      </c>
      <c r="AQ28" s="12" t="s">
        <v>451</v>
      </c>
    </row>
    <row r="29" spans="1:43" ht="30" customHeight="1">
      <c r="A29" s="1099" t="s">
        <v>1071</v>
      </c>
      <c r="B29" s="1105" t="s">
        <v>787</v>
      </c>
      <c r="C29" s="1116"/>
      <c r="D29" s="1103" t="s">
        <v>431</v>
      </c>
      <c r="E29" s="48" t="s">
        <v>1063</v>
      </c>
      <c r="F29" s="424">
        <v>0.4</v>
      </c>
      <c r="G29" s="408">
        <f>R.HN!C20</f>
        <v>0</v>
      </c>
      <c r="H29" s="1469">
        <f>G29</f>
        <v>0</v>
      </c>
      <c r="I29" s="1469"/>
      <c r="J29" s="1470"/>
      <c r="K29" s="1471"/>
      <c r="L29" s="1470"/>
      <c r="M29" s="1471">
        <f>R.HN!D20</f>
        <v>0</v>
      </c>
      <c r="N29" s="1469">
        <f>M29</f>
        <v>0</v>
      </c>
      <c r="O29" s="1469"/>
      <c r="P29" s="1470"/>
      <c r="Q29" s="1471"/>
      <c r="R29" s="1470"/>
      <c r="S29" s="1471">
        <f>R.HN!E20</f>
        <v>0</v>
      </c>
      <c r="T29" s="1469">
        <f>S29</f>
        <v>0</v>
      </c>
      <c r="U29" s="1469"/>
      <c r="V29" s="1470"/>
      <c r="W29" s="1471"/>
      <c r="X29" s="1470"/>
      <c r="Y29" s="1471">
        <f>R.HN!F20</f>
        <v>0</v>
      </c>
      <c r="Z29" s="1469">
        <f>Y29</f>
        <v>0</v>
      </c>
      <c r="AA29" s="1469"/>
      <c r="AB29" s="1470"/>
      <c r="AC29" s="1471"/>
      <c r="AD29" s="1470"/>
      <c r="AE29" s="1471">
        <f>R.HN!G20</f>
        <v>0</v>
      </c>
      <c r="AF29" s="1469">
        <f>AE29</f>
        <v>0</v>
      </c>
      <c r="AG29" s="1469"/>
      <c r="AH29" s="1470"/>
      <c r="AI29" s="1471"/>
      <c r="AJ29" s="1470"/>
      <c r="AK29" s="1471">
        <f>R.HN!H20</f>
        <v>0</v>
      </c>
      <c r="AL29" s="1469">
        <f>AK29</f>
        <v>0</v>
      </c>
      <c r="AM29" s="301"/>
      <c r="AN29" s="298"/>
      <c r="AO29" s="1471"/>
      <c r="AP29" s="272"/>
      <c r="AQ29" s="12" t="s">
        <v>451</v>
      </c>
    </row>
    <row r="30" spans="1:43" ht="30" customHeight="1">
      <c r="A30" s="1099" t="s">
        <v>1072</v>
      </c>
      <c r="B30" s="1106" t="s">
        <v>440</v>
      </c>
      <c r="C30" s="1107"/>
      <c r="D30" s="1069" t="s">
        <v>431</v>
      </c>
      <c r="E30" s="48" t="s">
        <v>441</v>
      </c>
      <c r="F30" s="412">
        <v>1</v>
      </c>
      <c r="G30" s="408">
        <f>R.HN!C21</f>
        <v>0</v>
      </c>
      <c r="H30" s="1474">
        <f>G30</f>
        <v>0</v>
      </c>
      <c r="I30" s="1474">
        <f>($F$30-H30)*1234/1000</f>
        <v>1.234</v>
      </c>
      <c r="J30" s="1475" t="s">
        <v>8</v>
      </c>
      <c r="K30" s="1464">
        <f>IF(H30=0,0,IF(I30&lt;0,0,I30))</f>
        <v>0</v>
      </c>
      <c r="L30" s="1475" t="s">
        <v>9</v>
      </c>
      <c r="M30" s="1476">
        <f>R.HN!D21</f>
        <v>0</v>
      </c>
      <c r="N30" s="1474">
        <f>M30</f>
        <v>0</v>
      </c>
      <c r="O30" s="1474">
        <f>($F$30-N30)*1234/1000</f>
        <v>1.234</v>
      </c>
      <c r="P30" s="1475" t="s">
        <v>8</v>
      </c>
      <c r="Q30" s="1464">
        <f>IF(N30=0,0,IF(O30&lt;0,0,O30))</f>
        <v>0</v>
      </c>
      <c r="R30" s="1475" t="s">
        <v>9</v>
      </c>
      <c r="S30" s="1476">
        <f>R.HN!E21</f>
        <v>0</v>
      </c>
      <c r="T30" s="1474">
        <f>S30</f>
        <v>0</v>
      </c>
      <c r="U30" s="1474">
        <f>($F$30-T30)*1234/1000</f>
        <v>1.234</v>
      </c>
      <c r="V30" s="1475" t="s">
        <v>8</v>
      </c>
      <c r="W30" s="1464">
        <f>IF(T30=0,0,IF(U30&lt;0,0,U30))</f>
        <v>0</v>
      </c>
      <c r="X30" s="1475" t="s">
        <v>9</v>
      </c>
      <c r="Y30" s="1476">
        <f>R.HN!F21</f>
        <v>0</v>
      </c>
      <c r="Z30" s="1474">
        <f>Y30</f>
        <v>0</v>
      </c>
      <c r="AA30" s="1474">
        <f>($F$30-Z30)*1234/1000</f>
        <v>1.234</v>
      </c>
      <c r="AB30" s="1475" t="s">
        <v>8</v>
      </c>
      <c r="AC30" s="1464">
        <f>IF(Z30=0,0,IF(AA30&lt;0,0,AA30))</f>
        <v>0</v>
      </c>
      <c r="AD30" s="1475" t="s">
        <v>9</v>
      </c>
      <c r="AE30" s="1476">
        <f>R.HN!G21</f>
        <v>0</v>
      </c>
      <c r="AF30" s="1474">
        <f>AE30</f>
        <v>0</v>
      </c>
      <c r="AG30" s="1474">
        <f>($F$30-AF30)*1234/1000</f>
        <v>1.234</v>
      </c>
      <c r="AH30" s="1475" t="s">
        <v>8</v>
      </c>
      <c r="AI30" s="1464">
        <f>IF(AF30=0,0,IF(AG30&lt;0,0,AG30))</f>
        <v>0</v>
      </c>
      <c r="AJ30" s="1475" t="s">
        <v>9</v>
      </c>
      <c r="AK30" s="1476">
        <f>R.HN!H21</f>
        <v>0</v>
      </c>
      <c r="AL30" s="1474">
        <f>AK30</f>
        <v>0</v>
      </c>
      <c r="AM30" s="1474">
        <f>($F$30-AL30)*1234/1000</f>
        <v>1.234</v>
      </c>
      <c r="AN30" s="1475" t="s">
        <v>8</v>
      </c>
      <c r="AO30" s="1464">
        <f>IF(AL30=0,0,IF(AM30&lt;0,0,AM30))</f>
        <v>0</v>
      </c>
      <c r="AP30" s="1474" t="s">
        <v>9</v>
      </c>
      <c r="AQ30" s="12" t="s">
        <v>451</v>
      </c>
    </row>
    <row r="31" spans="1:43" ht="30" customHeight="1">
      <c r="A31" s="1099" t="s">
        <v>1073</v>
      </c>
      <c r="B31" s="1108" t="s">
        <v>5</v>
      </c>
      <c r="C31" s="1109"/>
      <c r="D31" s="1069" t="s">
        <v>5</v>
      </c>
      <c r="E31" s="48" t="s">
        <v>443</v>
      </c>
      <c r="F31" s="414">
        <v>9.5</v>
      </c>
      <c r="G31" s="408">
        <f>R.HN!C22</f>
        <v>0</v>
      </c>
      <c r="H31" s="1474">
        <f>G31</f>
        <v>0</v>
      </c>
      <c r="I31" s="1474"/>
      <c r="J31" s="1475"/>
      <c r="K31" s="1476"/>
      <c r="L31" s="1475"/>
      <c r="M31" s="1476">
        <f>R.HN!D22</f>
        <v>0</v>
      </c>
      <c r="N31" s="1474">
        <f>M31</f>
        <v>0</v>
      </c>
      <c r="O31" s="1474"/>
      <c r="P31" s="1475"/>
      <c r="Q31" s="1476"/>
      <c r="R31" s="1475"/>
      <c r="S31" s="1476">
        <f>R.HN!E22</f>
        <v>0</v>
      </c>
      <c r="T31" s="1474">
        <f>S31</f>
        <v>0</v>
      </c>
      <c r="U31" s="1474"/>
      <c r="V31" s="1475"/>
      <c r="W31" s="1476"/>
      <c r="X31" s="1475"/>
      <c r="Y31" s="1476">
        <f>R.HN!F22</f>
        <v>0</v>
      </c>
      <c r="Z31" s="1474">
        <f>Y31</f>
        <v>0</v>
      </c>
      <c r="AA31" s="1474"/>
      <c r="AB31" s="1475"/>
      <c r="AC31" s="1476"/>
      <c r="AD31" s="1475"/>
      <c r="AE31" s="1476">
        <f>R.HN!G22</f>
        <v>0</v>
      </c>
      <c r="AF31" s="1474">
        <f>AE31</f>
        <v>0</v>
      </c>
      <c r="AG31" s="1474"/>
      <c r="AH31" s="1475"/>
      <c r="AI31" s="1476"/>
      <c r="AJ31" s="1475"/>
      <c r="AK31" s="1476">
        <f>R.HN!H22</f>
        <v>0</v>
      </c>
      <c r="AL31" s="1474">
        <f>AK31</f>
        <v>0</v>
      </c>
      <c r="AM31" s="1474"/>
      <c r="AN31" s="1475"/>
      <c r="AO31" s="1476"/>
      <c r="AP31" s="1474"/>
      <c r="AQ31" s="12" t="s">
        <v>451</v>
      </c>
    </row>
    <row r="32" spans="1:43" ht="33" customHeight="1">
      <c r="A32" s="1110" t="s">
        <v>73</v>
      </c>
      <c r="B32" s="303"/>
      <c r="C32" s="303"/>
      <c r="D32" s="303"/>
      <c r="E32" s="296"/>
      <c r="F32" s="303"/>
      <c r="G32" s="303"/>
      <c r="H32" s="303"/>
      <c r="I32" s="303"/>
      <c r="J32" s="303"/>
      <c r="K32" s="303"/>
      <c r="L32" s="303"/>
      <c r="M32" s="303"/>
      <c r="N32" s="308"/>
      <c r="O32" s="303"/>
      <c r="P32" s="303"/>
      <c r="Q32" s="303"/>
      <c r="R32" s="308"/>
      <c r="S32" s="303"/>
      <c r="T32" s="308"/>
      <c r="U32" s="303"/>
      <c r="V32" s="303"/>
      <c r="W32" s="303"/>
      <c r="X32" s="303"/>
      <c r="Y32" s="303"/>
      <c r="Z32" s="303"/>
      <c r="AA32" s="303"/>
      <c r="AB32" s="303"/>
      <c r="AC32" s="303"/>
      <c r="AD32" s="303"/>
      <c r="AE32" s="308"/>
      <c r="AF32" s="308"/>
      <c r="AG32" s="308"/>
      <c r="AH32" s="308"/>
      <c r="AI32" s="308"/>
      <c r="AJ32" s="308"/>
      <c r="AK32" s="308"/>
      <c r="AL32" s="308"/>
      <c r="AM32" s="308"/>
      <c r="AN32" s="308"/>
      <c r="AO32" s="308"/>
      <c r="AP32" s="1111"/>
    </row>
    <row r="33" spans="1:43" ht="33.75" customHeight="1">
      <c r="A33" s="47" t="s">
        <v>238</v>
      </c>
      <c r="B33" s="3130" t="s">
        <v>61</v>
      </c>
      <c r="C33" s="3132"/>
      <c r="D33" s="277" t="s">
        <v>63</v>
      </c>
      <c r="E33" s="277" t="s">
        <v>64</v>
      </c>
      <c r="F33" s="415"/>
      <c r="G33" s="415"/>
      <c r="H33" s="304" t="s">
        <v>45</v>
      </c>
      <c r="I33" s="305"/>
      <c r="J33" s="305"/>
      <c r="K33" s="304" t="s">
        <v>62</v>
      </c>
      <c r="L33" s="306"/>
      <c r="M33" s="277"/>
      <c r="N33" s="304" t="s">
        <v>45</v>
      </c>
      <c r="O33" s="305"/>
      <c r="P33" s="305"/>
      <c r="Q33" s="304" t="s">
        <v>62</v>
      </c>
      <c r="R33" s="306"/>
      <c r="S33" s="1112"/>
      <c r="T33" s="304" t="s">
        <v>45</v>
      </c>
      <c r="U33" s="305"/>
      <c r="V33" s="305"/>
      <c r="W33" s="304" t="s">
        <v>62</v>
      </c>
      <c r="X33" s="306"/>
      <c r="Y33" s="1113"/>
      <c r="Z33" s="304" t="s">
        <v>45</v>
      </c>
      <c r="AA33" s="305"/>
      <c r="AB33" s="305"/>
      <c r="AC33" s="304" t="s">
        <v>62</v>
      </c>
      <c r="AD33" s="306"/>
      <c r="AE33" s="1113"/>
      <c r="AF33" s="304" t="s">
        <v>45</v>
      </c>
      <c r="AG33" s="305"/>
      <c r="AH33" s="305"/>
      <c r="AI33" s="304" t="s">
        <v>62</v>
      </c>
      <c r="AJ33" s="306"/>
      <c r="AK33" s="1113"/>
      <c r="AL33" s="304" t="s">
        <v>45</v>
      </c>
      <c r="AM33" s="305"/>
      <c r="AN33" s="305"/>
      <c r="AO33" s="304" t="s">
        <v>62</v>
      </c>
      <c r="AP33" s="306"/>
    </row>
    <row r="34" spans="1:43" ht="30" customHeight="1">
      <c r="A34" s="1099" t="s">
        <v>1074</v>
      </c>
      <c r="B34" s="3130" t="s">
        <v>454</v>
      </c>
      <c r="C34" s="3132"/>
      <c r="D34" s="247" t="s">
        <v>195</v>
      </c>
      <c r="E34" s="48" t="s">
        <v>1075</v>
      </c>
      <c r="F34" s="416"/>
      <c r="G34" s="416"/>
      <c r="H34" s="3475">
        <f>'R.FILE GOC'!H34</f>
        <v>0</v>
      </c>
      <c r="I34" s="3476"/>
      <c r="J34" s="3476"/>
      <c r="K34" s="3475">
        <f>'R.FILE GOC'!K34</f>
        <v>0</v>
      </c>
      <c r="L34" s="3476"/>
      <c r="M34" s="1467"/>
      <c r="N34" s="3475">
        <f>'R.FILE GOC'!N34</f>
        <v>0</v>
      </c>
      <c r="O34" s="3476"/>
      <c r="P34" s="3476"/>
      <c r="Q34" s="3475">
        <f>'R.FILE GOC'!Q34</f>
        <v>0</v>
      </c>
      <c r="R34" s="3476"/>
      <c r="S34" s="1467"/>
      <c r="T34" s="3475">
        <f>'R.FILE GOC'!T34</f>
        <v>0</v>
      </c>
      <c r="U34" s="3476"/>
      <c r="V34" s="3476"/>
      <c r="W34" s="3475">
        <f>'R.FILE GOC'!W34</f>
        <v>0</v>
      </c>
      <c r="X34" s="3476"/>
      <c r="Y34" s="1467"/>
      <c r="Z34" s="3475">
        <f>'R.FILE GOC'!Z34</f>
        <v>0</v>
      </c>
      <c r="AA34" s="3476"/>
      <c r="AB34" s="3476"/>
      <c r="AC34" s="3475">
        <f>'R.FILE GOC'!AC34</f>
        <v>0</v>
      </c>
      <c r="AD34" s="3476"/>
      <c r="AE34" s="1467"/>
      <c r="AF34" s="3475">
        <f>'R.FILE GOC'!AF34</f>
        <v>0</v>
      </c>
      <c r="AG34" s="3476"/>
      <c r="AH34" s="3476"/>
      <c r="AI34" s="3475">
        <f>'R.FILE GOC'!AI34</f>
        <v>0</v>
      </c>
      <c r="AJ34" s="3476"/>
      <c r="AK34" s="1467"/>
      <c r="AL34" s="3475">
        <f>'R.FILE GOC'!AL34</f>
        <v>0</v>
      </c>
      <c r="AM34" s="3476"/>
      <c r="AN34" s="3476"/>
      <c r="AO34" s="3687">
        <f>'R.FILE GOC'!AO34</f>
        <v>0</v>
      </c>
      <c r="AP34" s="3687"/>
      <c r="AQ34" s="12" t="s">
        <v>451</v>
      </c>
    </row>
    <row r="35" spans="1:43" ht="30" customHeight="1">
      <c r="A35" s="1099" t="s">
        <v>1076</v>
      </c>
      <c r="B35" s="3130" t="s">
        <v>732</v>
      </c>
      <c r="C35" s="3132"/>
      <c r="D35" s="247" t="s">
        <v>195</v>
      </c>
      <c r="E35" s="48" t="s">
        <v>1064</v>
      </c>
      <c r="F35" s="416"/>
      <c r="G35" s="416"/>
      <c r="H35" s="3475">
        <f>'R.FILE GOC'!H35</f>
        <v>0</v>
      </c>
      <c r="I35" s="3476"/>
      <c r="J35" s="3476"/>
      <c r="K35" s="3475">
        <f>'R.FILE GOC'!K35</f>
        <v>0</v>
      </c>
      <c r="L35" s="3476"/>
      <c r="M35" s="1467"/>
      <c r="N35" s="3475">
        <f>'R.FILE GOC'!N35</f>
        <v>0</v>
      </c>
      <c r="O35" s="3476"/>
      <c r="P35" s="3476"/>
      <c r="Q35" s="3475">
        <f>'R.FILE GOC'!Q35</f>
        <v>0</v>
      </c>
      <c r="R35" s="3476"/>
      <c r="S35" s="1467"/>
      <c r="T35" s="3475">
        <f>'R.FILE GOC'!T35</f>
        <v>0</v>
      </c>
      <c r="U35" s="3476"/>
      <c r="V35" s="3476"/>
      <c r="W35" s="3475">
        <f>'R.FILE GOC'!W35</f>
        <v>0</v>
      </c>
      <c r="X35" s="3476"/>
      <c r="Y35" s="1467"/>
      <c r="Z35" s="3475">
        <f>'R.FILE GOC'!Z35</f>
        <v>0</v>
      </c>
      <c r="AA35" s="3476"/>
      <c r="AB35" s="3476"/>
      <c r="AC35" s="3475">
        <f>'R.FILE GOC'!AC35</f>
        <v>0</v>
      </c>
      <c r="AD35" s="3476"/>
      <c r="AE35" s="1467"/>
      <c r="AF35" s="3475">
        <f>'R.FILE GOC'!AF35</f>
        <v>0</v>
      </c>
      <c r="AG35" s="3476"/>
      <c r="AH35" s="3476"/>
      <c r="AI35" s="3475">
        <f>'R.FILE GOC'!AI35</f>
        <v>0</v>
      </c>
      <c r="AJ35" s="3476"/>
      <c r="AK35" s="1467"/>
      <c r="AL35" s="3475">
        <f>'R.FILE GOC'!AL35</f>
        <v>0</v>
      </c>
      <c r="AM35" s="3476"/>
      <c r="AN35" s="3476"/>
      <c r="AO35" s="3687">
        <f>'R.FILE GOC'!AO35</f>
        <v>0</v>
      </c>
      <c r="AP35" s="3687"/>
      <c r="AQ35" s="12" t="s">
        <v>451</v>
      </c>
    </row>
    <row r="36" spans="1:43" ht="30" customHeight="1">
      <c r="A36" s="1099" t="s">
        <v>1077</v>
      </c>
      <c r="B36" s="3130" t="s">
        <v>733</v>
      </c>
      <c r="C36" s="3132"/>
      <c r="D36" s="247" t="s">
        <v>195</v>
      </c>
      <c r="E36" s="48" t="s">
        <v>1065</v>
      </c>
      <c r="F36" s="425"/>
      <c r="G36" s="425"/>
      <c r="H36" s="3475">
        <f>'R.FILE GOC'!H36</f>
        <v>0</v>
      </c>
      <c r="I36" s="3476"/>
      <c r="J36" s="3476"/>
      <c r="K36" s="3475">
        <f>'R.FILE GOC'!K36</f>
        <v>0</v>
      </c>
      <c r="L36" s="3476"/>
      <c r="M36" s="1467"/>
      <c r="N36" s="3475">
        <f>'R.FILE GOC'!N36</f>
        <v>0</v>
      </c>
      <c r="O36" s="3476"/>
      <c r="P36" s="3476"/>
      <c r="Q36" s="3475">
        <f>'R.FILE GOC'!Q36</f>
        <v>0</v>
      </c>
      <c r="R36" s="3476"/>
      <c r="S36" s="1467"/>
      <c r="T36" s="3475">
        <f>'R.FILE GOC'!T36</f>
        <v>0</v>
      </c>
      <c r="U36" s="3476"/>
      <c r="V36" s="3476"/>
      <c r="W36" s="3475">
        <f>'R.FILE GOC'!W36</f>
        <v>0</v>
      </c>
      <c r="X36" s="3476"/>
      <c r="Y36" s="1467"/>
      <c r="Z36" s="3475">
        <f>'R.FILE GOC'!Z36</f>
        <v>0</v>
      </c>
      <c r="AA36" s="3476"/>
      <c r="AB36" s="3476"/>
      <c r="AC36" s="3475">
        <f>'R.FILE GOC'!AC36</f>
        <v>0</v>
      </c>
      <c r="AD36" s="3476"/>
      <c r="AE36" s="1467"/>
      <c r="AF36" s="3475">
        <f>'R.FILE GOC'!AF36</f>
        <v>0</v>
      </c>
      <c r="AG36" s="3476"/>
      <c r="AH36" s="3476"/>
      <c r="AI36" s="3475">
        <f>'R.FILE GOC'!AI36</f>
        <v>0</v>
      </c>
      <c r="AJ36" s="3476"/>
      <c r="AK36" s="1467"/>
      <c r="AL36" s="3475">
        <f>'R.FILE GOC'!AL36</f>
        <v>0</v>
      </c>
      <c r="AM36" s="3476"/>
      <c r="AN36" s="3476"/>
      <c r="AO36" s="3687">
        <f>'R.FILE GOC'!AO36</f>
        <v>0</v>
      </c>
      <c r="AP36" s="3687"/>
      <c r="AQ36" s="12" t="s">
        <v>451</v>
      </c>
    </row>
    <row r="37" spans="1:43" ht="25.5" customHeight="1">
      <c r="A37" s="426"/>
      <c r="B37" s="426"/>
      <c r="C37" s="426"/>
      <c r="D37" s="426"/>
      <c r="E37" s="426"/>
      <c r="F37" s="426"/>
      <c r="G37" s="426"/>
      <c r="H37" s="426"/>
      <c r="I37" s="426"/>
      <c r="J37" s="426"/>
      <c r="K37" s="426"/>
      <c r="L37" s="426"/>
      <c r="M37" s="426"/>
      <c r="N37" s="426"/>
      <c r="O37" s="426"/>
      <c r="P37" s="426"/>
      <c r="Q37" s="426"/>
      <c r="R37" s="426"/>
      <c r="S37" s="426"/>
      <c r="T37" s="426"/>
      <c r="U37" s="426"/>
      <c r="V37" s="426"/>
      <c r="W37" s="426"/>
      <c r="X37" s="426"/>
      <c r="Y37" s="426"/>
      <c r="Z37" s="426"/>
      <c r="AA37" s="426"/>
      <c r="AB37" s="426"/>
      <c r="AC37" s="426"/>
      <c r="AD37" s="426"/>
      <c r="AP37" s="12"/>
    </row>
    <row r="38" spans="1:43" ht="41.25" customHeight="1">
      <c r="A38" s="1976" t="s">
        <v>1078</v>
      </c>
      <c r="B38" s="1977"/>
      <c r="C38" s="1978"/>
      <c r="D38" s="1978"/>
      <c r="E38" s="2093"/>
      <c r="F38" s="1979" t="s">
        <v>72</v>
      </c>
      <c r="G38" s="1980"/>
      <c r="H38" s="1981" t="s">
        <v>72</v>
      </c>
      <c r="I38" s="1981"/>
      <c r="J38" s="1981"/>
      <c r="K38" s="1981"/>
      <c r="L38" s="1981"/>
      <c r="M38" s="1981"/>
      <c r="N38" s="1981"/>
      <c r="O38" s="1981"/>
      <c r="P38" s="1981"/>
      <c r="Q38" s="1981"/>
      <c r="R38" s="1981"/>
      <c r="S38" s="1981"/>
      <c r="T38" s="1981"/>
      <c r="U38" s="1981"/>
      <c r="V38" s="1981"/>
      <c r="W38" s="1981"/>
      <c r="X38" s="1981"/>
      <c r="Y38" s="1981"/>
      <c r="Z38" s="1981"/>
      <c r="AA38" s="1981"/>
      <c r="AB38" s="1981"/>
      <c r="AC38" s="1981"/>
      <c r="AD38" s="1981"/>
      <c r="AE38" s="1981"/>
      <c r="AF38" s="1981"/>
      <c r="AG38" s="1981"/>
      <c r="AH38" s="1981"/>
      <c r="AI38" s="1982"/>
      <c r="AJ38" s="1981"/>
      <c r="AK38" s="1981"/>
      <c r="AL38" s="1981"/>
      <c r="AM38" s="1981"/>
      <c r="AN38" s="1981"/>
      <c r="AO38" s="1981"/>
      <c r="AP38" s="1981"/>
    </row>
    <row r="39" spans="1:43" ht="31.5" customHeight="1">
      <c r="A39" s="400"/>
      <c r="B39" s="3690" t="s">
        <v>76</v>
      </c>
      <c r="C39" s="3691"/>
      <c r="D39" s="3044" t="s">
        <v>124</v>
      </c>
      <c r="E39" s="3695" t="s">
        <v>64</v>
      </c>
      <c r="F39" s="419"/>
      <c r="G39" s="420"/>
      <c r="H39" s="3441" t="s">
        <v>472</v>
      </c>
      <c r="I39" s="3441"/>
      <c r="J39" s="3441"/>
      <c r="K39" s="3441"/>
      <c r="L39" s="3441"/>
      <c r="M39" s="1227"/>
      <c r="N39" s="3466" t="s">
        <v>1464</v>
      </c>
      <c r="O39" s="3466"/>
      <c r="P39" s="3466"/>
      <c r="Q39" s="3466"/>
      <c r="R39" s="3466"/>
      <c r="S39" s="1227"/>
      <c r="T39" s="3441" t="s">
        <v>1465</v>
      </c>
      <c r="U39" s="3441"/>
      <c r="V39" s="3441"/>
      <c r="W39" s="3441"/>
      <c r="X39" s="3441"/>
      <c r="Y39" s="1227"/>
      <c r="Z39" s="3441" t="s">
        <v>1466</v>
      </c>
      <c r="AA39" s="3441"/>
      <c r="AB39" s="3441"/>
      <c r="AC39" s="3441"/>
      <c r="AD39" s="3441"/>
      <c r="AE39" s="1227"/>
      <c r="AF39" s="3441" t="s">
        <v>1467</v>
      </c>
      <c r="AG39" s="3441"/>
      <c r="AH39" s="3441"/>
      <c r="AI39" s="3441"/>
      <c r="AJ39" s="3441"/>
      <c r="AK39" s="1227"/>
      <c r="AL39" s="3441" t="s">
        <v>1468</v>
      </c>
      <c r="AM39" s="3441"/>
      <c r="AN39" s="3441"/>
      <c r="AO39" s="3441"/>
      <c r="AP39" s="3441"/>
    </row>
    <row r="40" spans="1:43" ht="31.5" customHeight="1">
      <c r="A40" s="437" t="s">
        <v>238</v>
      </c>
      <c r="B40" s="3692"/>
      <c r="C40" s="3693"/>
      <c r="D40" s="3694"/>
      <c r="E40" s="3696"/>
      <c r="F40" s="405" t="s">
        <v>422</v>
      </c>
      <c r="G40" s="406"/>
      <c r="H40" s="1067" t="s">
        <v>731</v>
      </c>
      <c r="I40" s="295" t="s">
        <v>1</v>
      </c>
      <c r="J40" s="3706" t="s">
        <v>1</v>
      </c>
      <c r="K40" s="3706"/>
      <c r="L40" s="3707"/>
      <c r="M40" s="1098"/>
      <c r="N40" s="1067" t="s">
        <v>731</v>
      </c>
      <c r="O40" s="295" t="s">
        <v>1</v>
      </c>
      <c r="P40" s="3706" t="s">
        <v>1</v>
      </c>
      <c r="Q40" s="3706"/>
      <c r="R40" s="3707"/>
      <c r="S40" s="406"/>
      <c r="T40" s="1067" t="s">
        <v>731</v>
      </c>
      <c r="U40" s="295" t="s">
        <v>1</v>
      </c>
      <c r="V40" s="3706" t="s">
        <v>1</v>
      </c>
      <c r="W40" s="3706"/>
      <c r="X40" s="3707"/>
      <c r="Y40" s="1098"/>
      <c r="Z40" s="1067" t="s">
        <v>731</v>
      </c>
      <c r="AA40" s="295" t="s">
        <v>1</v>
      </c>
      <c r="AB40" s="3699" t="s">
        <v>1</v>
      </c>
      <c r="AC40" s="3699"/>
      <c r="AD40" s="3699"/>
      <c r="AE40" s="406"/>
      <c r="AF40" s="1067" t="s">
        <v>731</v>
      </c>
      <c r="AG40" s="295" t="s">
        <v>1</v>
      </c>
      <c r="AH40" s="3706" t="s">
        <v>1</v>
      </c>
      <c r="AI40" s="3706"/>
      <c r="AJ40" s="3707"/>
      <c r="AK40" s="1098"/>
      <c r="AL40" s="1067" t="s">
        <v>731</v>
      </c>
      <c r="AM40" s="295" t="s">
        <v>1</v>
      </c>
      <c r="AN40" s="3699" t="s">
        <v>1</v>
      </c>
      <c r="AO40" s="3699"/>
      <c r="AP40" s="3699"/>
    </row>
    <row r="41" spans="1:43" ht="31.5" customHeight="1">
      <c r="A41" s="1099" t="s">
        <v>1079</v>
      </c>
      <c r="B41" s="3135" t="s">
        <v>449</v>
      </c>
      <c r="C41" s="3628"/>
      <c r="D41" s="421" t="s">
        <v>431</v>
      </c>
      <c r="E41" s="48" t="s">
        <v>450</v>
      </c>
      <c r="F41" s="411">
        <v>40</v>
      </c>
      <c r="G41" s="408">
        <f>R.HN!C25</f>
        <v>4</v>
      </c>
      <c r="H41" s="1474">
        <f>G41*10</f>
        <v>40</v>
      </c>
      <c r="I41" s="1474">
        <f>($F$25-H41)*2330/1000</f>
        <v>0</v>
      </c>
      <c r="J41" s="1475" t="s">
        <v>8</v>
      </c>
      <c r="K41" s="1465">
        <f>IF(H41=0,0,IF(I41&lt;0,0,I41))</f>
        <v>0</v>
      </c>
      <c r="L41" s="1475" t="s">
        <v>9</v>
      </c>
      <c r="M41" s="1476">
        <f>R.HN!D25</f>
        <v>5</v>
      </c>
      <c r="N41" s="1474">
        <f>M41*10</f>
        <v>50</v>
      </c>
      <c r="O41" s="1474">
        <f>($F$25-N41)*2330/1000</f>
        <v>-23.3</v>
      </c>
      <c r="P41" s="1475" t="s">
        <v>8</v>
      </c>
      <c r="Q41" s="1465">
        <f>IF(N41=0,0,IF(O41&lt;0,0,O41))</f>
        <v>0</v>
      </c>
      <c r="R41" s="1475" t="s">
        <v>9</v>
      </c>
      <c r="S41" s="1476">
        <f>R.HN!E25</f>
        <v>4.5</v>
      </c>
      <c r="T41" s="1474">
        <f>S41*10</f>
        <v>45</v>
      </c>
      <c r="U41" s="1474">
        <f>($F$25-T41)*2330/1000</f>
        <v>-11.65</v>
      </c>
      <c r="V41" s="1475" t="s">
        <v>8</v>
      </c>
      <c r="W41" s="1465">
        <f>IF(T41=0,0,IF(U41&lt;0,0,U41))</f>
        <v>0</v>
      </c>
      <c r="X41" s="1475" t="s">
        <v>9</v>
      </c>
      <c r="Y41" s="1476">
        <f>R.HN!F25</f>
        <v>4.4000000000000004</v>
      </c>
      <c r="Z41" s="1474">
        <f>Y41*10</f>
        <v>44</v>
      </c>
      <c r="AA41" s="1474">
        <f>($F$25-Z41)*2330/1000</f>
        <v>-9.32</v>
      </c>
      <c r="AB41" s="1475" t="s">
        <v>8</v>
      </c>
      <c r="AC41" s="1465">
        <f>IF(Z41=0,0,IF(AA41&lt;0,0,AA41))</f>
        <v>0</v>
      </c>
      <c r="AD41" s="1475" t="s">
        <v>9</v>
      </c>
      <c r="AE41" s="1476">
        <f>R.HN!G25</f>
        <v>4.0999999999999996</v>
      </c>
      <c r="AF41" s="1474">
        <f>AE41*10</f>
        <v>41</v>
      </c>
      <c r="AG41" s="1474">
        <f>($F$25-AF41)*2330/1000</f>
        <v>-2.33</v>
      </c>
      <c r="AH41" s="1475" t="s">
        <v>8</v>
      </c>
      <c r="AI41" s="1465">
        <f>IF(AF41=0,0,IF(AG41&lt;0,0,AG41))</f>
        <v>0</v>
      </c>
      <c r="AJ41" s="1475" t="s">
        <v>9</v>
      </c>
      <c r="AK41" s="1476">
        <f>R.HN!H25</f>
        <v>3.6</v>
      </c>
      <c r="AL41" s="1474">
        <f>AK41*10</f>
        <v>36</v>
      </c>
      <c r="AM41" s="1474">
        <f>($F$25-AL41)*2330/1000</f>
        <v>9.32</v>
      </c>
      <c r="AN41" s="1475" t="s">
        <v>8</v>
      </c>
      <c r="AO41" s="1465">
        <f>IF(AL41=0,0,IF(AM41&lt;0,0,AM41))</f>
        <v>9.32</v>
      </c>
      <c r="AP41" s="1474" t="s">
        <v>9</v>
      </c>
      <c r="AQ41" s="12" t="s">
        <v>458</v>
      </c>
    </row>
    <row r="42" spans="1:43" ht="31.5" customHeight="1">
      <c r="A42" s="1099" t="s">
        <v>1080</v>
      </c>
      <c r="B42" s="3135" t="s">
        <v>837</v>
      </c>
      <c r="C42" s="3628"/>
      <c r="D42" s="47" t="s">
        <v>3</v>
      </c>
      <c r="E42" s="48" t="s">
        <v>426</v>
      </c>
      <c r="F42" s="407">
        <v>12.5</v>
      </c>
      <c r="G42" s="408">
        <f>R.HN!C26</f>
        <v>3.05</v>
      </c>
      <c r="H42" s="1474">
        <f>(1*G42*36.5)/(1*10)</f>
        <v>11.132499999999999</v>
      </c>
      <c r="I42" s="1474">
        <f>($F$26-H42)*2605/32</f>
        <v>111.32304687500012</v>
      </c>
      <c r="J42" s="1475" t="s">
        <v>8</v>
      </c>
      <c r="K42" s="1465">
        <f>IF(H42=0,0,IF(I42&lt;0,0,I42))</f>
        <v>111.32304687500012</v>
      </c>
      <c r="L42" s="1475" t="s">
        <v>10</v>
      </c>
      <c r="M42" s="1477">
        <f>R.HN!D26</f>
        <v>2.9</v>
      </c>
      <c r="N42" s="1474">
        <f>(1*M42*36.5)/(1*10)</f>
        <v>10.584999999999999</v>
      </c>
      <c r="O42" s="1474">
        <f>($F$26-N42)*2605/32</f>
        <v>155.89296875000008</v>
      </c>
      <c r="P42" s="1475" t="s">
        <v>8</v>
      </c>
      <c r="Q42" s="1465">
        <f>IF(N42=0,0,IF(O42&lt;0,0,O42))</f>
        <v>155.89296875000008</v>
      </c>
      <c r="R42" s="1475" t="s">
        <v>10</v>
      </c>
      <c r="S42" s="1478">
        <f>R.HN!E26</f>
        <v>3</v>
      </c>
      <c r="T42" s="1474">
        <f>(1*S42*36.5)/(1*10)</f>
        <v>10.95</v>
      </c>
      <c r="U42" s="1474">
        <f>($F$26-T42)*2605/32</f>
        <v>126.17968750000006</v>
      </c>
      <c r="V42" s="1475" t="s">
        <v>8</v>
      </c>
      <c r="W42" s="1465">
        <f>IF(T42=0,0,IF(U42&lt;0,0,U42))</f>
        <v>126.17968750000006</v>
      </c>
      <c r="X42" s="1475" t="s">
        <v>10</v>
      </c>
      <c r="Y42" s="1478">
        <f>R.HN!F26</f>
        <v>3</v>
      </c>
      <c r="Z42" s="1474">
        <f>(1*Y42*36.5)/(1*10)</f>
        <v>10.95</v>
      </c>
      <c r="AA42" s="1474">
        <f>($F$26-Z42)*2605/32</f>
        <v>126.17968750000006</v>
      </c>
      <c r="AB42" s="1475" t="s">
        <v>8</v>
      </c>
      <c r="AC42" s="1465">
        <f>IF(Z42=0,0,IF(AA42&lt;0,0,AA42))</f>
        <v>126.17968750000006</v>
      </c>
      <c r="AD42" s="1475" t="s">
        <v>10</v>
      </c>
      <c r="AE42" s="1478">
        <f>R.HN!G26</f>
        <v>3</v>
      </c>
      <c r="AF42" s="1474">
        <f>(1*AE42*36.5)/(1*10)</f>
        <v>10.95</v>
      </c>
      <c r="AG42" s="1474">
        <f>($F$26-AF42)*2605/32</f>
        <v>126.17968750000006</v>
      </c>
      <c r="AH42" s="1475" t="s">
        <v>8</v>
      </c>
      <c r="AI42" s="1465">
        <f>IF(AF42=0,0,IF(AG42&lt;0,0,AG42))</f>
        <v>126.17968750000006</v>
      </c>
      <c r="AJ42" s="1475" t="s">
        <v>10</v>
      </c>
      <c r="AK42" s="1478">
        <f>R.HN!H26</f>
        <v>2.9</v>
      </c>
      <c r="AL42" s="1474">
        <f>(1*AK42*36.5)/(1*10)</f>
        <v>10.584999999999999</v>
      </c>
      <c r="AM42" s="1474">
        <f>($F$26-AL42)*2605/32</f>
        <v>155.89296875000008</v>
      </c>
      <c r="AN42" s="1475" t="s">
        <v>8</v>
      </c>
      <c r="AO42" s="1465">
        <f>IF(AL42=0,0,IF(AM42&lt;0,0,AM42))</f>
        <v>155.89296875000008</v>
      </c>
      <c r="AP42" s="1474" t="s">
        <v>10</v>
      </c>
      <c r="AQ42" s="12" t="s">
        <v>458</v>
      </c>
    </row>
    <row r="43" spans="1:43" ht="42" customHeight="1">
      <c r="A43" s="1099" t="s">
        <v>1081</v>
      </c>
      <c r="B43" s="1102" t="s">
        <v>785</v>
      </c>
      <c r="C43" s="3703"/>
      <c r="D43" s="1103" t="s">
        <v>431</v>
      </c>
      <c r="E43" s="48" t="s">
        <v>1417</v>
      </c>
      <c r="F43" s="422">
        <v>50</v>
      </c>
      <c r="G43" s="408">
        <f>R.HN!C27</f>
        <v>4.3</v>
      </c>
      <c r="H43" s="1474">
        <f>G43*10</f>
        <v>43</v>
      </c>
      <c r="I43" s="1474">
        <f>($F$43-H43)*4935/1000</f>
        <v>34.545000000000002</v>
      </c>
      <c r="J43" s="1475" t="s">
        <v>8</v>
      </c>
      <c r="K43" s="1465">
        <f>IF(H43=0,0,IF(I43&lt;0,0,I43))</f>
        <v>34.545000000000002</v>
      </c>
      <c r="L43" s="1475" t="s">
        <v>9</v>
      </c>
      <c r="M43" s="1476">
        <f>R.HN!D27</f>
        <v>4.4000000000000004</v>
      </c>
      <c r="N43" s="1474">
        <f>M43*10</f>
        <v>44</v>
      </c>
      <c r="O43" s="1474">
        <f>($F$43-N43)*4935/1000</f>
        <v>29.61</v>
      </c>
      <c r="P43" s="1475" t="s">
        <v>8</v>
      </c>
      <c r="Q43" s="1465">
        <f>IF(N43=0,0,IF(O43&lt;0,0,O43))</f>
        <v>29.61</v>
      </c>
      <c r="R43" s="1475" t="s">
        <v>9</v>
      </c>
      <c r="S43" s="1476">
        <f>R.HN!E27</f>
        <v>4.5</v>
      </c>
      <c r="T43" s="1474">
        <f>S43*10</f>
        <v>45</v>
      </c>
      <c r="U43" s="1474">
        <f>($F$43-T43)*4935/1000</f>
        <v>24.675000000000001</v>
      </c>
      <c r="V43" s="1475" t="s">
        <v>8</v>
      </c>
      <c r="W43" s="1465">
        <f>IF(T43=0,0,IF(U43&lt;0,0,U43))</f>
        <v>24.675000000000001</v>
      </c>
      <c r="X43" s="1475" t="s">
        <v>9</v>
      </c>
      <c r="Y43" s="1476">
        <f>R.HN!F27</f>
        <v>5.4</v>
      </c>
      <c r="Z43" s="1474">
        <f>Y43*10</f>
        <v>54</v>
      </c>
      <c r="AA43" s="1474">
        <f>($F$43-Z43)*4935/1000</f>
        <v>-19.739999999999998</v>
      </c>
      <c r="AB43" s="1475" t="s">
        <v>8</v>
      </c>
      <c r="AC43" s="1465">
        <f>IF(Z43=0,0,IF(AA43&lt;0,0,AA43))</f>
        <v>0</v>
      </c>
      <c r="AD43" s="1475" t="s">
        <v>9</v>
      </c>
      <c r="AE43" s="1476">
        <f>R.HN!G27</f>
        <v>4.7</v>
      </c>
      <c r="AF43" s="1474">
        <f>AE43*10</f>
        <v>47</v>
      </c>
      <c r="AG43" s="1474">
        <f>($F$43-AF43)*4935/1000</f>
        <v>14.805</v>
      </c>
      <c r="AH43" s="1475" t="s">
        <v>8</v>
      </c>
      <c r="AI43" s="1465">
        <f>IF(AF43=0,0,IF(AG43&lt;0,0,AG43))</f>
        <v>14.805</v>
      </c>
      <c r="AJ43" s="1475" t="s">
        <v>9</v>
      </c>
      <c r="AK43" s="1476">
        <f>R.HN!H27</f>
        <v>4.9000000000000004</v>
      </c>
      <c r="AL43" s="1474">
        <f>AK43*10</f>
        <v>49</v>
      </c>
      <c r="AM43" s="1474">
        <f>($F$43-AL43)*4935/1000</f>
        <v>4.9349999999999996</v>
      </c>
      <c r="AN43" s="1475" t="s">
        <v>8</v>
      </c>
      <c r="AO43" s="1465">
        <f>IF(AL43=0,0,IF(AM43&lt;0,0,AM43))</f>
        <v>4.9349999999999996</v>
      </c>
      <c r="AP43" s="1474" t="s">
        <v>9</v>
      </c>
      <c r="AQ43" s="12" t="s">
        <v>458</v>
      </c>
    </row>
    <row r="44" spans="1:43" ht="31.5" customHeight="1">
      <c r="A44" s="1099" t="s">
        <v>1082</v>
      </c>
      <c r="B44" s="1104" t="s">
        <v>786</v>
      </c>
      <c r="C44" s="3704"/>
      <c r="D44" s="1103" t="s">
        <v>431</v>
      </c>
      <c r="E44" s="48" t="s">
        <v>1062</v>
      </c>
      <c r="F44" s="408">
        <v>6.5</v>
      </c>
      <c r="G44" s="408">
        <f>R.HN!C28</f>
        <v>5</v>
      </c>
      <c r="H44" s="1474">
        <f>IFERROR(H43/G44,0)</f>
        <v>8.6</v>
      </c>
      <c r="I44" s="1474">
        <f>($F$44-H44)*4935/1000</f>
        <v>-10.363499999999998</v>
      </c>
      <c r="J44" s="1475"/>
      <c r="K44" s="1465">
        <f>IF(H44=0,0,IF(I44&lt;0,0,I44))</f>
        <v>0</v>
      </c>
      <c r="L44" s="1475" t="s">
        <v>9</v>
      </c>
      <c r="M44" s="1478">
        <f>R.HN!D28</f>
        <v>4.4000000000000004</v>
      </c>
      <c r="N44" s="1474">
        <f>IFERROR(N43/M44,0)</f>
        <v>10</v>
      </c>
      <c r="O44" s="1474">
        <f>($F$44-N44)*4935/1000</f>
        <v>-17.272500000000001</v>
      </c>
      <c r="P44" s="1475"/>
      <c r="Q44" s="1465">
        <f>IF(N44=0,0,IF(O44&lt;0,0,O44))</f>
        <v>0</v>
      </c>
      <c r="R44" s="1475" t="s">
        <v>9</v>
      </c>
      <c r="S44" s="1478">
        <f>R.HN!E28</f>
        <v>4.4000000000000004</v>
      </c>
      <c r="T44" s="1474">
        <f>IFERROR(T43/S44,0)</f>
        <v>10.227272727272727</v>
      </c>
      <c r="U44" s="1474">
        <f>($F$44-T44)*4935/1000</f>
        <v>-18.394090909090906</v>
      </c>
      <c r="V44" s="1475"/>
      <c r="W44" s="1465">
        <f>IF(T44=0,0,IF(U44&lt;0,0,U44))</f>
        <v>0</v>
      </c>
      <c r="X44" s="1475" t="s">
        <v>9</v>
      </c>
      <c r="Y44" s="1478">
        <f>R.HN!F28</f>
        <v>6.2</v>
      </c>
      <c r="Z44" s="1474">
        <f>IFERROR(Z43/Y44,0)</f>
        <v>8.7096774193548381</v>
      </c>
      <c r="AA44" s="1474">
        <f>($F$44-Z44)*4935/1000</f>
        <v>-10.904758064516125</v>
      </c>
      <c r="AB44" s="1475"/>
      <c r="AC44" s="1465">
        <f>IF(Z44=0,0,IF(AA44&lt;0,0,AA44))</f>
        <v>0</v>
      </c>
      <c r="AD44" s="1475" t="s">
        <v>9</v>
      </c>
      <c r="AE44" s="1476">
        <f>R.HN!G28</f>
        <v>5.3</v>
      </c>
      <c r="AF44" s="1474">
        <f>IFERROR(AF43/AE44,0)</f>
        <v>8.8679245283018879</v>
      </c>
      <c r="AG44" s="1474">
        <f>($F$44-AF44)*4935/1000</f>
        <v>-11.685707547169818</v>
      </c>
      <c r="AH44" s="1475"/>
      <c r="AI44" s="1465">
        <f>IF(AF44=0,0,IF(AG44&lt;0,0,AG44))</f>
        <v>0</v>
      </c>
      <c r="AJ44" s="1475" t="s">
        <v>9</v>
      </c>
      <c r="AK44" s="1476">
        <f>R.HN!H28</f>
        <v>4.9000000000000004</v>
      </c>
      <c r="AL44" s="1474">
        <f>IFERROR(AL43/AK44,0)</f>
        <v>10</v>
      </c>
      <c r="AM44" s="1474">
        <f>($F$44-AL44)*4935/1000</f>
        <v>-17.272500000000001</v>
      </c>
      <c r="AN44" s="1475"/>
      <c r="AO44" s="1465">
        <f>IF(AL44=0,0,IF(AM44&lt;0,0,AM44))</f>
        <v>0</v>
      </c>
      <c r="AP44" s="1474" t="s">
        <v>9</v>
      </c>
      <c r="AQ44" s="12" t="s">
        <v>458</v>
      </c>
    </row>
    <row r="45" spans="1:43" ht="42.75" customHeight="1">
      <c r="A45" s="1099" t="s">
        <v>1083</v>
      </c>
      <c r="B45" s="1105" t="s">
        <v>787</v>
      </c>
      <c r="C45" s="3705"/>
      <c r="D45" s="1103" t="s">
        <v>431</v>
      </c>
      <c r="E45" s="48" t="s">
        <v>1063</v>
      </c>
      <c r="F45" s="424">
        <v>0.4</v>
      </c>
      <c r="G45" s="408">
        <f>R.HN!C29</f>
        <v>0.1</v>
      </c>
      <c r="H45" s="1469">
        <f>G45</f>
        <v>0.1</v>
      </c>
      <c r="I45" s="1469"/>
      <c r="J45" s="1470"/>
      <c r="K45" s="1471"/>
      <c r="L45" s="1470"/>
      <c r="M45" s="1471">
        <f>R.HN!D29</f>
        <v>0.08</v>
      </c>
      <c r="N45" s="1469">
        <f>M45</f>
        <v>0.08</v>
      </c>
      <c r="O45" s="1469"/>
      <c r="P45" s="1470"/>
      <c r="Q45" s="1471"/>
      <c r="R45" s="1470"/>
      <c r="S45" s="1471">
        <f>R.HN!E29</f>
        <v>0.12</v>
      </c>
      <c r="T45" s="1469">
        <f>S45</f>
        <v>0.12</v>
      </c>
      <c r="U45" s="1469"/>
      <c r="V45" s="1470"/>
      <c r="W45" s="1471"/>
      <c r="X45" s="1470"/>
      <c r="Y45" s="1471">
        <f>R.HN!F29</f>
        <v>0.12</v>
      </c>
      <c r="Z45" s="1469">
        <f>Y45</f>
        <v>0.12</v>
      </c>
      <c r="AA45" s="1469"/>
      <c r="AB45" s="1470"/>
      <c r="AC45" s="1471"/>
      <c r="AD45" s="1470"/>
      <c r="AE45" s="1471">
        <f>R.HN!G29</f>
        <v>0.1</v>
      </c>
      <c r="AF45" s="1469">
        <f>AE45</f>
        <v>0.1</v>
      </c>
      <c r="AG45" s="1469"/>
      <c r="AH45" s="1470"/>
      <c r="AI45" s="1471"/>
      <c r="AJ45" s="1470"/>
      <c r="AK45" s="1471">
        <f>R.HN!H29</f>
        <v>0.12</v>
      </c>
      <c r="AL45" s="1469">
        <f>AK45</f>
        <v>0.12</v>
      </c>
      <c r="AM45" s="1469"/>
      <c r="AN45" s="1470"/>
      <c r="AO45" s="1471"/>
      <c r="AP45" s="272"/>
      <c r="AQ45" s="12" t="s">
        <v>458</v>
      </c>
    </row>
    <row r="46" spans="1:43" ht="31.5" customHeight="1">
      <c r="A46" s="1099" t="s">
        <v>1084</v>
      </c>
      <c r="B46" s="1106" t="s">
        <v>440</v>
      </c>
      <c r="C46" s="1107"/>
      <c r="D46" s="1069" t="s">
        <v>431</v>
      </c>
      <c r="E46" s="48" t="s">
        <v>441</v>
      </c>
      <c r="F46" s="412">
        <v>1</v>
      </c>
      <c r="G46" s="408">
        <f>R.HN!C33</f>
        <v>0.95</v>
      </c>
      <c r="H46" s="1474">
        <f>G46</f>
        <v>0.95</v>
      </c>
      <c r="I46" s="1474">
        <f>($F$30-H46)*1234/1000</f>
        <v>6.1700000000000053E-2</v>
      </c>
      <c r="J46" s="1475" t="s">
        <v>8</v>
      </c>
      <c r="K46" s="1464">
        <f>IF(H46=0,0,IF(I46&lt;0,0,I46))</f>
        <v>6.1700000000000053E-2</v>
      </c>
      <c r="L46" s="1475" t="s">
        <v>9</v>
      </c>
      <c r="M46" s="1476">
        <f>R.HN!D33</f>
        <v>0.9</v>
      </c>
      <c r="N46" s="1474">
        <f>M46</f>
        <v>0.9</v>
      </c>
      <c r="O46" s="1474">
        <f>($F$30-N46)*1234/1000</f>
        <v>0.12339999999999998</v>
      </c>
      <c r="P46" s="1475" t="s">
        <v>8</v>
      </c>
      <c r="Q46" s="1464">
        <f>IF(N46=0,0,IF(O46&lt;0,0,O46))</f>
        <v>0.12339999999999998</v>
      </c>
      <c r="R46" s="1475" t="s">
        <v>9</v>
      </c>
      <c r="S46" s="1476">
        <f>R.HN!E33</f>
        <v>0.95</v>
      </c>
      <c r="T46" s="1474">
        <f>S46</f>
        <v>0.95</v>
      </c>
      <c r="U46" s="1474">
        <f>($F$30-T46)*1234/1000</f>
        <v>6.1700000000000053E-2</v>
      </c>
      <c r="V46" s="1475" t="s">
        <v>8</v>
      </c>
      <c r="W46" s="1464">
        <f>IF(T46=0,0,IF(U46&lt;0,0,U46))</f>
        <v>6.1700000000000053E-2</v>
      </c>
      <c r="X46" s="1475" t="s">
        <v>9</v>
      </c>
      <c r="Y46" s="1476">
        <f>R.HN!F33</f>
        <v>0.9</v>
      </c>
      <c r="Z46" s="1474">
        <f>Y46</f>
        <v>0.9</v>
      </c>
      <c r="AA46" s="1474">
        <f>($F$30-Z46)*1234/1000</f>
        <v>0.12339999999999998</v>
      </c>
      <c r="AB46" s="1475" t="s">
        <v>8</v>
      </c>
      <c r="AC46" s="1464">
        <f>IF(Z46=0,0,IF(AA46&lt;0,0,AA46))</f>
        <v>0.12339999999999998</v>
      </c>
      <c r="AD46" s="1475" t="s">
        <v>9</v>
      </c>
      <c r="AE46" s="1476">
        <f>R.HN!G33</f>
        <v>0.95</v>
      </c>
      <c r="AF46" s="1474">
        <f>AE46</f>
        <v>0.95</v>
      </c>
      <c r="AG46" s="1474">
        <f>($F$30-AF46)*1234/1000</f>
        <v>6.1700000000000053E-2</v>
      </c>
      <c r="AH46" s="1475" t="s">
        <v>8</v>
      </c>
      <c r="AI46" s="1464">
        <f>IF(AF46=0,0,IF(AG46&lt;0,0,AG46))</f>
        <v>6.1700000000000053E-2</v>
      </c>
      <c r="AJ46" s="1475" t="s">
        <v>9</v>
      </c>
      <c r="AK46" s="1476">
        <f>R.HN!H33</f>
        <v>0.95</v>
      </c>
      <c r="AL46" s="1474">
        <f>AK46</f>
        <v>0.95</v>
      </c>
      <c r="AM46" s="1474">
        <f>($F$30-AL46)*1234/1000</f>
        <v>6.1700000000000053E-2</v>
      </c>
      <c r="AN46" s="1475" t="s">
        <v>8</v>
      </c>
      <c r="AO46" s="1464">
        <f>IF(AL46=0,0,IF(AM46&lt;0,0,AM46))</f>
        <v>6.1700000000000053E-2</v>
      </c>
      <c r="AP46" s="1474" t="s">
        <v>9</v>
      </c>
      <c r="AQ46" s="12" t="s">
        <v>458</v>
      </c>
    </row>
    <row r="47" spans="1:43" ht="31.5" customHeight="1">
      <c r="A47" s="1099" t="s">
        <v>1085</v>
      </c>
      <c r="B47" s="1108" t="s">
        <v>5</v>
      </c>
      <c r="C47" s="1109"/>
      <c r="D47" s="1069" t="s">
        <v>5</v>
      </c>
      <c r="E47" s="48" t="s">
        <v>443</v>
      </c>
      <c r="F47" s="414">
        <v>9.5</v>
      </c>
      <c r="G47" s="408">
        <f>R.HN!C34</f>
        <v>10</v>
      </c>
      <c r="H47" s="1474">
        <f>G47</f>
        <v>10</v>
      </c>
      <c r="I47" s="1474"/>
      <c r="J47" s="1475"/>
      <c r="K47" s="1476"/>
      <c r="L47" s="1475"/>
      <c r="M47" s="1476">
        <f>R.HN!D34</f>
        <v>10</v>
      </c>
      <c r="N47" s="1474">
        <f>M47</f>
        <v>10</v>
      </c>
      <c r="O47" s="1474"/>
      <c r="P47" s="1475"/>
      <c r="Q47" s="1476"/>
      <c r="R47" s="1475"/>
      <c r="S47" s="1476">
        <f>R.HN!E34</f>
        <v>10</v>
      </c>
      <c r="T47" s="1474">
        <f>S47</f>
        <v>10</v>
      </c>
      <c r="U47" s="1474"/>
      <c r="V47" s="1475"/>
      <c r="W47" s="1476"/>
      <c r="X47" s="1475"/>
      <c r="Y47" s="1476">
        <f>R.HN!F34</f>
        <v>9</v>
      </c>
      <c r="Z47" s="1474">
        <f>Y47</f>
        <v>9</v>
      </c>
      <c r="AA47" s="1474"/>
      <c r="AB47" s="1475"/>
      <c r="AC47" s="1476"/>
      <c r="AD47" s="1475"/>
      <c r="AE47" s="1476">
        <f>R.HN!G34</f>
        <v>9.5</v>
      </c>
      <c r="AF47" s="1474">
        <f>AE47</f>
        <v>9.5</v>
      </c>
      <c r="AG47" s="1474"/>
      <c r="AH47" s="1475"/>
      <c r="AI47" s="1476"/>
      <c r="AJ47" s="1475"/>
      <c r="AK47" s="1476">
        <f>R.HN!H34</f>
        <v>10</v>
      </c>
      <c r="AL47" s="1474">
        <f>AK47</f>
        <v>10</v>
      </c>
      <c r="AM47" s="1474"/>
      <c r="AN47" s="1475"/>
      <c r="AO47" s="1476"/>
      <c r="AP47" s="1474"/>
      <c r="AQ47" s="12" t="s">
        <v>458</v>
      </c>
    </row>
    <row r="48" spans="1:43" ht="33" customHeight="1">
      <c r="A48" s="1110" t="s">
        <v>73</v>
      </c>
      <c r="B48" s="303"/>
      <c r="C48" s="303"/>
      <c r="D48" s="303"/>
      <c r="E48" s="296"/>
      <c r="F48" s="303"/>
      <c r="G48" s="303"/>
      <c r="H48" s="303"/>
      <c r="I48" s="303"/>
      <c r="J48" s="303"/>
      <c r="K48" s="303"/>
      <c r="L48" s="303"/>
      <c r="M48" s="303"/>
      <c r="N48" s="308"/>
      <c r="O48" s="303"/>
      <c r="P48" s="303"/>
      <c r="Q48" s="303"/>
      <c r="R48" s="308"/>
      <c r="S48" s="303"/>
      <c r="T48" s="308"/>
      <c r="U48" s="303"/>
      <c r="V48" s="303"/>
      <c r="W48" s="303"/>
      <c r="X48" s="303"/>
      <c r="Y48" s="303"/>
      <c r="Z48" s="303"/>
      <c r="AA48" s="303"/>
      <c r="AB48" s="303"/>
      <c r="AC48" s="303"/>
      <c r="AD48" s="303"/>
      <c r="AE48" s="308"/>
      <c r="AF48" s="308"/>
      <c r="AG48" s="308"/>
      <c r="AH48" s="308"/>
      <c r="AI48" s="308"/>
      <c r="AJ48" s="308"/>
      <c r="AK48" s="308"/>
      <c r="AL48" s="308"/>
      <c r="AM48" s="308"/>
      <c r="AN48" s="308"/>
      <c r="AO48" s="308"/>
      <c r="AP48" s="1111"/>
    </row>
    <row r="49" spans="1:43" ht="52.5" customHeight="1">
      <c r="A49" s="1099" t="s">
        <v>238</v>
      </c>
      <c r="B49" s="3130" t="s">
        <v>61</v>
      </c>
      <c r="C49" s="3132"/>
      <c r="D49" s="277" t="s">
        <v>63</v>
      </c>
      <c r="E49" s="277" t="s">
        <v>64</v>
      </c>
      <c r="F49" s="415"/>
      <c r="G49" s="415"/>
      <c r="H49" s="304" t="s">
        <v>45</v>
      </c>
      <c r="I49" s="305"/>
      <c r="J49" s="305"/>
      <c r="K49" s="304" t="s">
        <v>62</v>
      </c>
      <c r="L49" s="306"/>
      <c r="M49" s="277"/>
      <c r="N49" s="304" t="s">
        <v>45</v>
      </c>
      <c r="O49" s="305"/>
      <c r="P49" s="305"/>
      <c r="Q49" s="304" t="s">
        <v>62</v>
      </c>
      <c r="R49" s="306"/>
      <c r="S49" s="1112"/>
      <c r="T49" s="304" t="s">
        <v>45</v>
      </c>
      <c r="U49" s="305"/>
      <c r="V49" s="305"/>
      <c r="W49" s="304" t="s">
        <v>62</v>
      </c>
      <c r="X49" s="306"/>
      <c r="Y49" s="1113"/>
      <c r="Z49" s="304" t="s">
        <v>45</v>
      </c>
      <c r="AA49" s="305"/>
      <c r="AB49" s="305"/>
      <c r="AC49" s="304" t="s">
        <v>62</v>
      </c>
      <c r="AD49" s="306"/>
      <c r="AE49" s="1113"/>
      <c r="AF49" s="304" t="s">
        <v>45</v>
      </c>
      <c r="AG49" s="305"/>
      <c r="AH49" s="305"/>
      <c r="AI49" s="304" t="s">
        <v>62</v>
      </c>
      <c r="AJ49" s="306"/>
      <c r="AK49" s="1113"/>
      <c r="AL49" s="304" t="s">
        <v>45</v>
      </c>
      <c r="AM49" s="305"/>
      <c r="AN49" s="305"/>
      <c r="AO49" s="304" t="s">
        <v>62</v>
      </c>
      <c r="AP49" s="306"/>
    </row>
    <row r="50" spans="1:43" ht="30" customHeight="1">
      <c r="A50" s="1099" t="s">
        <v>1086</v>
      </c>
      <c r="B50" s="3130" t="s">
        <v>454</v>
      </c>
      <c r="C50" s="3132"/>
      <c r="D50" s="247" t="s">
        <v>195</v>
      </c>
      <c r="E50" s="48" t="s">
        <v>1075</v>
      </c>
      <c r="F50" s="416"/>
      <c r="G50" s="416"/>
      <c r="H50" s="3687">
        <f>'R.FILE GOC'!H50</f>
        <v>0</v>
      </c>
      <c r="I50" s="3687"/>
      <c r="J50" s="3687"/>
      <c r="K50" s="3687">
        <f>'R.FILE GOC'!K50</f>
        <v>59</v>
      </c>
      <c r="L50" s="3687"/>
      <c r="M50" s="1466"/>
      <c r="N50" s="3687">
        <f>'R.FILE GOC'!N50</f>
        <v>0</v>
      </c>
      <c r="O50" s="3687"/>
      <c r="P50" s="3687"/>
      <c r="Q50" s="3687">
        <f>'R.FILE GOC'!Q50</f>
        <v>59</v>
      </c>
      <c r="R50" s="3687"/>
      <c r="S50" s="1466"/>
      <c r="T50" s="3687">
        <f>'R.FILE GOC'!T50</f>
        <v>0</v>
      </c>
      <c r="U50" s="3687"/>
      <c r="V50" s="3687"/>
      <c r="W50" s="3687">
        <f>'R.FILE GOC'!W50</f>
        <v>58</v>
      </c>
      <c r="X50" s="3687"/>
      <c r="Y50" s="1466"/>
      <c r="Z50" s="3687">
        <f>'R.FILE GOC'!Z50</f>
        <v>0</v>
      </c>
      <c r="AA50" s="3687"/>
      <c r="AB50" s="3687"/>
      <c r="AC50" s="3687">
        <f>'R.FILE GOC'!AC50</f>
        <v>58</v>
      </c>
      <c r="AD50" s="3687"/>
      <c r="AE50" s="1466"/>
      <c r="AF50" s="3687">
        <f>'R.FILE GOC'!AF50</f>
        <v>0</v>
      </c>
      <c r="AG50" s="3687"/>
      <c r="AH50" s="3687"/>
      <c r="AI50" s="3687">
        <f>'R.FILE GOC'!AI50</f>
        <v>59</v>
      </c>
      <c r="AJ50" s="3687"/>
      <c r="AK50" s="1466"/>
      <c r="AL50" s="3687">
        <f>'R.FILE GOC'!AL50</f>
        <v>0</v>
      </c>
      <c r="AM50" s="3687"/>
      <c r="AN50" s="3687"/>
      <c r="AO50" s="3687">
        <f>'R.FILE GOC'!AO50</f>
        <v>59</v>
      </c>
      <c r="AP50" s="3687"/>
      <c r="AQ50" s="12" t="s">
        <v>458</v>
      </c>
    </row>
    <row r="51" spans="1:43" ht="30" customHeight="1">
      <c r="A51" s="1099" t="s">
        <v>1087</v>
      </c>
      <c r="B51" s="3130" t="s">
        <v>447</v>
      </c>
      <c r="C51" s="3132"/>
      <c r="D51" s="247" t="s">
        <v>195</v>
      </c>
      <c r="E51" s="48" t="s">
        <v>1064</v>
      </c>
      <c r="F51" s="416"/>
      <c r="G51" s="416"/>
      <c r="H51" s="3687">
        <f>'R.FILE GOC'!H51</f>
        <v>0</v>
      </c>
      <c r="I51" s="3687"/>
      <c r="J51" s="3687"/>
      <c r="K51" s="3687">
        <f>'R.FILE GOC'!K51</f>
        <v>68</v>
      </c>
      <c r="L51" s="3687"/>
      <c r="M51" s="1466"/>
      <c r="N51" s="3687">
        <f>'R.FILE GOC'!N51</f>
        <v>0</v>
      </c>
      <c r="O51" s="3687"/>
      <c r="P51" s="3687"/>
      <c r="Q51" s="3687">
        <f>'R.FILE GOC'!Q51</f>
        <v>68</v>
      </c>
      <c r="R51" s="3687"/>
      <c r="S51" s="1466"/>
      <c r="T51" s="3687">
        <f>'R.FILE GOC'!T51</f>
        <v>0</v>
      </c>
      <c r="U51" s="3687"/>
      <c r="V51" s="3687"/>
      <c r="W51" s="3687">
        <f>'R.FILE GOC'!W51</f>
        <v>68</v>
      </c>
      <c r="X51" s="3687"/>
      <c r="Y51" s="1466"/>
      <c r="Z51" s="3687">
        <f>'R.FILE GOC'!Z51</f>
        <v>0</v>
      </c>
      <c r="AA51" s="3687"/>
      <c r="AB51" s="3687"/>
      <c r="AC51" s="3687">
        <f>'R.FILE GOC'!AC51</f>
        <v>68</v>
      </c>
      <c r="AD51" s="3687"/>
      <c r="AE51" s="1466"/>
      <c r="AF51" s="3687">
        <f>'R.FILE GOC'!AF51</f>
        <v>0</v>
      </c>
      <c r="AG51" s="3687"/>
      <c r="AH51" s="3687"/>
      <c r="AI51" s="3687">
        <f>'R.FILE GOC'!AI51</f>
        <v>68</v>
      </c>
      <c r="AJ51" s="3687"/>
      <c r="AK51" s="1466"/>
      <c r="AL51" s="3687">
        <f>'R.FILE GOC'!AL51</f>
        <v>0</v>
      </c>
      <c r="AM51" s="3687"/>
      <c r="AN51" s="3687"/>
      <c r="AO51" s="3687">
        <f>'R.FILE GOC'!AO51</f>
        <v>68</v>
      </c>
      <c r="AP51" s="3687"/>
      <c r="AQ51" s="12" t="s">
        <v>458</v>
      </c>
    </row>
    <row r="52" spans="1:43" ht="30" customHeight="1">
      <c r="A52" s="1099" t="s">
        <v>1088</v>
      </c>
      <c r="B52" s="3130" t="s">
        <v>733</v>
      </c>
      <c r="C52" s="3132"/>
      <c r="D52" s="247" t="s">
        <v>195</v>
      </c>
      <c r="E52" s="48" t="s">
        <v>1065</v>
      </c>
      <c r="F52" s="14"/>
      <c r="G52" s="14"/>
      <c r="H52" s="3687">
        <f>'R.FILE GOC'!H52</f>
        <v>0</v>
      </c>
      <c r="I52" s="3687"/>
      <c r="J52" s="3687"/>
      <c r="K52" s="3687">
        <f>'R.FILE GOC'!K52</f>
        <v>85</v>
      </c>
      <c r="L52" s="3687"/>
      <c r="M52" s="1466"/>
      <c r="N52" s="3687">
        <f>'R.FILE GOC'!N52</f>
        <v>0</v>
      </c>
      <c r="O52" s="3687"/>
      <c r="P52" s="3687"/>
      <c r="Q52" s="3687">
        <f>'R.FILE GOC'!Q52</f>
        <v>89</v>
      </c>
      <c r="R52" s="3687"/>
      <c r="S52" s="1466"/>
      <c r="T52" s="3687">
        <f>'R.FILE GOC'!T52</f>
        <v>0</v>
      </c>
      <c r="U52" s="3687"/>
      <c r="V52" s="3687"/>
      <c r="W52" s="3687">
        <f>'R.FILE GOC'!W52</f>
        <v>83</v>
      </c>
      <c r="X52" s="3687"/>
      <c r="Y52" s="1466"/>
      <c r="Z52" s="3687">
        <f>'R.FILE GOC'!Z52</f>
        <v>0</v>
      </c>
      <c r="AA52" s="3687"/>
      <c r="AB52" s="3687"/>
      <c r="AC52" s="3687">
        <f>'R.FILE GOC'!AC52</f>
        <v>86</v>
      </c>
      <c r="AD52" s="3687"/>
      <c r="AE52" s="1466"/>
      <c r="AF52" s="3687">
        <f>'R.FILE GOC'!AF52</f>
        <v>0</v>
      </c>
      <c r="AG52" s="3687"/>
      <c r="AH52" s="3687"/>
      <c r="AI52" s="3687">
        <f>'R.FILE GOC'!AI52</f>
        <v>85</v>
      </c>
      <c r="AJ52" s="3687"/>
      <c r="AK52" s="1466"/>
      <c r="AL52" s="3687">
        <f>'R.FILE GOC'!AL52</f>
        <v>0</v>
      </c>
      <c r="AM52" s="3687"/>
      <c r="AN52" s="3687"/>
      <c r="AO52" s="3687">
        <f>'R.FILE GOC'!AO52</f>
        <v>85</v>
      </c>
      <c r="AP52" s="3687"/>
      <c r="AQ52" s="12" t="s">
        <v>458</v>
      </c>
    </row>
    <row r="53" spans="1:43" ht="18.75" customHeight="1">
      <c r="A53" s="307"/>
      <c r="B53" s="307"/>
      <c r="C53" s="307"/>
      <c r="D53" s="307"/>
      <c r="E53" s="307"/>
      <c r="F53" s="307"/>
      <c r="G53" s="307"/>
      <c r="H53" s="307"/>
      <c r="I53" s="307"/>
      <c r="J53" s="307"/>
      <c r="K53" s="307"/>
      <c r="L53" s="307"/>
      <c r="M53" s="307"/>
      <c r="N53" s="307"/>
      <c r="O53" s="307"/>
      <c r="P53" s="307"/>
      <c r="Q53" s="307"/>
      <c r="R53" s="307"/>
      <c r="S53" s="307"/>
      <c r="T53" s="307"/>
      <c r="U53" s="307"/>
      <c r="V53" s="307"/>
      <c r="W53" s="307"/>
      <c r="X53" s="307"/>
      <c r="Y53" s="307"/>
      <c r="Z53" s="307"/>
      <c r="AA53" s="307"/>
      <c r="AB53" s="307"/>
      <c r="AC53" s="307"/>
      <c r="AP53" s="12"/>
    </row>
    <row r="54" spans="1:43" ht="35.25" customHeight="1">
      <c r="A54" s="1976" t="s">
        <v>1501</v>
      </c>
      <c r="B54" s="1983"/>
      <c r="C54" s="1984"/>
      <c r="D54" s="1985"/>
      <c r="E54" s="2092"/>
      <c r="F54" s="1987" t="s">
        <v>72</v>
      </c>
      <c r="G54" s="1988"/>
      <c r="H54" s="2767" t="s">
        <v>72</v>
      </c>
      <c r="I54" s="2768"/>
      <c r="J54" s="2768"/>
      <c r="K54" s="2768"/>
      <c r="L54" s="2768"/>
      <c r="M54" s="2768"/>
      <c r="N54" s="2768"/>
      <c r="O54" s="2768"/>
      <c r="P54" s="2768"/>
      <c r="Q54" s="2768"/>
      <c r="R54" s="2769"/>
      <c r="S54" s="1989"/>
      <c r="T54" s="2766"/>
      <c r="U54" s="2766"/>
      <c r="V54" s="2766"/>
      <c r="W54" s="2766"/>
      <c r="X54" s="2766"/>
      <c r="Y54" s="2766"/>
      <c r="Z54" s="2766"/>
      <c r="AA54" s="2766"/>
      <c r="AB54" s="2766"/>
      <c r="AC54" s="2766"/>
      <c r="AD54" s="2766"/>
      <c r="AE54" s="307"/>
      <c r="AF54" s="307"/>
      <c r="AG54" s="307"/>
      <c r="AH54" s="307"/>
      <c r="AP54" s="12"/>
    </row>
    <row r="55" spans="1:43" ht="30" customHeight="1">
      <c r="A55" s="400"/>
      <c r="B55" s="3690" t="s">
        <v>76</v>
      </c>
      <c r="C55" s="3691"/>
      <c r="D55" s="3044" t="s">
        <v>124</v>
      </c>
      <c r="E55" s="3695" t="s">
        <v>64</v>
      </c>
      <c r="F55" s="401"/>
      <c r="G55" s="402"/>
      <c r="H55" s="3457" t="s">
        <v>472</v>
      </c>
      <c r="I55" s="3457"/>
      <c r="J55" s="3457"/>
      <c r="K55" s="3457"/>
      <c r="L55" s="3457"/>
      <c r="M55" s="420"/>
      <c r="N55" s="3458" t="s">
        <v>1466</v>
      </c>
      <c r="O55" s="3459"/>
      <c r="P55" s="3459"/>
      <c r="Q55" s="3459"/>
      <c r="R55" s="3460"/>
      <c r="S55" s="420"/>
      <c r="T55" s="2766" t="s">
        <v>1466</v>
      </c>
      <c r="U55" s="2766"/>
      <c r="V55" s="2766"/>
      <c r="W55" s="2766"/>
      <c r="X55" s="2766"/>
      <c r="Y55" s="2766"/>
      <c r="Z55" s="2766" t="s">
        <v>1587</v>
      </c>
      <c r="AA55" s="2766"/>
      <c r="AB55" s="2766"/>
      <c r="AC55" s="2766"/>
      <c r="AD55" s="2766"/>
      <c r="AE55" s="1118"/>
      <c r="AF55" s="758"/>
      <c r="AG55" s="758"/>
      <c r="AH55" s="758"/>
      <c r="AI55" s="758"/>
      <c r="AJ55" s="758"/>
      <c r="AK55" s="1118"/>
      <c r="AL55" s="758"/>
      <c r="AM55" s="758"/>
      <c r="AN55" s="758"/>
      <c r="AO55" s="758"/>
      <c r="AP55" s="758"/>
    </row>
    <row r="56" spans="1:43" ht="30" customHeight="1">
      <c r="A56" s="437" t="s">
        <v>238</v>
      </c>
      <c r="B56" s="3692"/>
      <c r="C56" s="3693"/>
      <c r="D56" s="3694"/>
      <c r="E56" s="3696"/>
      <c r="F56" s="405" t="s">
        <v>422</v>
      </c>
      <c r="G56" s="406"/>
      <c r="H56" s="2372" t="s">
        <v>731</v>
      </c>
      <c r="I56" s="2373" t="s">
        <v>1</v>
      </c>
      <c r="J56" s="3700" t="s">
        <v>1</v>
      </c>
      <c r="K56" s="3700"/>
      <c r="L56" s="3701"/>
      <c r="M56" s="1098"/>
      <c r="N56" s="2372" t="s">
        <v>731</v>
      </c>
      <c r="O56" s="2373" t="s">
        <v>1</v>
      </c>
      <c r="P56" s="3700" t="s">
        <v>1</v>
      </c>
      <c r="Q56" s="3700"/>
      <c r="R56" s="3702"/>
      <c r="S56" s="438"/>
      <c r="T56" s="2766" t="s">
        <v>731</v>
      </c>
      <c r="U56" s="2766" t="s">
        <v>1</v>
      </c>
      <c r="V56" s="2766" t="s">
        <v>1</v>
      </c>
      <c r="W56" s="2766"/>
      <c r="X56" s="2766"/>
      <c r="Y56" s="2766"/>
      <c r="Z56" s="2766" t="s">
        <v>731</v>
      </c>
      <c r="AA56" s="2766" t="s">
        <v>1</v>
      </c>
      <c r="AB56" s="2766" t="s">
        <v>1</v>
      </c>
      <c r="AC56" s="2766"/>
      <c r="AD56" s="2766"/>
      <c r="AE56" s="1118"/>
      <c r="AF56" s="758"/>
      <c r="AG56" s="759"/>
      <c r="AH56" s="759"/>
      <c r="AI56" s="759"/>
      <c r="AJ56" s="759"/>
      <c r="AK56" s="427"/>
      <c r="AL56" s="759"/>
      <c r="AM56" s="759"/>
      <c r="AN56" s="759"/>
      <c r="AO56" s="759"/>
      <c r="AP56" s="759"/>
    </row>
    <row r="57" spans="1:43" ht="48.75" customHeight="1">
      <c r="A57" s="1099" t="s">
        <v>473</v>
      </c>
      <c r="B57" s="3135" t="s">
        <v>474</v>
      </c>
      <c r="C57" s="3628"/>
      <c r="D57" s="1069" t="s">
        <v>4</v>
      </c>
      <c r="E57" s="102" t="s">
        <v>475</v>
      </c>
      <c r="F57" s="1232">
        <v>15</v>
      </c>
      <c r="G57" s="408">
        <f>R.HN!C39</f>
        <v>15.4</v>
      </c>
      <c r="H57" s="2374">
        <f t="shared" ref="H57" si="0">G57</f>
        <v>15.4</v>
      </c>
      <c r="I57" s="2375">
        <f>($F$57-H57)*2160*3.34/1000</f>
        <v>-2.8857600000000025</v>
      </c>
      <c r="J57" s="2375" t="s">
        <v>8</v>
      </c>
      <c r="K57" s="1764">
        <f>IF(H57=0,0,IF(I57&lt;0,0,I57))</f>
        <v>0</v>
      </c>
      <c r="L57" s="2376" t="s">
        <v>9</v>
      </c>
      <c r="M57" s="1478">
        <f>R.HN!D39</f>
        <v>0</v>
      </c>
      <c r="N57" s="2374">
        <f t="shared" ref="N57" si="1">M57</f>
        <v>0</v>
      </c>
      <c r="O57" s="2375">
        <f>($F$57-N57)*2160*3.34/1000</f>
        <v>108.21599999999999</v>
      </c>
      <c r="P57" s="2375" t="s">
        <v>8</v>
      </c>
      <c r="Q57" s="1764">
        <f>IF(N57=0,0,IF(O57&lt;0,0,O57))</f>
        <v>0</v>
      </c>
      <c r="R57" s="2387" t="s">
        <v>9</v>
      </c>
      <c r="S57" s="441">
        <f>R.HN!E39</f>
        <v>0</v>
      </c>
      <c r="T57" s="2766">
        <f t="shared" ref="T57" si="2">S57</f>
        <v>0</v>
      </c>
      <c r="U57" s="2766">
        <f>($F$57-T57)*2160*3.34/1000</f>
        <v>108.21599999999999</v>
      </c>
      <c r="V57" s="2766" t="s">
        <v>8</v>
      </c>
      <c r="W57" s="2766">
        <f>IF(T57=0,0,IF(U57&lt;0,0,U57))</f>
        <v>0</v>
      </c>
      <c r="X57" s="2766" t="s">
        <v>9</v>
      </c>
      <c r="Y57" s="2766">
        <f>R.HN!F39</f>
        <v>0</v>
      </c>
      <c r="Z57" s="2766">
        <f t="shared" ref="Z57" si="3">Y57</f>
        <v>0</v>
      </c>
      <c r="AA57" s="2766">
        <f>($F$57-Z57)*2160*3.34/1000</f>
        <v>108.21599999999999</v>
      </c>
      <c r="AB57" s="2766" t="s">
        <v>8</v>
      </c>
      <c r="AC57" s="2766">
        <f>IF(Z57=0,0,IF(AA57&lt;0,0,AA57))</f>
        <v>0</v>
      </c>
      <c r="AD57" s="2766" t="s">
        <v>9</v>
      </c>
      <c r="AE57" s="1118"/>
      <c r="AF57" s="758"/>
      <c r="AG57" s="760"/>
      <c r="AH57" s="761"/>
      <c r="AI57" s="762"/>
      <c r="AJ57" s="763"/>
      <c r="AK57" s="1119"/>
      <c r="AL57" s="760"/>
      <c r="AM57" s="760"/>
      <c r="AN57" s="761"/>
      <c r="AO57" s="762"/>
      <c r="AP57" s="763"/>
      <c r="AQ57" s="12" t="s">
        <v>476</v>
      </c>
    </row>
    <row r="58" spans="1:43" ht="48.75" customHeight="1">
      <c r="A58" s="1099" t="s">
        <v>477</v>
      </c>
      <c r="B58" s="3135" t="s">
        <v>478</v>
      </c>
      <c r="C58" s="3628"/>
      <c r="D58" s="1069" t="s">
        <v>4</v>
      </c>
      <c r="E58" s="1837" t="s">
        <v>1513</v>
      </c>
      <c r="F58" s="1232">
        <v>50</v>
      </c>
      <c r="G58" s="408">
        <f>R.HN!C40</f>
        <v>7.1</v>
      </c>
      <c r="H58" s="1733">
        <f>G58*6.49</f>
        <v>46.079000000000001</v>
      </c>
      <c r="I58" s="2377">
        <f>($F$58-H58)*2160*3.34/1000</f>
        <v>28.287662399999995</v>
      </c>
      <c r="J58" s="2375" t="s">
        <v>8</v>
      </c>
      <c r="K58" s="1764">
        <f>IF(H58=0,0,IF(I58&lt;0,0,I58))</f>
        <v>28.287662399999995</v>
      </c>
      <c r="L58" s="2376" t="s">
        <v>9</v>
      </c>
      <c r="M58" s="1481">
        <f>R.HN!D40</f>
        <v>0</v>
      </c>
      <c r="N58" s="1733">
        <f>M58*6.49</f>
        <v>0</v>
      </c>
      <c r="O58" s="2375">
        <f>($F$58-N58)*2160*3.34/1000</f>
        <v>360.72</v>
      </c>
      <c r="P58" s="2375" t="s">
        <v>8</v>
      </c>
      <c r="Q58" s="1764">
        <f>IF(N58=0,0,IF(O58&lt;0,0,O58))</f>
        <v>0</v>
      </c>
      <c r="R58" s="2387" t="s">
        <v>9</v>
      </c>
      <c r="S58" s="441">
        <f>R.HN!E40</f>
        <v>0</v>
      </c>
      <c r="T58" s="2766">
        <f>S58*6.49</f>
        <v>0</v>
      </c>
      <c r="U58" s="2766">
        <f>($F$58-T58)*2160*3.34/1000</f>
        <v>360.72</v>
      </c>
      <c r="V58" s="2766" t="s">
        <v>8</v>
      </c>
      <c r="W58" s="2766">
        <f>IF(T58=0,0,IF(U58&lt;0,0,U58))</f>
        <v>0</v>
      </c>
      <c r="X58" s="2766" t="s">
        <v>9</v>
      </c>
      <c r="Y58" s="2766">
        <f>R.HN!F40</f>
        <v>0</v>
      </c>
      <c r="Z58" s="2766">
        <f>Y58*6.49</f>
        <v>0</v>
      </c>
      <c r="AA58" s="2766">
        <f>($F$58-Z58)*2160*3.34/1000</f>
        <v>360.72</v>
      </c>
      <c r="AB58" s="2766" t="s">
        <v>8</v>
      </c>
      <c r="AC58" s="2766">
        <f>IF(Z58=0,0,IF(AA58&lt;0,0,AA58))</f>
        <v>0</v>
      </c>
      <c r="AD58" s="2766" t="s">
        <v>9</v>
      </c>
      <c r="AE58" s="1118"/>
      <c r="AF58" s="758"/>
      <c r="AG58" s="760"/>
      <c r="AH58" s="761"/>
      <c r="AI58" s="762"/>
      <c r="AJ58" s="763"/>
      <c r="AK58" s="1119"/>
      <c r="AL58" s="760"/>
      <c r="AM58" s="760"/>
      <c r="AN58" s="761"/>
      <c r="AO58" s="762"/>
      <c r="AP58" s="763"/>
      <c r="AQ58" s="12" t="s">
        <v>476</v>
      </c>
    </row>
    <row r="59" spans="1:43" ht="48.75" customHeight="1">
      <c r="A59" s="1099" t="s">
        <v>479</v>
      </c>
      <c r="B59" s="3135" t="s">
        <v>480</v>
      </c>
      <c r="C59" s="3628"/>
      <c r="D59" s="1069" t="s">
        <v>4</v>
      </c>
      <c r="E59" s="1837" t="s">
        <v>1513</v>
      </c>
      <c r="F59" s="1232">
        <v>50</v>
      </c>
      <c r="G59" s="408">
        <f>R.HN!C41</f>
        <v>8.3000000000000007</v>
      </c>
      <c r="H59" s="1733">
        <f>G59*6.49</f>
        <v>53.867000000000004</v>
      </c>
      <c r="I59" s="2377">
        <f>($F$59-H59)*2700*3.33/1000</f>
        <v>-34.768197000000043</v>
      </c>
      <c r="J59" s="2375" t="s">
        <v>8</v>
      </c>
      <c r="K59" s="1764">
        <f>IF(H59=0,0,IF(I59&lt;0,0,I59))</f>
        <v>0</v>
      </c>
      <c r="L59" s="2376" t="s">
        <v>9</v>
      </c>
      <c r="M59" s="1481">
        <f>R.HN!D41</f>
        <v>0</v>
      </c>
      <c r="N59" s="1733">
        <f>M59*6.49</f>
        <v>0</v>
      </c>
      <c r="O59" s="2375">
        <f>($F$59-N59)*2700*3.33/1000</f>
        <v>449.55</v>
      </c>
      <c r="P59" s="2375" t="s">
        <v>8</v>
      </c>
      <c r="Q59" s="1764">
        <f>IF(N59=0,0,IF(O59&lt;0,0,O59))</f>
        <v>0</v>
      </c>
      <c r="R59" s="2387" t="s">
        <v>9</v>
      </c>
      <c r="S59" s="441">
        <f>R.HN!E41</f>
        <v>0</v>
      </c>
      <c r="T59" s="2766">
        <f>S59*6.49</f>
        <v>0</v>
      </c>
      <c r="U59" s="2766">
        <f>($F$59-T59)*2700*3.33/1000</f>
        <v>449.55</v>
      </c>
      <c r="V59" s="2766" t="s">
        <v>8</v>
      </c>
      <c r="W59" s="2766">
        <f>IF(T59=0,0,IF(U59&lt;0,0,U59))</f>
        <v>0</v>
      </c>
      <c r="X59" s="2766" t="s">
        <v>9</v>
      </c>
      <c r="Y59" s="2766">
        <f>R.HN!F41</f>
        <v>0</v>
      </c>
      <c r="Z59" s="2766">
        <f>Y59*6.49</f>
        <v>0</v>
      </c>
      <c r="AA59" s="2766">
        <f>($F$59-Z59)*2700*3.33/1000</f>
        <v>449.55</v>
      </c>
      <c r="AB59" s="2766" t="s">
        <v>8</v>
      </c>
      <c r="AC59" s="2766">
        <f>IF(Z59=0,0,IF(AA59&lt;0,0,AA59))</f>
        <v>0</v>
      </c>
      <c r="AD59" s="2766" t="s">
        <v>9</v>
      </c>
      <c r="AE59" s="1118"/>
      <c r="AF59" s="758"/>
      <c r="AG59" s="760"/>
      <c r="AH59" s="761"/>
      <c r="AI59" s="762"/>
      <c r="AJ59" s="763"/>
      <c r="AK59" s="1119"/>
      <c r="AL59" s="760"/>
      <c r="AM59" s="760"/>
      <c r="AN59" s="761"/>
      <c r="AO59" s="762"/>
      <c r="AP59" s="763"/>
      <c r="AQ59" s="12" t="s">
        <v>476</v>
      </c>
    </row>
    <row r="60" spans="1:43" ht="48.75" hidden="1" customHeight="1">
      <c r="A60" s="1099" t="s">
        <v>481</v>
      </c>
      <c r="B60" s="3135" t="s">
        <v>482</v>
      </c>
      <c r="C60" s="3628"/>
      <c r="D60" s="1069" t="s">
        <v>431</v>
      </c>
      <c r="E60" s="48" t="s">
        <v>1089</v>
      </c>
      <c r="F60" s="412">
        <v>10</v>
      </c>
      <c r="G60" s="408">
        <f>R.HN!C42</f>
        <v>0</v>
      </c>
      <c r="H60" s="2374">
        <f t="shared" ref="H60:H62" si="4">G60</f>
        <v>0</v>
      </c>
      <c r="I60" s="2375">
        <f>($F$60-H60)*2160*5.77/1000</f>
        <v>124.63199999999999</v>
      </c>
      <c r="J60" s="2375" t="s">
        <v>8</v>
      </c>
      <c r="K60" s="2377">
        <f t="shared" ref="K60" si="5">IF(I60&lt;0,0,I60)</f>
        <v>124.63199999999999</v>
      </c>
      <c r="L60" s="2378" t="s">
        <v>10</v>
      </c>
      <c r="M60" s="1477">
        <f>R.HN!D42</f>
        <v>0</v>
      </c>
      <c r="N60" s="2374">
        <f t="shared" ref="N60:N62" si="6">M60</f>
        <v>0</v>
      </c>
      <c r="O60" s="2375">
        <f>($F$60-N60)*2160*5.77/1000</f>
        <v>124.63199999999999</v>
      </c>
      <c r="P60" s="2375" t="s">
        <v>8</v>
      </c>
      <c r="Q60" s="2377">
        <f t="shared" ref="Q60" si="7">IF(O60&lt;0,0,O60)</f>
        <v>124.63199999999999</v>
      </c>
      <c r="R60" s="2387" t="s">
        <v>10</v>
      </c>
      <c r="S60" s="441">
        <f>R.HN!E42</f>
        <v>0</v>
      </c>
      <c r="T60" s="2766">
        <f t="shared" ref="T60:T62" si="8">S60</f>
        <v>0</v>
      </c>
      <c r="U60" s="2766">
        <f>($F$60-T60)*2160*5.77/1000</f>
        <v>124.63199999999999</v>
      </c>
      <c r="V60" s="2766" t="s">
        <v>8</v>
      </c>
      <c r="W60" s="2766">
        <f t="shared" ref="W60" si="9">IF(U60&lt;0,0,U60)</f>
        <v>124.63199999999999</v>
      </c>
      <c r="X60" s="2766" t="s">
        <v>10</v>
      </c>
      <c r="Y60" s="2766">
        <f>R.HN!F42</f>
        <v>0</v>
      </c>
      <c r="Z60" s="2766">
        <f t="shared" ref="Z60:Z62" si="10">Y60</f>
        <v>0</v>
      </c>
      <c r="AA60" s="2766">
        <f>($F$60-Z60)*2160*5.77/1000</f>
        <v>124.63199999999999</v>
      </c>
      <c r="AB60" s="2766" t="s">
        <v>8</v>
      </c>
      <c r="AC60" s="2766">
        <f t="shared" ref="AC60" si="11">IF(AA60&lt;0,0,AA60)</f>
        <v>124.63199999999999</v>
      </c>
      <c r="AD60" s="2766" t="s">
        <v>10</v>
      </c>
      <c r="AE60" s="1118"/>
      <c r="AF60" s="758"/>
      <c r="AG60" s="760"/>
      <c r="AH60" s="761"/>
      <c r="AI60" s="762"/>
      <c r="AJ60" s="763"/>
      <c r="AK60" s="1119"/>
      <c r="AL60" s="760"/>
      <c r="AM60" s="760"/>
      <c r="AN60" s="761"/>
      <c r="AO60" s="762"/>
      <c r="AP60" s="763"/>
      <c r="AQ60" s="12" t="s">
        <v>476</v>
      </c>
    </row>
    <row r="61" spans="1:43" ht="48.75" customHeight="1">
      <c r="A61" s="1099" t="s">
        <v>483</v>
      </c>
      <c r="B61" s="3135" t="s">
        <v>484</v>
      </c>
      <c r="C61" s="3628"/>
      <c r="D61" s="1069" t="s">
        <v>431</v>
      </c>
      <c r="E61" s="48" t="s">
        <v>485</v>
      </c>
      <c r="F61" s="407">
        <v>1.5</v>
      </c>
      <c r="G61" s="408">
        <f>R.HN!C43</f>
        <v>1.1399999999999999</v>
      </c>
      <c r="H61" s="2379">
        <f t="shared" si="4"/>
        <v>1.1399999999999999</v>
      </c>
      <c r="I61" s="2375">
        <f>(H61-$F$61)*2430*3.3/1000</f>
        <v>-2.8868400000000007</v>
      </c>
      <c r="J61" s="2375" t="s">
        <v>8</v>
      </c>
      <c r="K61" s="1775">
        <f>IF(H61=0,0,IF(I61&lt;0,0,I61))</f>
        <v>0</v>
      </c>
      <c r="L61" s="2378" t="s">
        <v>9</v>
      </c>
      <c r="M61" s="1477">
        <f>R.HN!D43</f>
        <v>0</v>
      </c>
      <c r="N61" s="2379">
        <f t="shared" si="6"/>
        <v>0</v>
      </c>
      <c r="O61" s="2375">
        <f>(N61-$F$61)*2430*3.3/1000</f>
        <v>-12.028499999999999</v>
      </c>
      <c r="P61" s="2375" t="s">
        <v>8</v>
      </c>
      <c r="Q61" s="1775">
        <f>IF(N61=0,0,IF(O61&lt;0,0,O61))</f>
        <v>0</v>
      </c>
      <c r="R61" s="2387" t="s">
        <v>9</v>
      </c>
      <c r="S61" s="441">
        <f>R.HN!E43</f>
        <v>0</v>
      </c>
      <c r="T61" s="2766">
        <f t="shared" si="8"/>
        <v>0</v>
      </c>
      <c r="U61" s="2766">
        <f>(T61-$F$61)*2430*3.3/1000</f>
        <v>-12.028499999999999</v>
      </c>
      <c r="V61" s="2766" t="s">
        <v>8</v>
      </c>
      <c r="W61" s="2766">
        <f>IF(T61=0,0,IF(U61&lt;0,0,U61))</f>
        <v>0</v>
      </c>
      <c r="X61" s="2766" t="s">
        <v>9</v>
      </c>
      <c r="Y61" s="2766">
        <f>R.HN!F43</f>
        <v>0</v>
      </c>
      <c r="Z61" s="2766">
        <f t="shared" si="10"/>
        <v>0</v>
      </c>
      <c r="AA61" s="2766">
        <f>(Z61-$F$61)*2430*3.3/1000</f>
        <v>-12.028499999999999</v>
      </c>
      <c r="AB61" s="2766" t="s">
        <v>8</v>
      </c>
      <c r="AC61" s="2766">
        <f>IF(Z61=0,0,IF(AA61&lt;0,0,AA61))</f>
        <v>0</v>
      </c>
      <c r="AD61" s="2766" t="s">
        <v>9</v>
      </c>
      <c r="AE61" s="1118"/>
      <c r="AF61" s="758"/>
      <c r="AG61" s="760"/>
      <c r="AH61" s="761"/>
      <c r="AI61" s="764"/>
      <c r="AJ61" s="763"/>
      <c r="AK61" s="1119"/>
      <c r="AL61" s="760"/>
      <c r="AM61" s="760"/>
      <c r="AN61" s="761"/>
      <c r="AO61" s="764"/>
      <c r="AP61" s="763"/>
      <c r="AQ61" s="12" t="s">
        <v>476</v>
      </c>
    </row>
    <row r="62" spans="1:43" ht="48.75" customHeight="1">
      <c r="A62" s="1099" t="s">
        <v>486</v>
      </c>
      <c r="B62" s="3135" t="s">
        <v>487</v>
      </c>
      <c r="C62" s="3628"/>
      <c r="D62" s="1069" t="s">
        <v>431</v>
      </c>
      <c r="E62" s="48" t="s">
        <v>488</v>
      </c>
      <c r="F62" s="412">
        <v>22.5</v>
      </c>
      <c r="G62" s="408">
        <f>R.HN!C44</f>
        <v>23.5</v>
      </c>
      <c r="H62" s="2374">
        <f t="shared" si="4"/>
        <v>23.5</v>
      </c>
      <c r="I62" s="2375">
        <f>($F$62-H62)*2430*4/1000</f>
        <v>-9.7200000000000006</v>
      </c>
      <c r="J62" s="2375" t="s">
        <v>8</v>
      </c>
      <c r="K62" s="1764">
        <f>IF(H62=0,0,IF(I62&lt;0,0,I62))</f>
        <v>0</v>
      </c>
      <c r="L62" s="2378" t="s">
        <v>9</v>
      </c>
      <c r="M62" s="1477">
        <f>R.HN!D44</f>
        <v>0</v>
      </c>
      <c r="N62" s="2374">
        <f t="shared" si="6"/>
        <v>0</v>
      </c>
      <c r="O62" s="2375">
        <f>($F$62-N62)*2430*4/1000</f>
        <v>218.7</v>
      </c>
      <c r="P62" s="2375" t="s">
        <v>8</v>
      </c>
      <c r="Q62" s="1764">
        <f>IF(N62=0,0,IF(O62&lt;0,0,O62))</f>
        <v>0</v>
      </c>
      <c r="R62" s="2387" t="s">
        <v>9</v>
      </c>
      <c r="S62" s="441">
        <f>R.HN!E44</f>
        <v>0</v>
      </c>
      <c r="T62" s="2766">
        <f t="shared" si="8"/>
        <v>0</v>
      </c>
      <c r="U62" s="2766">
        <f>($F$62-T62)*2430*4/1000</f>
        <v>218.7</v>
      </c>
      <c r="V62" s="2766" t="s">
        <v>8</v>
      </c>
      <c r="W62" s="2766">
        <f>IF(T62=0,0,IF(U62&lt;0,0,U62))</f>
        <v>0</v>
      </c>
      <c r="X62" s="2766" t="s">
        <v>9</v>
      </c>
      <c r="Y62" s="2766">
        <f>R.HN!F44</f>
        <v>0</v>
      </c>
      <c r="Z62" s="2766">
        <f t="shared" si="10"/>
        <v>0</v>
      </c>
      <c r="AA62" s="2766">
        <f>($F$62-Z62)*2430*4/1000</f>
        <v>218.7</v>
      </c>
      <c r="AB62" s="2766" t="s">
        <v>8</v>
      </c>
      <c r="AC62" s="2766">
        <f>IF(Z62=0,0,IF(AA62&lt;0,0,AA62))</f>
        <v>0</v>
      </c>
      <c r="AD62" s="2766" t="s">
        <v>9</v>
      </c>
      <c r="AE62" s="1119"/>
      <c r="AF62" s="760"/>
      <c r="AG62" s="760"/>
      <c r="AH62" s="761"/>
      <c r="AI62" s="762"/>
      <c r="AJ62" s="763"/>
      <c r="AK62" s="1119"/>
      <c r="AL62" s="760"/>
      <c r="AM62" s="760"/>
      <c r="AN62" s="761"/>
      <c r="AO62" s="762"/>
      <c r="AP62" s="763"/>
      <c r="AQ62" s="12" t="s">
        <v>476</v>
      </c>
    </row>
    <row r="63" spans="1:43" ht="48.75" customHeight="1">
      <c r="A63" s="1099" t="s">
        <v>489</v>
      </c>
      <c r="B63" s="3135" t="s">
        <v>490</v>
      </c>
      <c r="C63" s="3628"/>
      <c r="D63" s="1069" t="s">
        <v>431</v>
      </c>
      <c r="E63" s="592" t="s">
        <v>491</v>
      </c>
      <c r="F63" s="407">
        <v>7.5</v>
      </c>
      <c r="G63" s="408">
        <f>R.HN!C45</f>
        <v>8.3000000000000007</v>
      </c>
      <c r="H63" s="2374">
        <f>R.HN!C45</f>
        <v>8.3000000000000007</v>
      </c>
      <c r="I63" s="2375">
        <f>($F$63-H63)*2430*0.43/1000</f>
        <v>-0.83592000000000077</v>
      </c>
      <c r="J63" s="2375" t="s">
        <v>8</v>
      </c>
      <c r="K63" s="1775">
        <f>IF(H63=0,0,IF(I63&lt;0,0,I63))</f>
        <v>0</v>
      </c>
      <c r="L63" s="2378" t="s">
        <v>9</v>
      </c>
      <c r="M63" s="1477">
        <f>R.HN!D45</f>
        <v>0</v>
      </c>
      <c r="N63" s="2374">
        <f>R.HN!D45</f>
        <v>0</v>
      </c>
      <c r="O63" s="2375">
        <f>($F$63-N63)*2430*0.43/1000</f>
        <v>7.8367500000000003</v>
      </c>
      <c r="P63" s="2375" t="s">
        <v>8</v>
      </c>
      <c r="Q63" s="1775">
        <f>IF(N63=0,0,IF(O63&lt;0,0,O63))</f>
        <v>0</v>
      </c>
      <c r="R63" s="2387" t="s">
        <v>9</v>
      </c>
      <c r="S63" s="441">
        <f>R.HN!E45</f>
        <v>0</v>
      </c>
      <c r="T63" s="2766">
        <f>R.HN!E45</f>
        <v>0</v>
      </c>
      <c r="U63" s="2766">
        <f>($F$63-T63)*2430*0.43/1000</f>
        <v>7.8367500000000003</v>
      </c>
      <c r="V63" s="2766" t="s">
        <v>8</v>
      </c>
      <c r="W63" s="2766">
        <f>IF(T63=0,0,IF(U63&lt;0,0,U63))</f>
        <v>0</v>
      </c>
      <c r="X63" s="2766" t="s">
        <v>9</v>
      </c>
      <c r="Y63" s="2766">
        <f>R.HN!F45</f>
        <v>0</v>
      </c>
      <c r="Z63" s="2766">
        <f>R.HN!F45</f>
        <v>0</v>
      </c>
      <c r="AA63" s="2766">
        <f>($F$63-Z63)*2430*0.43/1000</f>
        <v>7.8367500000000003</v>
      </c>
      <c r="AB63" s="2766" t="s">
        <v>8</v>
      </c>
      <c r="AC63" s="2766">
        <f>IF(Z63=0,0,IF(AA63&lt;0,0,AA63))</f>
        <v>0</v>
      </c>
      <c r="AD63" s="2766" t="s">
        <v>9</v>
      </c>
      <c r="AE63" s="1119"/>
      <c r="AF63" s="760"/>
      <c r="AG63" s="760"/>
      <c r="AH63" s="761"/>
      <c r="AI63" s="764"/>
      <c r="AJ63" s="763"/>
      <c r="AK63" s="1119"/>
      <c r="AL63" s="760"/>
      <c r="AM63" s="760"/>
      <c r="AN63" s="761"/>
      <c r="AO63" s="764"/>
      <c r="AP63" s="763"/>
      <c r="AQ63" s="12" t="s">
        <v>476</v>
      </c>
    </row>
    <row r="64" spans="1:43" ht="48.75" customHeight="1">
      <c r="A64" s="1099" t="s">
        <v>492</v>
      </c>
      <c r="B64" s="3135" t="s">
        <v>493</v>
      </c>
      <c r="C64" s="3628"/>
      <c r="D64" s="1069" t="s">
        <v>5</v>
      </c>
      <c r="E64" s="48" t="s">
        <v>494</v>
      </c>
      <c r="F64" s="1120"/>
      <c r="G64" s="408"/>
      <c r="H64" s="2374">
        <f>R.HN!C46</f>
        <v>7.3</v>
      </c>
      <c r="I64" s="2375"/>
      <c r="J64" s="2375"/>
      <c r="K64" s="2377"/>
      <c r="L64" s="2378"/>
      <c r="M64" s="1477"/>
      <c r="N64" s="2374">
        <f>R.HN!D46</f>
        <v>0</v>
      </c>
      <c r="O64" s="2375"/>
      <c r="P64" s="2375"/>
      <c r="Q64" s="2377"/>
      <c r="R64" s="2387"/>
      <c r="S64" s="441"/>
      <c r="T64" s="2766">
        <f>R.HN!E46</f>
        <v>0</v>
      </c>
      <c r="U64" s="2766"/>
      <c r="V64" s="2766"/>
      <c r="W64" s="2766"/>
      <c r="X64" s="2766"/>
      <c r="Y64" s="2766"/>
      <c r="Z64" s="2766">
        <f>R.HN!F46</f>
        <v>0</v>
      </c>
      <c r="AA64" s="2766"/>
      <c r="AB64" s="2766"/>
      <c r="AC64" s="2766"/>
      <c r="AD64" s="2766"/>
      <c r="AE64" s="1119"/>
      <c r="AF64" s="760"/>
      <c r="AG64" s="760"/>
      <c r="AH64" s="761"/>
      <c r="AI64" s="764"/>
      <c r="AJ64" s="763"/>
      <c r="AK64" s="1119"/>
      <c r="AL64" s="760"/>
      <c r="AM64" s="760"/>
      <c r="AN64" s="761"/>
      <c r="AO64" s="764"/>
      <c r="AP64" s="763"/>
      <c r="AQ64" s="12" t="s">
        <v>476</v>
      </c>
    </row>
    <row r="65" spans="1:43" ht="42" customHeight="1">
      <c r="A65" s="1099" t="s">
        <v>495</v>
      </c>
      <c r="B65" s="3135" t="s">
        <v>496</v>
      </c>
      <c r="C65" s="3628"/>
      <c r="D65" s="1069" t="s">
        <v>5</v>
      </c>
      <c r="E65" s="592" t="s">
        <v>497</v>
      </c>
      <c r="F65" s="407"/>
      <c r="G65" s="408">
        <f>R.HN!C44</f>
        <v>23.5</v>
      </c>
      <c r="H65" s="2374">
        <f>R.HN!C47</f>
        <v>5.4</v>
      </c>
      <c r="I65" s="2375">
        <f>($F$63-H65)*2430*0.43/1000</f>
        <v>2.1942899999999996</v>
      </c>
      <c r="J65" s="2375"/>
      <c r="K65" s="2377"/>
      <c r="L65" s="2378"/>
      <c r="M65" s="1477">
        <f>R.HN!D44</f>
        <v>0</v>
      </c>
      <c r="N65" s="2374">
        <f>R.HN!D47</f>
        <v>0</v>
      </c>
      <c r="O65" s="2375">
        <f>($F$63-N65)*2430*0.43/1000</f>
        <v>7.8367500000000003</v>
      </c>
      <c r="P65" s="2375"/>
      <c r="Q65" s="2377"/>
      <c r="R65" s="2387"/>
      <c r="S65" s="441">
        <f>R.HN!E44</f>
        <v>0</v>
      </c>
      <c r="T65" s="2766">
        <f>R.HN!E47</f>
        <v>0</v>
      </c>
      <c r="U65" s="2766">
        <f>($F$63-T65)*2430*0.43/1000</f>
        <v>7.8367500000000003</v>
      </c>
      <c r="V65" s="2766"/>
      <c r="W65" s="2766"/>
      <c r="X65" s="2766"/>
      <c r="Y65" s="2766">
        <f>R.HN!F44</f>
        <v>0</v>
      </c>
      <c r="Z65" s="2766">
        <f>R.HN!F47</f>
        <v>0</v>
      </c>
      <c r="AA65" s="2766">
        <f>($F$63-Z65)*2430*0.43/1000</f>
        <v>7.8367500000000003</v>
      </c>
      <c r="AB65" s="2766"/>
      <c r="AC65" s="2766"/>
      <c r="AD65" s="2766"/>
      <c r="AE65" s="1119"/>
      <c r="AF65" s="760"/>
      <c r="AG65" s="760"/>
      <c r="AH65" s="761"/>
      <c r="AI65" s="764"/>
      <c r="AJ65" s="763"/>
      <c r="AK65" s="1119"/>
      <c r="AL65" s="760"/>
      <c r="AM65" s="760"/>
      <c r="AN65" s="761"/>
      <c r="AO65" s="764"/>
      <c r="AP65" s="763"/>
      <c r="AQ65" s="12" t="s">
        <v>476</v>
      </c>
    </row>
    <row r="66" spans="1:43" ht="42" hidden="1" customHeight="1">
      <c r="A66" s="1099" t="s">
        <v>498</v>
      </c>
      <c r="B66" s="3135" t="s">
        <v>499</v>
      </c>
      <c r="C66" s="3628"/>
      <c r="D66" s="1069" t="s">
        <v>5</v>
      </c>
      <c r="E66" s="592" t="s">
        <v>497</v>
      </c>
      <c r="F66" s="407"/>
      <c r="G66" s="408"/>
      <c r="H66" s="2380">
        <f>R.HN!C48</f>
        <v>0</v>
      </c>
      <c r="I66" s="2381"/>
      <c r="J66" s="2382"/>
      <c r="K66" s="2383"/>
      <c r="L66" s="2384"/>
      <c r="M66" s="409"/>
      <c r="N66" s="2380">
        <f>R.HN!D48</f>
        <v>0</v>
      </c>
      <c r="O66" s="2381"/>
      <c r="P66" s="2382"/>
      <c r="Q66" s="2383"/>
      <c r="R66" s="2387"/>
      <c r="S66" s="441"/>
      <c r="T66" s="2766">
        <f>R.HN!J48</f>
        <v>0</v>
      </c>
      <c r="U66" s="2766"/>
      <c r="V66" s="2766"/>
      <c r="W66" s="2766"/>
      <c r="X66" s="2766"/>
      <c r="Y66" s="2766"/>
      <c r="Z66" s="2766">
        <f>R.HN!P48</f>
        <v>0</v>
      </c>
      <c r="AA66" s="2766"/>
      <c r="AB66" s="2766"/>
      <c r="AC66" s="2766"/>
      <c r="AD66" s="2766"/>
      <c r="AE66" s="1119"/>
      <c r="AF66" s="760"/>
      <c r="AG66" s="760"/>
      <c r="AH66" s="761"/>
      <c r="AI66" s="764"/>
      <c r="AJ66" s="763"/>
      <c r="AK66" s="1119"/>
      <c r="AL66" s="760"/>
      <c r="AM66" s="760"/>
      <c r="AN66" s="761"/>
      <c r="AO66" s="764"/>
      <c r="AP66" s="763"/>
      <c r="AQ66" s="12" t="s">
        <v>476</v>
      </c>
    </row>
    <row r="67" spans="1:43" ht="42" customHeight="1">
      <c r="A67" s="1099" t="s">
        <v>500</v>
      </c>
      <c r="B67" s="3135" t="s">
        <v>373</v>
      </c>
      <c r="C67" s="3628"/>
      <c r="D67" s="1069" t="s">
        <v>3</v>
      </c>
      <c r="E67" s="592" t="s">
        <v>374</v>
      </c>
      <c r="F67" s="1121">
        <v>15</v>
      </c>
      <c r="G67" s="408"/>
      <c r="H67" s="2385">
        <f>IFERROR('ED-XI DEN'!L15*100,"")</f>
        <v>15.457983884229568</v>
      </c>
      <c r="I67" s="2381">
        <f>($F$67-H67)*2295/100</f>
        <v>-10.510730143068592</v>
      </c>
      <c r="J67" s="2382" t="s">
        <v>8</v>
      </c>
      <c r="K67" s="2383">
        <f>IFERROR(IF(I67&lt;0,0,I67),"")</f>
        <v>0</v>
      </c>
      <c r="L67" s="2384" t="s">
        <v>10</v>
      </c>
      <c r="M67" s="409"/>
      <c r="N67" s="2388" t="s">
        <v>1090</v>
      </c>
      <c r="O67" s="2381"/>
      <c r="P67" s="2382"/>
      <c r="Q67" s="2383"/>
      <c r="R67" s="2387"/>
      <c r="S67" s="441"/>
      <c r="T67" s="2766" t="s">
        <v>47</v>
      </c>
      <c r="U67" s="2766"/>
      <c r="V67" s="2766"/>
      <c r="W67" s="2766"/>
      <c r="X67" s="2766"/>
      <c r="Y67" s="2766"/>
      <c r="Z67" s="2766" t="s">
        <v>47</v>
      </c>
      <c r="AA67" s="2766"/>
      <c r="AB67" s="2766"/>
      <c r="AC67" s="2766"/>
      <c r="AD67" s="2766"/>
      <c r="AE67" s="1119"/>
      <c r="AF67" s="760"/>
      <c r="AG67" s="760"/>
      <c r="AH67" s="761"/>
      <c r="AI67" s="764"/>
      <c r="AJ67" s="763"/>
      <c r="AK67" s="1119"/>
      <c r="AL67" s="760"/>
      <c r="AM67" s="760"/>
      <c r="AN67" s="761"/>
      <c r="AO67" s="764"/>
      <c r="AP67" s="763"/>
      <c r="AQ67" s="12" t="s">
        <v>476</v>
      </c>
    </row>
    <row r="68" spans="1:43" ht="42" customHeight="1">
      <c r="A68" s="1099" t="s">
        <v>501</v>
      </c>
      <c r="B68" s="3135" t="s">
        <v>375</v>
      </c>
      <c r="C68" s="3628"/>
      <c r="D68" s="1069" t="s">
        <v>3</v>
      </c>
      <c r="E68" s="592" t="s">
        <v>376</v>
      </c>
      <c r="F68" s="1121">
        <v>12</v>
      </c>
      <c r="G68" s="408"/>
      <c r="H68" s="2385">
        <f>IFERROR('ED-XI DEN'!L16*100,"")</f>
        <v>8.4863740253278852</v>
      </c>
      <c r="I68" s="2381">
        <f>($F$68-H68)*2295/100</f>
        <v>80.637716118725038</v>
      </c>
      <c r="J68" s="2382" t="s">
        <v>8</v>
      </c>
      <c r="K68" s="2383">
        <f t="shared" ref="K68:K70" si="12">IFERROR(IF(I68&lt;0,0,I68),"")</f>
        <v>80.637716118725038</v>
      </c>
      <c r="L68" s="2384" t="s">
        <v>10</v>
      </c>
      <c r="M68" s="409"/>
      <c r="N68" s="2388" t="s">
        <v>1090</v>
      </c>
      <c r="O68" s="2381"/>
      <c r="P68" s="2382"/>
      <c r="Q68" s="2383"/>
      <c r="R68" s="2387"/>
      <c r="S68" s="441"/>
      <c r="T68" s="2766" t="s">
        <v>47</v>
      </c>
      <c r="U68" s="2766"/>
      <c r="V68" s="2766"/>
      <c r="W68" s="2766"/>
      <c r="X68" s="2766"/>
      <c r="Y68" s="2766"/>
      <c r="Z68" s="2766" t="s">
        <v>47</v>
      </c>
      <c r="AA68" s="2766"/>
      <c r="AB68" s="2766"/>
      <c r="AC68" s="2766"/>
      <c r="AD68" s="2766"/>
      <c r="AE68" s="1119"/>
      <c r="AF68" s="760"/>
      <c r="AG68" s="760"/>
      <c r="AH68" s="761"/>
      <c r="AI68" s="764"/>
      <c r="AJ68" s="763"/>
      <c r="AK68" s="1119"/>
      <c r="AL68" s="760"/>
      <c r="AM68" s="760"/>
      <c r="AN68" s="761"/>
      <c r="AO68" s="764"/>
      <c r="AP68" s="763"/>
      <c r="AQ68" s="12" t="s">
        <v>476</v>
      </c>
    </row>
    <row r="69" spans="1:43" ht="34.5" hidden="1" customHeight="1">
      <c r="A69" s="1099" t="s">
        <v>502</v>
      </c>
      <c r="B69" s="3135" t="s">
        <v>377</v>
      </c>
      <c r="C69" s="3628"/>
      <c r="D69" s="1069" t="s">
        <v>3</v>
      </c>
      <c r="E69" s="592" t="s">
        <v>374</v>
      </c>
      <c r="F69" s="1121">
        <v>15</v>
      </c>
      <c r="G69" s="408"/>
      <c r="H69" s="2385" t="str">
        <f>IFERROR('ED-XI DEN'!L17*100,"")</f>
        <v/>
      </c>
      <c r="I69" s="2381" t="e">
        <f>($F$69-H69)*2295/100</f>
        <v>#VALUE!</v>
      </c>
      <c r="J69" s="2382" t="s">
        <v>8</v>
      </c>
      <c r="K69" s="2383" t="str">
        <f t="shared" si="12"/>
        <v/>
      </c>
      <c r="L69" s="2384" t="s">
        <v>10</v>
      </c>
      <c r="M69" s="409"/>
      <c r="N69" s="2388" t="s">
        <v>1090</v>
      </c>
      <c r="O69" s="2381"/>
      <c r="P69" s="2382"/>
      <c r="Q69" s="2383"/>
      <c r="R69" s="2387"/>
      <c r="S69" s="441"/>
      <c r="T69" s="2766" t="s">
        <v>47</v>
      </c>
      <c r="U69" s="2766"/>
      <c r="V69" s="2766"/>
      <c r="W69" s="2766"/>
      <c r="X69" s="2766"/>
      <c r="Y69" s="2766"/>
      <c r="Z69" s="2766" t="s">
        <v>47</v>
      </c>
      <c r="AA69" s="2766"/>
      <c r="AB69" s="2766"/>
      <c r="AC69" s="2766"/>
      <c r="AD69" s="2766"/>
      <c r="AE69" s="1119"/>
      <c r="AF69" s="760"/>
      <c r="AG69" s="760"/>
      <c r="AH69" s="761"/>
      <c r="AI69" s="764"/>
      <c r="AJ69" s="763"/>
      <c r="AK69" s="1119"/>
      <c r="AL69" s="760"/>
      <c r="AM69" s="760"/>
      <c r="AN69" s="761"/>
      <c r="AO69" s="764"/>
      <c r="AP69" s="763"/>
      <c r="AQ69" s="12" t="s">
        <v>476</v>
      </c>
    </row>
    <row r="70" spans="1:43" ht="34.5" hidden="1" customHeight="1">
      <c r="A70" s="1099" t="s">
        <v>503</v>
      </c>
      <c r="B70" s="3135" t="s">
        <v>378</v>
      </c>
      <c r="C70" s="3628"/>
      <c r="D70" s="1069" t="s">
        <v>3</v>
      </c>
      <c r="E70" s="592" t="s">
        <v>376</v>
      </c>
      <c r="F70" s="1121">
        <v>12</v>
      </c>
      <c r="G70" s="408"/>
      <c r="H70" s="2385" t="str">
        <f>IFERROR('ED-XI DEN'!L18*100,"")</f>
        <v/>
      </c>
      <c r="I70" s="2381" t="e">
        <f>($F$70-H70)*2295/100</f>
        <v>#VALUE!</v>
      </c>
      <c r="J70" s="2382" t="s">
        <v>8</v>
      </c>
      <c r="K70" s="2383" t="str">
        <f t="shared" si="12"/>
        <v/>
      </c>
      <c r="L70" s="2384" t="s">
        <v>10</v>
      </c>
      <c r="M70" s="409"/>
      <c r="N70" s="2388" t="s">
        <v>1090</v>
      </c>
      <c r="O70" s="2381"/>
      <c r="P70" s="2382"/>
      <c r="Q70" s="2383"/>
      <c r="R70" s="2387"/>
      <c r="S70" s="441"/>
      <c r="T70" s="2766" t="s">
        <v>47</v>
      </c>
      <c r="U70" s="2766"/>
      <c r="V70" s="2766"/>
      <c r="W70" s="2766"/>
      <c r="X70" s="2766"/>
      <c r="Y70" s="2766"/>
      <c r="Z70" s="2766" t="s">
        <v>47</v>
      </c>
      <c r="AA70" s="2766"/>
      <c r="AB70" s="2766"/>
      <c r="AC70" s="2766"/>
      <c r="AD70" s="2766"/>
      <c r="AE70" s="1119"/>
      <c r="AF70" s="760"/>
      <c r="AG70" s="760"/>
      <c r="AH70" s="761"/>
      <c r="AI70" s="764"/>
      <c r="AJ70" s="763"/>
      <c r="AK70" s="1119"/>
      <c r="AL70" s="760"/>
      <c r="AM70" s="760"/>
      <c r="AN70" s="761"/>
      <c r="AO70" s="764"/>
      <c r="AP70" s="763"/>
      <c r="AQ70" s="12" t="s">
        <v>476</v>
      </c>
    </row>
    <row r="71" spans="1:43" ht="34.5" customHeight="1">
      <c r="A71" s="1099" t="s">
        <v>504</v>
      </c>
      <c r="B71" s="3135" t="s">
        <v>379</v>
      </c>
      <c r="C71" s="3628"/>
      <c r="D71" s="1069" t="s">
        <v>3</v>
      </c>
      <c r="E71" s="48" t="s">
        <v>380</v>
      </c>
      <c r="F71" s="1122"/>
      <c r="G71" s="1123"/>
      <c r="H71" s="2386">
        <f>IFERROR('ED-XI DEN'!L19*100,"")</f>
        <v>0.84937712344280936</v>
      </c>
      <c r="I71" s="2381"/>
      <c r="J71" s="2382"/>
      <c r="K71" s="2383"/>
      <c r="L71" s="2384"/>
      <c r="M71" s="409">
        <f>R.HN!D49</f>
        <v>0</v>
      </c>
      <c r="N71" s="2388" t="s">
        <v>1091</v>
      </c>
      <c r="O71" s="2381"/>
      <c r="P71" s="2382"/>
      <c r="Q71" s="2383"/>
      <c r="R71" s="2387"/>
      <c r="S71" s="441"/>
      <c r="T71" s="2766" t="s">
        <v>47</v>
      </c>
      <c r="U71" s="2766"/>
      <c r="V71" s="2766"/>
      <c r="W71" s="2766"/>
      <c r="X71" s="2766"/>
      <c r="Y71" s="2766"/>
      <c r="Z71" s="2766" t="s">
        <v>47</v>
      </c>
      <c r="AA71" s="2766"/>
      <c r="AB71" s="2766"/>
      <c r="AC71" s="2766"/>
      <c r="AD71" s="2766"/>
      <c r="AE71" s="1119"/>
      <c r="AF71" s="760"/>
      <c r="AG71" s="760"/>
      <c r="AH71" s="761"/>
      <c r="AI71" s="764"/>
      <c r="AJ71" s="763"/>
      <c r="AK71" s="1119"/>
      <c r="AL71" s="760"/>
      <c r="AM71" s="760"/>
      <c r="AN71" s="761"/>
      <c r="AO71" s="764"/>
      <c r="AP71" s="763"/>
      <c r="AQ71" s="12" t="s">
        <v>476</v>
      </c>
    </row>
    <row r="72" spans="1:43" ht="34.5" customHeight="1">
      <c r="A72" s="1099" t="s">
        <v>505</v>
      </c>
      <c r="B72" s="3135" t="s">
        <v>382</v>
      </c>
      <c r="C72" s="3628"/>
      <c r="D72" s="1069" t="s">
        <v>3</v>
      </c>
      <c r="E72" s="48" t="s">
        <v>383</v>
      </c>
      <c r="F72" s="1122"/>
      <c r="G72" s="1123"/>
      <c r="H72" s="2386">
        <f>IFERROR('ED-XI DEN'!L20*100,"")</f>
        <v>0.50395968322534201</v>
      </c>
      <c r="I72" s="2381"/>
      <c r="J72" s="2382"/>
      <c r="K72" s="2383"/>
      <c r="L72" s="2384"/>
      <c r="M72" s="409">
        <f>R.HN!D50</f>
        <v>0.875</v>
      </c>
      <c r="N72" s="2388" t="s">
        <v>1091</v>
      </c>
      <c r="O72" s="2381"/>
      <c r="P72" s="2382"/>
      <c r="Q72" s="2383"/>
      <c r="R72" s="2387"/>
      <c r="S72" s="441"/>
      <c r="T72" s="2766" t="s">
        <v>47</v>
      </c>
      <c r="U72" s="2766"/>
      <c r="V72" s="2766"/>
      <c r="W72" s="2766"/>
      <c r="X72" s="2766"/>
      <c r="Y72" s="2766"/>
      <c r="Z72" s="2766" t="s">
        <v>47</v>
      </c>
      <c r="AA72" s="2766"/>
      <c r="AB72" s="2766"/>
      <c r="AC72" s="2766"/>
      <c r="AD72" s="2766"/>
      <c r="AE72" s="1119"/>
      <c r="AF72" s="760"/>
      <c r="AG72" s="760"/>
      <c r="AH72" s="761"/>
      <c r="AI72" s="764"/>
      <c r="AJ72" s="763"/>
      <c r="AK72" s="1119"/>
      <c r="AL72" s="760"/>
      <c r="AM72" s="760"/>
      <c r="AN72" s="761"/>
      <c r="AO72" s="764"/>
      <c r="AP72" s="763"/>
      <c r="AQ72" s="12" t="s">
        <v>476</v>
      </c>
    </row>
    <row r="73" spans="1:43" ht="48" customHeight="1">
      <c r="A73" s="1110" t="s">
        <v>73</v>
      </c>
      <c r="B73" s="303"/>
      <c r="C73" s="303"/>
      <c r="D73" s="303"/>
      <c r="E73" s="296"/>
      <c r="F73" s="303"/>
      <c r="G73" s="303"/>
      <c r="H73" s="303"/>
      <c r="I73" s="303"/>
      <c r="J73" s="303"/>
      <c r="K73" s="303"/>
      <c r="L73" s="303"/>
      <c r="M73" s="303"/>
      <c r="N73" s="308"/>
      <c r="O73" s="303"/>
      <c r="P73" s="303"/>
      <c r="Q73" s="303"/>
      <c r="R73" s="308"/>
      <c r="S73" s="303"/>
      <c r="T73" s="760"/>
      <c r="U73" s="760"/>
      <c r="V73" s="761"/>
      <c r="W73" s="764"/>
      <c r="X73" s="763"/>
      <c r="Y73" s="1119"/>
      <c r="Z73" s="760"/>
      <c r="AA73" s="760"/>
      <c r="AB73" s="761"/>
      <c r="AC73" s="764"/>
      <c r="AD73" s="763"/>
      <c r="AE73" s="1119"/>
      <c r="AF73" s="760"/>
      <c r="AG73" s="760"/>
      <c r="AH73" s="761"/>
      <c r="AI73" s="764"/>
      <c r="AJ73" s="763"/>
      <c r="AK73" s="1119"/>
      <c r="AL73" s="760"/>
      <c r="AM73" s="760"/>
      <c r="AN73" s="761"/>
      <c r="AO73" s="764"/>
      <c r="AP73" s="763"/>
    </row>
    <row r="74" spans="1:43" ht="33.75" customHeight="1">
      <c r="A74" s="1099" t="s">
        <v>238</v>
      </c>
      <c r="B74" s="3135" t="s">
        <v>61</v>
      </c>
      <c r="C74" s="3628"/>
      <c r="D74" s="277" t="s">
        <v>63</v>
      </c>
      <c r="E74" s="277" t="s">
        <v>64</v>
      </c>
      <c r="F74" s="415"/>
      <c r="G74" s="415"/>
      <c r="H74" s="2389" t="s">
        <v>45</v>
      </c>
      <c r="I74" s="2390"/>
      <c r="J74" s="2390"/>
      <c r="K74" s="2390" t="s">
        <v>62</v>
      </c>
      <c r="L74" s="2391"/>
      <c r="M74" s="277"/>
      <c r="N74" s="2389" t="s">
        <v>45</v>
      </c>
      <c r="O74" s="2390"/>
      <c r="P74" s="2390"/>
      <c r="Q74" s="2390" t="s">
        <v>62</v>
      </c>
      <c r="R74" s="2391"/>
      <c r="S74" s="1066"/>
      <c r="T74" s="2765" t="s">
        <v>45</v>
      </c>
      <c r="U74" s="2764"/>
      <c r="V74" s="2764"/>
      <c r="W74" s="2764" t="s">
        <v>62</v>
      </c>
      <c r="X74" s="2764"/>
      <c r="Y74" s="2764"/>
      <c r="Z74" s="2764" t="s">
        <v>45</v>
      </c>
      <c r="AA74" s="2764"/>
      <c r="AB74" s="2764"/>
      <c r="AC74" s="2764" t="s">
        <v>62</v>
      </c>
      <c r="AD74" s="2764"/>
      <c r="AE74" s="428"/>
      <c r="AF74" s="766"/>
      <c r="AG74" s="766"/>
      <c r="AH74" s="766"/>
      <c r="AI74" s="766"/>
      <c r="AJ74" s="1124"/>
      <c r="AK74" s="428"/>
      <c r="AL74" s="766"/>
      <c r="AM74" s="766"/>
      <c r="AN74" s="766"/>
      <c r="AO74" s="766"/>
      <c r="AP74" s="1124"/>
    </row>
    <row r="75" spans="1:43" ht="44.25" customHeight="1">
      <c r="A75" s="1099" t="s">
        <v>506</v>
      </c>
      <c r="B75" s="3135" t="s">
        <v>474</v>
      </c>
      <c r="C75" s="3628"/>
      <c r="D75" s="247" t="s">
        <v>195</v>
      </c>
      <c r="E75" s="48" t="s">
        <v>720</v>
      </c>
      <c r="F75" s="416"/>
      <c r="G75" s="416"/>
      <c r="H75" s="3708">
        <f>'R.FILE GOC'!H75</f>
        <v>58</v>
      </c>
      <c r="I75" s="3709"/>
      <c r="J75" s="3709"/>
      <c r="K75" s="3709">
        <f>'R.FILE GOC'!K75</f>
        <v>60</v>
      </c>
      <c r="L75" s="3710"/>
      <c r="M75" s="1125"/>
      <c r="N75" s="3708">
        <f>'R.FILE GOC'!N75</f>
        <v>0</v>
      </c>
      <c r="O75" s="3709"/>
      <c r="P75" s="3709"/>
      <c r="Q75" s="3709">
        <f>'R.FILE GOC'!Q75</f>
        <v>0</v>
      </c>
      <c r="R75" s="3711"/>
      <c r="S75" s="1065"/>
      <c r="T75" s="2765">
        <f>'R.FILE GOC'!T75</f>
        <v>0</v>
      </c>
      <c r="U75" s="2764"/>
      <c r="V75" s="2764"/>
      <c r="W75" s="2764">
        <f>'R.FILE GOC'!W75</f>
        <v>0</v>
      </c>
      <c r="X75" s="2764"/>
      <c r="Y75" s="2764"/>
      <c r="Z75" s="2764">
        <f>'R.FILE GOC'!Z75</f>
        <v>0</v>
      </c>
      <c r="AA75" s="2764"/>
      <c r="AB75" s="2764"/>
      <c r="AC75" s="2764">
        <f>'R.FILE GOC'!AC75</f>
        <v>0</v>
      </c>
      <c r="AD75" s="2764"/>
      <c r="AE75" s="1068"/>
      <c r="AF75" s="765"/>
      <c r="AG75" s="765"/>
      <c r="AH75" s="765"/>
      <c r="AI75" s="765"/>
      <c r="AJ75" s="1068"/>
      <c r="AK75" s="1068"/>
      <c r="AL75" s="765"/>
      <c r="AM75" s="765"/>
      <c r="AN75" s="765"/>
      <c r="AO75" s="765"/>
      <c r="AP75" s="1068"/>
      <c r="AQ75" s="12" t="s">
        <v>476</v>
      </c>
    </row>
    <row r="76" spans="1:43" ht="44.25" customHeight="1">
      <c r="A76" s="1099" t="s">
        <v>508</v>
      </c>
      <c r="B76" s="3135" t="s">
        <v>478</v>
      </c>
      <c r="C76" s="3628"/>
      <c r="D76" s="247" t="s">
        <v>195</v>
      </c>
      <c r="E76" s="48" t="s">
        <v>720</v>
      </c>
      <c r="F76" s="416"/>
      <c r="G76" s="416"/>
      <c r="H76" s="3708">
        <f>'R.FILE GOC'!H76</f>
        <v>58</v>
      </c>
      <c r="I76" s="3709"/>
      <c r="J76" s="3709"/>
      <c r="K76" s="3709">
        <f>'R.FILE GOC'!K76</f>
        <v>57</v>
      </c>
      <c r="L76" s="3710"/>
      <c r="M76" s="1125"/>
      <c r="N76" s="3708">
        <f>'R.FILE GOC'!N76</f>
        <v>0</v>
      </c>
      <c r="O76" s="3709"/>
      <c r="P76" s="3709"/>
      <c r="Q76" s="3709">
        <f>'R.FILE GOC'!Q76</f>
        <v>0</v>
      </c>
      <c r="R76" s="3711"/>
      <c r="S76" s="1065"/>
      <c r="T76" s="2765">
        <f>'R.FILE GOC'!T76</f>
        <v>0</v>
      </c>
      <c r="U76" s="2764"/>
      <c r="V76" s="2764"/>
      <c r="W76" s="2764">
        <f>'R.FILE GOC'!W76</f>
        <v>0</v>
      </c>
      <c r="X76" s="2764"/>
      <c r="Y76" s="2764"/>
      <c r="Z76" s="2764">
        <f>'R.FILE GOC'!Z76</f>
        <v>0</v>
      </c>
      <c r="AA76" s="2764"/>
      <c r="AB76" s="2764"/>
      <c r="AC76" s="2764">
        <f>'R.FILE GOC'!AC76</f>
        <v>0</v>
      </c>
      <c r="AD76" s="2764"/>
      <c r="AE76" s="1068"/>
      <c r="AF76" s="765"/>
      <c r="AG76" s="765"/>
      <c r="AH76" s="765"/>
      <c r="AI76" s="765"/>
      <c r="AJ76" s="1068"/>
      <c r="AK76" s="1068"/>
      <c r="AL76" s="765"/>
      <c r="AM76" s="765"/>
      <c r="AN76" s="765"/>
      <c r="AO76" s="765"/>
      <c r="AP76" s="1068"/>
      <c r="AQ76" s="12" t="s">
        <v>476</v>
      </c>
    </row>
    <row r="77" spans="1:43" ht="44.25" customHeight="1">
      <c r="A77" s="1099" t="s">
        <v>509</v>
      </c>
      <c r="B77" s="3135" t="s">
        <v>574</v>
      </c>
      <c r="C77" s="3628"/>
      <c r="D77" s="247" t="s">
        <v>195</v>
      </c>
      <c r="E77" s="48" t="s">
        <v>720</v>
      </c>
      <c r="F77" s="425"/>
      <c r="G77" s="425"/>
      <c r="H77" s="3708">
        <f>'R.FILE GOC'!H77</f>
        <v>58</v>
      </c>
      <c r="I77" s="3709"/>
      <c r="J77" s="3709"/>
      <c r="K77" s="3709">
        <f>'R.FILE GOC'!K77</f>
        <v>58</v>
      </c>
      <c r="L77" s="3710"/>
      <c r="M77" s="1125"/>
      <c r="N77" s="3708">
        <f>'R.FILE GOC'!N77</f>
        <v>0</v>
      </c>
      <c r="O77" s="3709"/>
      <c r="P77" s="3709"/>
      <c r="Q77" s="3709">
        <f>'R.FILE GOC'!Q77</f>
        <v>0</v>
      </c>
      <c r="R77" s="3711"/>
      <c r="S77" s="1065"/>
      <c r="T77" s="2765">
        <f>'R.FILE GOC'!T77</f>
        <v>0</v>
      </c>
      <c r="U77" s="2764"/>
      <c r="V77" s="2764"/>
      <c r="W77" s="2764">
        <f>'R.FILE GOC'!W77</f>
        <v>0</v>
      </c>
      <c r="X77" s="2764"/>
      <c r="Y77" s="2764"/>
      <c r="Z77" s="2764">
        <f>'R.FILE GOC'!Z77</f>
        <v>0</v>
      </c>
      <c r="AA77" s="2764"/>
      <c r="AB77" s="2764"/>
      <c r="AC77" s="2764">
        <f>'R.FILE GOC'!AC77</f>
        <v>0</v>
      </c>
      <c r="AD77" s="2764"/>
      <c r="AE77" s="1068"/>
      <c r="AF77" s="765"/>
      <c r="AG77" s="765"/>
      <c r="AH77" s="765"/>
      <c r="AI77" s="765"/>
      <c r="AJ77" s="1068"/>
      <c r="AK77" s="1068"/>
      <c r="AL77" s="765"/>
      <c r="AM77" s="765"/>
      <c r="AN77" s="765"/>
      <c r="AO77" s="765"/>
      <c r="AP77" s="1068"/>
      <c r="AQ77" s="12" t="s">
        <v>476</v>
      </c>
    </row>
    <row r="78" spans="1:43" ht="44.25" customHeight="1">
      <c r="A78" s="1099" t="s">
        <v>510</v>
      </c>
      <c r="B78" s="3135" t="s">
        <v>511</v>
      </c>
      <c r="C78" s="3628"/>
      <c r="D78" s="247" t="s">
        <v>195</v>
      </c>
      <c r="E78" s="48" t="s">
        <v>721</v>
      </c>
      <c r="F78" s="425"/>
      <c r="G78" s="425"/>
      <c r="H78" s="3708">
        <f>'R.FILE GOC'!H78</f>
        <v>43</v>
      </c>
      <c r="I78" s="3709"/>
      <c r="J78" s="3709"/>
      <c r="K78" s="3709">
        <f>'R.FILE GOC'!K78</f>
        <v>34</v>
      </c>
      <c r="L78" s="3710"/>
      <c r="M78" s="1125"/>
      <c r="N78" s="3708">
        <f>'R.FILE GOC'!N78</f>
        <v>0</v>
      </c>
      <c r="O78" s="3709"/>
      <c r="P78" s="3709"/>
      <c r="Q78" s="3709">
        <f>'R.FILE GOC'!Q78</f>
        <v>0</v>
      </c>
      <c r="R78" s="3711"/>
      <c r="S78" s="1068"/>
      <c r="T78" s="2765">
        <f>'R.FILE GOC'!T78</f>
        <v>0</v>
      </c>
      <c r="U78" s="2764"/>
      <c r="V78" s="2764"/>
      <c r="W78" s="2764">
        <f>'R.FILE GOC'!W78</f>
        <v>0</v>
      </c>
      <c r="X78" s="2764"/>
      <c r="Y78" s="2764"/>
      <c r="Z78" s="2764">
        <f>'R.FILE GOC'!Z78</f>
        <v>0</v>
      </c>
      <c r="AA78" s="2764"/>
      <c r="AB78" s="2764"/>
      <c r="AC78" s="2764">
        <f>'R.FILE GOC'!AC78</f>
        <v>0</v>
      </c>
      <c r="AD78" s="2764"/>
      <c r="AE78" s="1068"/>
      <c r="AF78" s="765"/>
      <c r="AG78" s="765"/>
      <c r="AH78" s="765"/>
      <c r="AI78" s="765"/>
      <c r="AJ78" s="1068"/>
      <c r="AK78" s="1068"/>
      <c r="AL78" s="765"/>
      <c r="AM78" s="765"/>
      <c r="AN78" s="765"/>
      <c r="AO78" s="765"/>
      <c r="AP78" s="1068"/>
      <c r="AQ78" s="12" t="s">
        <v>476</v>
      </c>
    </row>
    <row r="79" spans="1:43" ht="44.25" customHeight="1">
      <c r="A79" s="1099" t="s">
        <v>513</v>
      </c>
      <c r="B79" s="3135" t="s">
        <v>514</v>
      </c>
      <c r="C79" s="3628"/>
      <c r="D79" s="247" t="s">
        <v>195</v>
      </c>
      <c r="E79" s="48" t="s">
        <v>722</v>
      </c>
      <c r="F79" s="48" t="s">
        <v>722</v>
      </c>
      <c r="G79" s="425"/>
      <c r="H79" s="3708">
        <f>'R.FILE GOC'!H79</f>
        <v>33</v>
      </c>
      <c r="I79" s="3709"/>
      <c r="J79" s="3709"/>
      <c r="K79" s="3709">
        <f>'R.FILE GOC'!K79</f>
        <v>29</v>
      </c>
      <c r="L79" s="3710"/>
      <c r="M79" s="1125"/>
      <c r="N79" s="3708">
        <f>'R.FILE GOC'!N79</f>
        <v>0</v>
      </c>
      <c r="O79" s="3709"/>
      <c r="P79" s="3709"/>
      <c r="Q79" s="3709">
        <f>'R.FILE GOC'!Q79</f>
        <v>0</v>
      </c>
      <c r="R79" s="3711"/>
      <c r="S79" s="1068"/>
      <c r="T79" s="2765">
        <f>'R.FILE GOC'!T79</f>
        <v>0</v>
      </c>
      <c r="U79" s="2764"/>
      <c r="V79" s="2764"/>
      <c r="W79" s="2764">
        <f>'R.FILE GOC'!W79</f>
        <v>0</v>
      </c>
      <c r="X79" s="2764"/>
      <c r="Y79" s="2764"/>
      <c r="Z79" s="2764">
        <f>'R.FILE GOC'!Z79</f>
        <v>0</v>
      </c>
      <c r="AA79" s="2764"/>
      <c r="AB79" s="2764"/>
      <c r="AC79" s="2764">
        <f>'R.FILE GOC'!AC79</f>
        <v>0</v>
      </c>
      <c r="AD79" s="2764"/>
      <c r="AE79" s="1068"/>
      <c r="AF79" s="765"/>
      <c r="AG79" s="765"/>
      <c r="AH79" s="765"/>
      <c r="AI79" s="765"/>
      <c r="AJ79" s="1068"/>
      <c r="AK79" s="1068"/>
      <c r="AL79" s="765"/>
      <c r="AM79" s="765"/>
      <c r="AN79" s="765"/>
      <c r="AO79" s="765"/>
      <c r="AP79" s="1068"/>
      <c r="AQ79" s="12" t="s">
        <v>476</v>
      </c>
    </row>
    <row r="80" spans="1:43" ht="44.25" customHeight="1">
      <c r="A80" s="1099" t="s">
        <v>516</v>
      </c>
      <c r="B80" s="3135" t="s">
        <v>517</v>
      </c>
      <c r="C80" s="3628"/>
      <c r="D80" s="247" t="s">
        <v>195</v>
      </c>
      <c r="E80" s="48" t="s">
        <v>722</v>
      </c>
      <c r="F80" s="428"/>
      <c r="G80" s="425"/>
      <c r="H80" s="3708">
        <f>'R.FILE GOC'!H80</f>
        <v>0</v>
      </c>
      <c r="I80" s="3709"/>
      <c r="J80" s="3709"/>
      <c r="K80" s="3709">
        <f>'R.FILE GOC'!K80</f>
        <v>0</v>
      </c>
      <c r="L80" s="3710"/>
      <c r="M80" s="1125"/>
      <c r="N80" s="3708">
        <f>'R.FILE GOC'!N80</f>
        <v>0</v>
      </c>
      <c r="O80" s="3709"/>
      <c r="P80" s="3709"/>
      <c r="Q80" s="3709">
        <f>'R.FILE GOC'!Q80</f>
        <v>0</v>
      </c>
      <c r="R80" s="3711"/>
      <c r="S80" s="1068"/>
      <c r="T80" s="2765">
        <f>'R.FILE GOC'!T80</f>
        <v>0</v>
      </c>
      <c r="U80" s="2764"/>
      <c r="V80" s="2764"/>
      <c r="W80" s="2764">
        <f>'R.FILE GOC'!W80</f>
        <v>0</v>
      </c>
      <c r="X80" s="2764"/>
      <c r="Y80" s="2764"/>
      <c r="Z80" s="2764">
        <f>'R.FILE GOC'!Z80</f>
        <v>0</v>
      </c>
      <c r="AA80" s="2764"/>
      <c r="AB80" s="2764"/>
      <c r="AC80" s="2764">
        <f>'R.FILE GOC'!AC80</f>
        <v>0</v>
      </c>
      <c r="AD80" s="2764"/>
      <c r="AE80" s="1068"/>
      <c r="AF80" s="765"/>
      <c r="AG80" s="765"/>
      <c r="AH80" s="765"/>
      <c r="AI80" s="765"/>
      <c r="AJ80" s="1068"/>
      <c r="AK80" s="1068"/>
      <c r="AL80" s="765"/>
      <c r="AM80" s="765"/>
      <c r="AN80" s="765"/>
      <c r="AO80" s="765"/>
      <c r="AP80" s="1068"/>
      <c r="AQ80" s="12" t="s">
        <v>476</v>
      </c>
    </row>
    <row r="81" spans="1:43" ht="44.25" customHeight="1">
      <c r="A81" s="1099" t="s">
        <v>518</v>
      </c>
      <c r="B81" s="3135" t="s">
        <v>519</v>
      </c>
      <c r="C81" s="3628"/>
      <c r="D81" s="247" t="s">
        <v>195</v>
      </c>
      <c r="E81" s="48" t="s">
        <v>723</v>
      </c>
      <c r="F81" s="425"/>
      <c r="G81" s="425"/>
      <c r="H81" s="3712"/>
      <c r="I81" s="3713"/>
      <c r="J81" s="3713"/>
      <c r="K81" s="3709">
        <f>'R.FILE GOC'!K81</f>
        <v>181</v>
      </c>
      <c r="L81" s="3710"/>
      <c r="M81" s="1126"/>
      <c r="N81" s="3712"/>
      <c r="O81" s="3713"/>
      <c r="P81" s="3713"/>
      <c r="Q81" s="3709">
        <f>'R.FILE GOC'!Q81</f>
        <v>0</v>
      </c>
      <c r="R81" s="3711"/>
      <c r="S81" s="1068"/>
      <c r="T81" s="2765"/>
      <c r="U81" s="2764"/>
      <c r="V81" s="2764"/>
      <c r="W81" s="2764">
        <f>'R.FILE GOC'!W81</f>
        <v>0</v>
      </c>
      <c r="X81" s="2764"/>
      <c r="Y81" s="2764"/>
      <c r="Z81" s="2764"/>
      <c r="AA81" s="2764"/>
      <c r="AB81" s="2764"/>
      <c r="AC81" s="2764">
        <f>'R.FILE GOC'!AC81</f>
        <v>0</v>
      </c>
      <c r="AD81" s="2764"/>
      <c r="AE81" s="1068"/>
      <c r="AF81" s="765"/>
      <c r="AG81" s="765"/>
      <c r="AH81" s="765"/>
      <c r="AI81" s="765"/>
      <c r="AJ81" s="1068"/>
      <c r="AK81" s="1068"/>
      <c r="AL81" s="765"/>
      <c r="AM81" s="765"/>
      <c r="AN81" s="765"/>
      <c r="AO81" s="765"/>
      <c r="AP81" s="1068"/>
      <c r="AQ81" s="12" t="s">
        <v>476</v>
      </c>
    </row>
    <row r="82" spans="1:43" s="245" customFormat="1" ht="47.25" customHeight="1">
      <c r="A82" s="1127"/>
      <c r="B82" s="432"/>
      <c r="C82" s="433"/>
      <c r="D82" s="433"/>
      <c r="E82" s="433"/>
      <c r="F82" s="433"/>
      <c r="G82" s="433"/>
      <c r="H82" s="434" t="s">
        <v>521</v>
      </c>
      <c r="I82" s="433"/>
      <c r="J82" s="433"/>
      <c r="K82" s="433"/>
      <c r="L82" s="433"/>
      <c r="M82" s="433"/>
      <c r="N82" s="433"/>
      <c r="O82" s="433"/>
      <c r="P82" s="433"/>
      <c r="Q82" s="433"/>
      <c r="R82" s="433"/>
      <c r="S82" s="433"/>
      <c r="T82" s="435"/>
      <c r="U82" s="435"/>
      <c r="V82" s="435"/>
      <c r="W82" s="435"/>
      <c r="X82" s="435"/>
      <c r="Y82" s="435"/>
      <c r="Z82" s="435"/>
      <c r="AA82" s="435"/>
      <c r="AB82" s="435"/>
      <c r="AC82" s="435"/>
      <c r="AD82" s="435"/>
      <c r="AE82" s="435"/>
      <c r="AF82" s="435"/>
      <c r="AG82" s="435"/>
      <c r="AH82" s="435"/>
      <c r="AI82" s="435"/>
      <c r="AJ82" s="435"/>
      <c r="AK82" s="435"/>
      <c r="AL82" s="435"/>
      <c r="AM82" s="435"/>
      <c r="AN82" s="435"/>
      <c r="AO82" s="435"/>
      <c r="AP82" s="435"/>
      <c r="AQ82" s="12" t="s">
        <v>476</v>
      </c>
    </row>
    <row r="83" spans="1:43" s="245" customFormat="1" ht="47.25" customHeight="1">
      <c r="A83" s="1128"/>
      <c r="B83" s="3135" t="s">
        <v>521</v>
      </c>
      <c r="C83" s="3628"/>
      <c r="D83" s="1069" t="s">
        <v>522</v>
      </c>
      <c r="E83" s="48" t="s">
        <v>523</v>
      </c>
      <c r="F83" s="416"/>
      <c r="G83" s="416" t="s">
        <v>522</v>
      </c>
      <c r="H83" s="3118">
        <f>'R.FILE GOC'!H83:L83</f>
        <v>0</v>
      </c>
      <c r="I83" s="3119"/>
      <c r="J83" s="3119"/>
      <c r="K83" s="3119"/>
      <c r="L83" s="3119"/>
      <c r="M83" s="1064"/>
      <c r="N83" s="3126">
        <f>'R.FILE GOC'!N83:R83</f>
        <v>0</v>
      </c>
      <c r="O83" s="3126"/>
      <c r="P83" s="3126"/>
      <c r="Q83" s="3126"/>
      <c r="R83" s="3126"/>
      <c r="S83" s="987"/>
      <c r="T83" s="765"/>
      <c r="U83" s="765"/>
      <c r="V83" s="765"/>
      <c r="W83" s="765"/>
      <c r="X83" s="765"/>
      <c r="Y83" s="765"/>
      <c r="Z83" s="765"/>
      <c r="AA83" s="765"/>
      <c r="AB83" s="765"/>
      <c r="AC83" s="765"/>
      <c r="AD83" s="765"/>
      <c r="AE83" s="765"/>
      <c r="AF83" s="765"/>
      <c r="AG83" s="765"/>
      <c r="AH83" s="765"/>
      <c r="AI83" s="765"/>
      <c r="AJ83" s="765"/>
      <c r="AK83" s="765"/>
      <c r="AL83" s="765"/>
      <c r="AM83" s="765"/>
      <c r="AN83" s="765"/>
      <c r="AO83" s="765"/>
      <c r="AP83" s="765"/>
      <c r="AQ83" s="12" t="s">
        <v>476</v>
      </c>
    </row>
    <row r="84" spans="1:43" s="245" customFormat="1" ht="47.25" hidden="1" customHeight="1">
      <c r="A84" s="1128"/>
      <c r="B84" s="3135" t="s">
        <v>524</v>
      </c>
      <c r="C84" s="3628"/>
      <c r="D84" s="1069" t="s">
        <v>522</v>
      </c>
      <c r="E84" s="48" t="s">
        <v>525</v>
      </c>
      <c r="F84" s="416"/>
      <c r="G84" s="416" t="s">
        <v>522</v>
      </c>
      <c r="H84" s="3118">
        <f>'R.FILE GOC'!H84:L84</f>
        <v>0</v>
      </c>
      <c r="I84" s="3119"/>
      <c r="J84" s="3119"/>
      <c r="K84" s="3119"/>
      <c r="L84" s="3119"/>
      <c r="M84" s="1064"/>
      <c r="N84" s="3118">
        <f>'R.FILE GOC'!N84:R84</f>
        <v>0</v>
      </c>
      <c r="O84" s="3119"/>
      <c r="P84" s="3119"/>
      <c r="Q84" s="3119"/>
      <c r="R84" s="3119"/>
      <c r="S84" s="987"/>
      <c r="T84" s="765"/>
      <c r="U84" s="765"/>
      <c r="V84" s="765"/>
      <c r="W84" s="765"/>
      <c r="X84" s="765"/>
      <c r="Y84" s="765"/>
      <c r="Z84" s="765"/>
      <c r="AA84" s="765"/>
      <c r="AB84" s="765"/>
      <c r="AC84" s="765"/>
      <c r="AD84" s="765"/>
      <c r="AE84" s="765"/>
      <c r="AF84" s="765"/>
      <c r="AG84" s="765"/>
      <c r="AH84" s="765"/>
      <c r="AI84" s="765"/>
      <c r="AJ84" s="765"/>
      <c r="AK84" s="765"/>
      <c r="AL84" s="765"/>
      <c r="AM84" s="765"/>
      <c r="AN84" s="765"/>
      <c r="AO84" s="765"/>
      <c r="AP84" s="765"/>
      <c r="AQ84" s="12" t="s">
        <v>476</v>
      </c>
    </row>
    <row r="85" spans="1:43" s="245" customFormat="1" ht="28.5" customHeight="1">
      <c r="A85" s="1362"/>
      <c r="B85" s="1066"/>
      <c r="C85" s="1066"/>
      <c r="D85" s="1099"/>
      <c r="E85" s="1066"/>
      <c r="F85" s="416"/>
      <c r="G85" s="416"/>
      <c r="H85" s="1065"/>
      <c r="I85" s="1065"/>
      <c r="J85" s="1065"/>
      <c r="K85" s="1065"/>
      <c r="L85" s="1065"/>
      <c r="M85" s="1065"/>
      <c r="N85" s="1065"/>
      <c r="O85" s="1065"/>
      <c r="P85" s="1065"/>
      <c r="Q85" s="1065"/>
      <c r="R85" s="1065"/>
      <c r="S85" s="988"/>
      <c r="T85" s="765"/>
      <c r="U85" s="765"/>
      <c r="V85" s="765"/>
      <c r="W85" s="765"/>
      <c r="X85" s="765"/>
      <c r="Y85" s="765"/>
      <c r="Z85" s="765"/>
      <c r="AA85" s="765"/>
      <c r="AB85" s="765"/>
      <c r="AC85" s="765"/>
      <c r="AD85" s="765"/>
      <c r="AE85" s="765"/>
      <c r="AF85" s="765"/>
      <c r="AG85" s="765"/>
      <c r="AH85" s="765"/>
      <c r="AI85" s="765"/>
      <c r="AJ85" s="765"/>
      <c r="AK85" s="765"/>
      <c r="AL85" s="765"/>
      <c r="AM85" s="765"/>
      <c r="AN85" s="765"/>
      <c r="AO85" s="765"/>
      <c r="AP85" s="765"/>
      <c r="AQ85" s="12"/>
    </row>
    <row r="86" spans="1:43" ht="40.5" customHeight="1">
      <c r="A86" s="1976" t="s">
        <v>526</v>
      </c>
      <c r="B86" s="1983"/>
      <c r="C86" s="1984"/>
      <c r="D86" s="1985"/>
      <c r="E86" s="1986"/>
      <c r="F86" s="1987"/>
      <c r="G86" s="1988"/>
      <c r="H86" s="1989" t="s">
        <v>72</v>
      </c>
      <c r="I86" s="1990"/>
      <c r="J86" s="1990"/>
      <c r="K86" s="1990"/>
      <c r="L86" s="1990"/>
      <c r="M86" s="1990"/>
      <c r="N86" s="1990"/>
      <c r="O86" s="1990"/>
      <c r="P86" s="1990"/>
      <c r="Q86" s="1990"/>
      <c r="R86" s="1991"/>
      <c r="S86" s="1117"/>
      <c r="AD86" s="12"/>
      <c r="AP86" s="12"/>
    </row>
    <row r="87" spans="1:43" ht="27.75" customHeight="1">
      <c r="A87" s="400"/>
      <c r="B87" s="3690" t="s">
        <v>76</v>
      </c>
      <c r="C87" s="3691"/>
      <c r="D87" s="3044" t="s">
        <v>124</v>
      </c>
      <c r="E87" s="3695" t="s">
        <v>64</v>
      </c>
      <c r="F87" s="401"/>
      <c r="G87" s="403"/>
      <c r="H87" s="3697">
        <v>0.375</v>
      </c>
      <c r="I87" s="3698"/>
      <c r="J87" s="3698"/>
      <c r="K87" s="3698"/>
      <c r="L87" s="3698"/>
      <c r="M87" s="403"/>
      <c r="N87" s="3466">
        <v>0.875</v>
      </c>
      <c r="O87" s="3441"/>
      <c r="P87" s="3441"/>
      <c r="Q87" s="3441"/>
      <c r="R87" s="3441"/>
      <c r="S87" s="1118"/>
      <c r="T87" s="307"/>
      <c r="AD87" s="12"/>
      <c r="AE87" s="1118"/>
      <c r="AF87" s="307"/>
      <c r="AP87" s="12"/>
    </row>
    <row r="88" spans="1:43" ht="50.25" customHeight="1">
      <c r="A88" s="437" t="s">
        <v>238</v>
      </c>
      <c r="B88" s="3692"/>
      <c r="C88" s="3693"/>
      <c r="D88" s="3694"/>
      <c r="E88" s="3696"/>
      <c r="F88" s="405" t="s">
        <v>422</v>
      </c>
      <c r="G88" s="406"/>
      <c r="H88" s="47" t="s">
        <v>731</v>
      </c>
      <c r="I88" s="1129" t="s">
        <v>1</v>
      </c>
      <c r="J88" s="3699" t="s">
        <v>1</v>
      </c>
      <c r="K88" s="3699"/>
      <c r="L88" s="3699"/>
      <c r="M88" s="47"/>
      <c r="N88" s="1040" t="s">
        <v>731</v>
      </c>
      <c r="O88" s="1331" t="s">
        <v>1</v>
      </c>
      <c r="P88" s="3043" t="s">
        <v>1</v>
      </c>
      <c r="Q88" s="3043"/>
      <c r="R88" s="3043"/>
      <c r="S88" s="1130"/>
      <c r="T88" s="307"/>
      <c r="AD88" s="12"/>
      <c r="AE88" s="1130"/>
      <c r="AF88" s="307"/>
      <c r="AP88" s="12"/>
    </row>
    <row r="89" spans="1:43" ht="34.5" customHeight="1">
      <c r="A89" s="1099" t="s">
        <v>527</v>
      </c>
      <c r="B89" s="3135" t="s">
        <v>528</v>
      </c>
      <c r="C89" s="3628"/>
      <c r="D89" s="1069" t="s">
        <v>4</v>
      </c>
      <c r="E89" s="1063" t="s">
        <v>529</v>
      </c>
      <c r="F89" s="440">
        <v>25</v>
      </c>
      <c r="G89" s="410">
        <f>R.HN!C51</f>
        <v>1.52</v>
      </c>
      <c r="H89" s="1474">
        <f>G89*15.8</f>
        <v>24.016000000000002</v>
      </c>
      <c r="I89" s="1474">
        <f>($F$89-H89)*1632/1000</f>
        <v>1.6058879999999971</v>
      </c>
      <c r="J89" s="1474" t="s">
        <v>8</v>
      </c>
      <c r="K89" s="1465">
        <f>IF(H89=0,0,IF(I89&lt;0,0,I89))</f>
        <v>1.6058879999999971</v>
      </c>
      <c r="L89" s="1474" t="s">
        <v>9</v>
      </c>
      <c r="M89" s="1478">
        <f>R.HN!D51</f>
        <v>1.5</v>
      </c>
      <c r="N89" s="1482">
        <f>M89*15.8</f>
        <v>23.700000000000003</v>
      </c>
      <c r="O89" s="1482">
        <f>($F$89-N89)*1632/1000</f>
        <v>2.1215999999999955</v>
      </c>
      <c r="P89" s="1482" t="s">
        <v>8</v>
      </c>
      <c r="Q89" s="1465">
        <f>IF(N89=0,0,IF(O89&lt;0,0,O89))</f>
        <v>2.1215999999999955</v>
      </c>
      <c r="R89" s="39" t="s">
        <v>9</v>
      </c>
      <c r="S89" s="1131"/>
      <c r="T89" s="307"/>
      <c r="AD89" s="12"/>
      <c r="AE89" s="1131"/>
      <c r="AF89" s="307"/>
      <c r="AP89" s="12"/>
      <c r="AQ89" s="12" t="s">
        <v>530</v>
      </c>
    </row>
    <row r="90" spans="1:43" ht="34.5" customHeight="1">
      <c r="A90" s="1099" t="s">
        <v>531</v>
      </c>
      <c r="B90" s="3135" t="s">
        <v>532</v>
      </c>
      <c r="C90" s="3628"/>
      <c r="D90" s="1069" t="s">
        <v>4</v>
      </c>
      <c r="E90" s="1063" t="s">
        <v>529</v>
      </c>
      <c r="F90" s="440">
        <v>25</v>
      </c>
      <c r="G90" s="410">
        <f>R.HN!C52</f>
        <v>1.62</v>
      </c>
      <c r="H90" s="1474">
        <f>G90*15.8</f>
        <v>25.596000000000004</v>
      </c>
      <c r="I90" s="1474">
        <f>($F$90-H90)*1632/1000</f>
        <v>-0.97267200000000598</v>
      </c>
      <c r="J90" s="1474" t="s">
        <v>8</v>
      </c>
      <c r="K90" s="1465">
        <f>IF(H90=0,0,IF(I90&lt;0,0,I90))</f>
        <v>0</v>
      </c>
      <c r="L90" s="1474" t="s">
        <v>9</v>
      </c>
      <c r="M90" s="1478">
        <f>R.HN!D52</f>
        <v>1.68</v>
      </c>
      <c r="N90" s="1482">
        <f>M90*15.8</f>
        <v>26.544</v>
      </c>
      <c r="O90" s="1482">
        <f>($F$90-N90)*1632/1000</f>
        <v>-2.5198080000000007</v>
      </c>
      <c r="P90" s="1482" t="s">
        <v>8</v>
      </c>
      <c r="Q90" s="1465">
        <f>IF(N90=0,0,IF(O90&lt;0,0,O90))</f>
        <v>0</v>
      </c>
      <c r="R90" s="39" t="s">
        <v>9</v>
      </c>
      <c r="S90" s="1131"/>
      <c r="T90" s="307"/>
      <c r="AD90" s="12"/>
      <c r="AE90" s="1131"/>
      <c r="AF90" s="307"/>
      <c r="AP90" s="12"/>
      <c r="AQ90" s="12" t="s">
        <v>530</v>
      </c>
    </row>
    <row r="91" spans="1:43" ht="34.5" customHeight="1">
      <c r="A91" s="1099" t="s">
        <v>533</v>
      </c>
      <c r="B91" s="3135" t="s">
        <v>534</v>
      </c>
      <c r="C91" s="3628"/>
      <c r="D91" s="1069" t="s">
        <v>55</v>
      </c>
      <c r="E91" s="1550" t="s">
        <v>1409</v>
      </c>
      <c r="F91" s="440">
        <v>250</v>
      </c>
      <c r="G91" s="410">
        <f>R.HN!C53</f>
        <v>3.6</v>
      </c>
      <c r="H91" s="1474">
        <f>G91*65.2</f>
        <v>234.72000000000003</v>
      </c>
      <c r="I91" s="1474">
        <f>($F$91-H91)*1632/1000</f>
        <v>24.936959999999956</v>
      </c>
      <c r="J91" s="1474" t="s">
        <v>8</v>
      </c>
      <c r="K91" s="1465">
        <f>IF(H91=0,0,IF(I91&lt;0,0,I91))</f>
        <v>24.936959999999956</v>
      </c>
      <c r="L91" s="1474" t="s">
        <v>1092</v>
      </c>
      <c r="M91" s="1478">
        <f>R.HN!D53</f>
        <v>3.5</v>
      </c>
      <c r="N91" s="1482">
        <f>M91*65.2</f>
        <v>228.20000000000002</v>
      </c>
      <c r="O91" s="1482">
        <f>($F$91-N91)*1632/1000</f>
        <v>35.577599999999968</v>
      </c>
      <c r="P91" s="1482" t="s">
        <v>8</v>
      </c>
      <c r="Q91" s="1465">
        <f>IF(N91=0,0,IF(O91&lt;0,0,O91))</f>
        <v>35.577599999999968</v>
      </c>
      <c r="R91" s="39" t="s">
        <v>1268</v>
      </c>
      <c r="S91" s="1131"/>
      <c r="T91" s="307"/>
      <c r="AD91" s="12"/>
      <c r="AE91" s="1131"/>
      <c r="AF91" s="307"/>
      <c r="AP91" s="12"/>
      <c r="AQ91" s="12" t="s">
        <v>530</v>
      </c>
    </row>
    <row r="92" spans="1:43" ht="34.5" customHeight="1">
      <c r="A92" s="1099" t="s">
        <v>536</v>
      </c>
      <c r="B92" s="3688" t="s">
        <v>1093</v>
      </c>
      <c r="C92" s="3689"/>
      <c r="D92" s="1069" t="s">
        <v>4</v>
      </c>
      <c r="E92" s="1550" t="s">
        <v>1410</v>
      </c>
      <c r="F92" s="440">
        <v>130</v>
      </c>
      <c r="G92" s="410">
        <f>R.HN!C54</f>
        <v>10</v>
      </c>
      <c r="H92" s="1474">
        <f>G92*12.5</f>
        <v>125</v>
      </c>
      <c r="I92" s="1474">
        <f>($F$92-H92)*1728/1000</f>
        <v>8.64</v>
      </c>
      <c r="J92" s="1474" t="s">
        <v>8</v>
      </c>
      <c r="K92" s="1465">
        <f>IF(H92=0,0,IF(I92&lt;0,0,I92))</f>
        <v>8.64</v>
      </c>
      <c r="L92" s="1474" t="s">
        <v>9</v>
      </c>
      <c r="M92" s="1478">
        <f>R.HN!D54</f>
        <v>9.9</v>
      </c>
      <c r="N92" s="1482">
        <f>M92*12.5</f>
        <v>123.75</v>
      </c>
      <c r="O92" s="1482">
        <f>($F$92-N92)*1728/1000</f>
        <v>10.8</v>
      </c>
      <c r="P92" s="1482" t="s">
        <v>8</v>
      </c>
      <c r="Q92" s="1465">
        <f>IF(N92=0,0,IF(O92&lt;0,0,O92))</f>
        <v>10.8</v>
      </c>
      <c r="R92" s="39" t="s">
        <v>9</v>
      </c>
      <c r="S92" s="1131"/>
      <c r="T92" s="307"/>
      <c r="AD92" s="12"/>
      <c r="AE92" s="1131"/>
      <c r="AF92" s="307"/>
      <c r="AP92" s="12"/>
      <c r="AQ92" s="12" t="s">
        <v>530</v>
      </c>
    </row>
    <row r="93" spans="1:43" ht="34.5" customHeight="1">
      <c r="A93" s="1099" t="s">
        <v>538</v>
      </c>
      <c r="B93" s="3688" t="s">
        <v>1094</v>
      </c>
      <c r="C93" s="3689"/>
      <c r="D93" s="1069" t="s">
        <v>4</v>
      </c>
      <c r="E93" s="1550" t="s">
        <v>539</v>
      </c>
      <c r="F93" s="443"/>
      <c r="G93" s="410">
        <f>R.HN!C55</f>
        <v>9.1</v>
      </c>
      <c r="H93" s="1474">
        <f>(G92-G93)*1.25</f>
        <v>1.1250000000000004</v>
      </c>
      <c r="I93" s="1474" t="s">
        <v>434</v>
      </c>
      <c r="J93" s="1474" t="s">
        <v>8</v>
      </c>
      <c r="K93" s="1480"/>
      <c r="L93" s="1474" t="s">
        <v>9</v>
      </c>
      <c r="M93" s="1478">
        <f>R.HN!D55</f>
        <v>8.8000000000000007</v>
      </c>
      <c r="N93" s="1482">
        <f>(M92-M93)*1.25</f>
        <v>1.3749999999999996</v>
      </c>
      <c r="O93" s="1482" t="s">
        <v>434</v>
      </c>
      <c r="P93" s="1482" t="s">
        <v>8</v>
      </c>
      <c r="Q93" s="1480"/>
      <c r="R93" s="39" t="s">
        <v>9</v>
      </c>
      <c r="S93" s="1131"/>
      <c r="T93" s="307"/>
      <c r="AD93" s="12"/>
      <c r="AE93" s="1131"/>
      <c r="AF93" s="307"/>
      <c r="AP93" s="12"/>
      <c r="AQ93" s="12" t="s">
        <v>530</v>
      </c>
    </row>
    <row r="94" spans="1:43" ht="34.5" customHeight="1">
      <c r="A94" s="1099" t="s">
        <v>540</v>
      </c>
      <c r="B94" s="3688" t="s">
        <v>1095</v>
      </c>
      <c r="C94" s="3689"/>
      <c r="D94" s="1069" t="s">
        <v>4</v>
      </c>
      <c r="E94" s="1550" t="s">
        <v>1410</v>
      </c>
      <c r="F94" s="443">
        <v>130</v>
      </c>
      <c r="G94" s="410">
        <f>R.HN!C56</f>
        <v>10.1</v>
      </c>
      <c r="H94" s="1474">
        <f>G94*12.5</f>
        <v>126.25</v>
      </c>
      <c r="I94" s="1474">
        <f>($F$94-H94)*1728/1000</f>
        <v>6.48</v>
      </c>
      <c r="J94" s="1474" t="s">
        <v>8</v>
      </c>
      <c r="K94" s="1465">
        <f>IF(H94=0,0,IF(I94&lt;0,0,I94))</f>
        <v>6.48</v>
      </c>
      <c r="L94" s="1474" t="s">
        <v>9</v>
      </c>
      <c r="M94" s="1478">
        <f>R.HN!D56</f>
        <v>10</v>
      </c>
      <c r="N94" s="1482">
        <f>M94*12.5</f>
        <v>125</v>
      </c>
      <c r="O94" s="1482">
        <f>($F$94-N94)*1728/1000</f>
        <v>8.64</v>
      </c>
      <c r="P94" s="1482" t="s">
        <v>8</v>
      </c>
      <c r="Q94" s="1465">
        <f>IF(N94=0,0,IF(O94&lt;0,0,O94))</f>
        <v>8.64</v>
      </c>
      <c r="R94" s="39" t="s">
        <v>9</v>
      </c>
      <c r="S94" s="1131"/>
      <c r="T94" s="307"/>
      <c r="AD94" s="12"/>
      <c r="AE94" s="1131"/>
      <c r="AF94" s="307"/>
      <c r="AP94" s="12"/>
      <c r="AQ94" s="12" t="s">
        <v>530</v>
      </c>
    </row>
    <row r="95" spans="1:43" ht="34.5" customHeight="1">
      <c r="A95" s="1099" t="s">
        <v>541</v>
      </c>
      <c r="B95" s="3688" t="s">
        <v>1096</v>
      </c>
      <c r="C95" s="3689"/>
      <c r="D95" s="1069" t="s">
        <v>4</v>
      </c>
      <c r="E95" s="1063" t="s">
        <v>539</v>
      </c>
      <c r="F95" s="443"/>
      <c r="G95" s="410">
        <f>R.HN!C57</f>
        <v>9.1</v>
      </c>
      <c r="H95" s="1474">
        <f>(G94-G95)*1.25</f>
        <v>1.25</v>
      </c>
      <c r="I95" s="1474" t="s">
        <v>434</v>
      </c>
      <c r="J95" s="1474" t="s">
        <v>8</v>
      </c>
      <c r="K95" s="1480"/>
      <c r="L95" s="1474" t="s">
        <v>9</v>
      </c>
      <c r="M95" s="1478">
        <f>R.HN!D57</f>
        <v>8.9</v>
      </c>
      <c r="N95" s="1482">
        <f>(M94-M95)*1.25</f>
        <v>1.3749999999999996</v>
      </c>
      <c r="O95" s="1482" t="s">
        <v>434</v>
      </c>
      <c r="P95" s="1482" t="s">
        <v>8</v>
      </c>
      <c r="Q95" s="1480"/>
      <c r="R95" s="39" t="s">
        <v>9</v>
      </c>
      <c r="S95" s="1131"/>
      <c r="T95" s="307"/>
      <c r="AD95" s="12"/>
      <c r="AE95" s="1131"/>
      <c r="AF95" s="307"/>
      <c r="AP95" s="12"/>
      <c r="AQ95" s="12" t="s">
        <v>530</v>
      </c>
    </row>
    <row r="96" spans="1:43" ht="34.5" customHeight="1">
      <c r="A96" s="1099" t="s">
        <v>542</v>
      </c>
      <c r="B96" s="3688" t="s">
        <v>1097</v>
      </c>
      <c r="C96" s="3689"/>
      <c r="D96" s="1069" t="s">
        <v>4</v>
      </c>
      <c r="E96" s="1550" t="s">
        <v>1410</v>
      </c>
      <c r="F96" s="443">
        <v>130</v>
      </c>
      <c r="G96" s="410">
        <f>R.HN!C58</f>
        <v>9.9</v>
      </c>
      <c r="H96" s="1474">
        <f>G96*12.5</f>
        <v>123.75</v>
      </c>
      <c r="I96" s="1474">
        <f>($F$96-H96)*1728/1000</f>
        <v>10.8</v>
      </c>
      <c r="J96" s="1474" t="s">
        <v>8</v>
      </c>
      <c r="K96" s="1465">
        <f>IF(H96=0,0,IF(I96&lt;0,0,I96))</f>
        <v>10.8</v>
      </c>
      <c r="L96" s="1474" t="s">
        <v>9</v>
      </c>
      <c r="M96" s="1478">
        <f>R.HN!D58</f>
        <v>9.9</v>
      </c>
      <c r="N96" s="1482">
        <f>M96*12.5</f>
        <v>123.75</v>
      </c>
      <c r="O96" s="1482">
        <f>($F$96-N96)*1728/1000</f>
        <v>10.8</v>
      </c>
      <c r="P96" s="1482" t="s">
        <v>8</v>
      </c>
      <c r="Q96" s="1465">
        <f>IF(N96=0,0,IF(O96&lt;0,0,O96))</f>
        <v>10.8</v>
      </c>
      <c r="R96" s="39" t="s">
        <v>9</v>
      </c>
      <c r="S96" s="1131"/>
      <c r="T96" s="307"/>
      <c r="AD96" s="12"/>
      <c r="AE96" s="1131"/>
      <c r="AF96" s="307"/>
      <c r="AP96" s="12"/>
      <c r="AQ96" s="12" t="s">
        <v>530</v>
      </c>
    </row>
    <row r="97" spans="1:43" ht="34.5" customHeight="1">
      <c r="A97" s="1099" t="s">
        <v>543</v>
      </c>
      <c r="B97" s="3688" t="s">
        <v>1098</v>
      </c>
      <c r="C97" s="3689"/>
      <c r="D97" s="1069" t="s">
        <v>4</v>
      </c>
      <c r="E97" s="1063" t="s">
        <v>539</v>
      </c>
      <c r="F97" s="443"/>
      <c r="G97" s="410">
        <f>R.HN!C59</f>
        <v>9.3000000000000007</v>
      </c>
      <c r="H97" s="1474">
        <f>(G96-G97)*1.25</f>
        <v>0.74999999999999956</v>
      </c>
      <c r="I97" s="1474" t="s">
        <v>434</v>
      </c>
      <c r="J97" s="1474" t="s">
        <v>8</v>
      </c>
      <c r="K97" s="1480"/>
      <c r="L97" s="1474" t="s">
        <v>9</v>
      </c>
      <c r="M97" s="1478">
        <f>R.HN!D59</f>
        <v>8.8000000000000007</v>
      </c>
      <c r="N97" s="1482">
        <f>(M96-M97)*1.25</f>
        <v>1.3749999999999996</v>
      </c>
      <c r="O97" s="1482" t="s">
        <v>434</v>
      </c>
      <c r="P97" s="1482" t="s">
        <v>8</v>
      </c>
      <c r="Q97" s="1480"/>
      <c r="R97" s="39" t="s">
        <v>9</v>
      </c>
      <c r="S97" s="1131"/>
      <c r="T97" s="307"/>
      <c r="AD97" s="12"/>
      <c r="AE97" s="1131"/>
      <c r="AF97" s="307"/>
      <c r="AP97" s="12"/>
      <c r="AQ97" s="12" t="s">
        <v>530</v>
      </c>
    </row>
    <row r="98" spans="1:43" ht="34.5" customHeight="1">
      <c r="A98" s="1099" t="s">
        <v>544</v>
      </c>
      <c r="B98" s="1132" t="s">
        <v>545</v>
      </c>
      <c r="C98" s="1133"/>
      <c r="D98" s="1069" t="s">
        <v>4</v>
      </c>
      <c r="E98" s="1063" t="s">
        <v>546</v>
      </c>
      <c r="F98" s="444">
        <v>10</v>
      </c>
      <c r="G98" s="410">
        <f>R.HN!C60</f>
        <v>5.4</v>
      </c>
      <c r="H98" s="1474">
        <f>G98*2.08</f>
        <v>11.232000000000001</v>
      </c>
      <c r="I98" s="1474">
        <f>($F$98-H98)*1728/1000</f>
        <v>-2.1288960000000019</v>
      </c>
      <c r="J98" s="1474" t="s">
        <v>8</v>
      </c>
      <c r="K98" s="1465">
        <f>IF(H98=0,0,IF(I98&lt;0,0,I98))</f>
        <v>0</v>
      </c>
      <c r="L98" s="1474" t="s">
        <v>9</v>
      </c>
      <c r="M98" s="1478">
        <f>R.HN!D60</f>
        <v>5.3</v>
      </c>
      <c r="N98" s="1482">
        <f>M98*2.08</f>
        <v>11.023999999999999</v>
      </c>
      <c r="O98" s="1482">
        <f>($F$98-N98)*1728/1000</f>
        <v>-1.7694719999999984</v>
      </c>
      <c r="P98" s="1482" t="s">
        <v>8</v>
      </c>
      <c r="Q98" s="1465">
        <f>IF(N98=0,0,IF(O98&lt;0,0,O98))</f>
        <v>0</v>
      </c>
      <c r="R98" s="39" t="s">
        <v>9</v>
      </c>
      <c r="S98" s="1131"/>
      <c r="T98" s="307"/>
      <c r="AD98" s="12"/>
      <c r="AE98" s="1131"/>
      <c r="AF98" s="307"/>
      <c r="AP98" s="12"/>
      <c r="AQ98" s="12" t="s">
        <v>530</v>
      </c>
    </row>
    <row r="99" spans="1:43" ht="34.5" customHeight="1">
      <c r="A99" s="1099" t="s">
        <v>547</v>
      </c>
      <c r="B99" s="1134" t="s">
        <v>5</v>
      </c>
      <c r="C99" s="1135"/>
      <c r="D99" s="1069" t="s">
        <v>5</v>
      </c>
      <c r="E99" s="1063" t="s">
        <v>548</v>
      </c>
      <c r="F99" s="444"/>
      <c r="G99" s="410"/>
      <c r="H99" s="1483">
        <f>'R.FILE GOC'!H99</f>
        <v>6.6</v>
      </c>
      <c r="I99" s="1484"/>
      <c r="J99" s="1484"/>
      <c r="K99" s="1485"/>
      <c r="L99" s="1486"/>
      <c r="M99" s="1101"/>
      <c r="N99" s="1487">
        <f>'R.FILE GOC'!N99</f>
        <v>6.6</v>
      </c>
      <c r="O99" s="1218"/>
      <c r="P99" s="1218"/>
      <c r="Q99" s="1218"/>
      <c r="R99" s="1272"/>
      <c r="S99" s="1131"/>
      <c r="T99" s="307"/>
      <c r="AD99" s="12"/>
      <c r="AE99" s="1131"/>
      <c r="AF99" s="307"/>
      <c r="AP99" s="12"/>
      <c r="AQ99" s="12" t="s">
        <v>530</v>
      </c>
    </row>
    <row r="100" spans="1:43" ht="34.5" hidden="1" customHeight="1">
      <c r="A100" s="1099" t="s">
        <v>549</v>
      </c>
      <c r="B100" s="3135" t="s">
        <v>550</v>
      </c>
      <c r="C100" s="3628"/>
      <c r="D100" s="1069" t="s">
        <v>5</v>
      </c>
      <c r="E100" s="48" t="s">
        <v>1412</v>
      </c>
      <c r="F100" s="1069"/>
      <c r="G100" s="410"/>
      <c r="H100" s="1554">
        <f>'R.FILE GOC'!H100</f>
        <v>0</v>
      </c>
      <c r="I100" s="1555"/>
      <c r="J100" s="1555"/>
      <c r="K100" s="1555"/>
      <c r="L100" s="1556"/>
      <c r="M100" s="1557"/>
      <c r="N100" s="1554">
        <f>'R.FILE GOC'!N100</f>
        <v>0</v>
      </c>
      <c r="O100" s="1218"/>
      <c r="P100" s="1218"/>
      <c r="Q100" s="1218"/>
      <c r="R100" s="1272"/>
      <c r="S100" s="1131"/>
      <c r="T100" s="307"/>
      <c r="AD100" s="12"/>
      <c r="AE100" s="1131"/>
      <c r="AF100" s="307"/>
      <c r="AP100" s="12"/>
      <c r="AQ100" s="12" t="s">
        <v>530</v>
      </c>
    </row>
    <row r="101" spans="1:43" ht="34.5" hidden="1" customHeight="1">
      <c r="A101" s="1099" t="s">
        <v>551</v>
      </c>
      <c r="B101" s="3135" t="s">
        <v>552</v>
      </c>
      <c r="C101" s="3628"/>
      <c r="D101" s="1069" t="s">
        <v>5</v>
      </c>
      <c r="E101" s="48" t="s">
        <v>1412</v>
      </c>
      <c r="F101" s="1069"/>
      <c r="G101" s="410"/>
      <c r="H101" s="1554">
        <f>'R.FILE GOC'!H101</f>
        <v>0</v>
      </c>
      <c r="I101" s="1555"/>
      <c r="J101" s="1555"/>
      <c r="K101" s="1555"/>
      <c r="L101" s="1556"/>
      <c r="M101" s="1557"/>
      <c r="N101" s="1554">
        <f>'R.FILE GOC'!N101</f>
        <v>0</v>
      </c>
      <c r="O101" s="1218"/>
      <c r="P101" s="1218"/>
      <c r="Q101" s="1218"/>
      <c r="R101" s="1272"/>
      <c r="S101" s="1131"/>
      <c r="T101" s="307"/>
      <c r="AD101" s="12"/>
      <c r="AE101" s="1131"/>
      <c r="AF101" s="307"/>
      <c r="AP101" s="12"/>
      <c r="AQ101" s="12" t="s">
        <v>530</v>
      </c>
    </row>
    <row r="102" spans="1:43" ht="34.5" customHeight="1">
      <c r="A102" s="1099" t="s">
        <v>553</v>
      </c>
      <c r="B102" s="3135" t="s">
        <v>554</v>
      </c>
      <c r="C102" s="3628"/>
      <c r="D102" s="1069" t="s">
        <v>5</v>
      </c>
      <c r="E102" s="48" t="s">
        <v>1412</v>
      </c>
      <c r="F102" s="1069"/>
      <c r="G102" s="410"/>
      <c r="H102" s="1554">
        <f>'R.FILE GOC'!H102</f>
        <v>5.8</v>
      </c>
      <c r="I102" s="1555"/>
      <c r="J102" s="1555"/>
      <c r="K102" s="1555"/>
      <c r="L102" s="1556"/>
      <c r="M102" s="1558"/>
      <c r="N102" s="1554">
        <f>'R.FILE GOC'!N102</f>
        <v>5.7</v>
      </c>
      <c r="O102" s="1218"/>
      <c r="P102" s="1218"/>
      <c r="Q102" s="1218"/>
      <c r="R102" s="1272"/>
      <c r="S102" s="1131"/>
      <c r="T102" s="307"/>
      <c r="AD102" s="12"/>
      <c r="AE102" s="1131"/>
      <c r="AF102" s="307"/>
      <c r="AP102" s="12"/>
      <c r="AQ102" s="12" t="s">
        <v>530</v>
      </c>
    </row>
    <row r="103" spans="1:43" ht="42" customHeight="1">
      <c r="A103" s="1110" t="s">
        <v>73</v>
      </c>
      <c r="B103" s="303"/>
      <c r="C103" s="303"/>
      <c r="D103" s="303"/>
      <c r="E103" s="296"/>
      <c r="F103" s="303"/>
      <c r="G103" s="303"/>
      <c r="H103" s="303"/>
      <c r="I103" s="303"/>
      <c r="J103" s="303"/>
      <c r="K103" s="303"/>
      <c r="L103" s="303"/>
      <c r="M103" s="303"/>
      <c r="N103" s="287"/>
      <c r="O103" s="286"/>
      <c r="P103" s="286"/>
      <c r="Q103" s="286"/>
      <c r="R103" s="287"/>
      <c r="S103" s="303"/>
      <c r="T103" s="307"/>
      <c r="AD103" s="12"/>
      <c r="AE103" s="1136"/>
      <c r="AF103" s="307"/>
      <c r="AP103" s="12"/>
    </row>
    <row r="104" spans="1:43" ht="37.5" customHeight="1">
      <c r="A104" s="437" t="s">
        <v>238</v>
      </c>
      <c r="B104" s="3135" t="s">
        <v>61</v>
      </c>
      <c r="C104" s="3628"/>
      <c r="D104" s="277" t="s">
        <v>63</v>
      </c>
      <c r="E104" s="277" t="s">
        <v>64</v>
      </c>
      <c r="F104" s="48"/>
      <c r="G104" s="48"/>
      <c r="H104" s="304" t="s">
        <v>45</v>
      </c>
      <c r="I104" s="305"/>
      <c r="J104" s="305"/>
      <c r="K104" s="304" t="s">
        <v>62</v>
      </c>
      <c r="L104" s="306"/>
      <c r="M104" s="277"/>
      <c r="N104" s="280" t="s">
        <v>45</v>
      </c>
      <c r="O104" s="281"/>
      <c r="P104" s="281"/>
      <c r="Q104" s="280" t="s">
        <v>62</v>
      </c>
      <c r="R104" s="294"/>
      <c r="S104" s="1137"/>
      <c r="T104" s="307"/>
      <c r="AD104" s="12"/>
      <c r="AE104" s="1137"/>
      <c r="AF104" s="307"/>
      <c r="AP104" s="12"/>
      <c r="AQ104" s="12" t="s">
        <v>530</v>
      </c>
    </row>
    <row r="105" spans="1:43" ht="41.25" customHeight="1">
      <c r="A105" s="1099" t="s">
        <v>555</v>
      </c>
      <c r="B105" s="3135" t="s">
        <v>528</v>
      </c>
      <c r="C105" s="3628"/>
      <c r="D105" s="249" t="s">
        <v>195</v>
      </c>
      <c r="E105" s="14" t="s">
        <v>1099</v>
      </c>
      <c r="F105" s="14"/>
      <c r="G105" s="14"/>
      <c r="H105" s="3687">
        <f>'R.FILE GOC'!H105</f>
        <v>61</v>
      </c>
      <c r="I105" s="3687"/>
      <c r="J105" s="3687"/>
      <c r="K105" s="3687">
        <f>'R.FILE GOC'!K105</f>
        <v>64</v>
      </c>
      <c r="L105" s="3687"/>
      <c r="M105" s="1468"/>
      <c r="N105" s="3166">
        <f>'R.FILE GOC'!N105</f>
        <v>60</v>
      </c>
      <c r="O105" s="3166"/>
      <c r="P105" s="3166"/>
      <c r="Q105" s="3166">
        <f>'R.FILE GOC'!Q105</f>
        <v>63</v>
      </c>
      <c r="R105" s="3166"/>
      <c r="S105" s="1138"/>
      <c r="T105" s="307"/>
      <c r="AD105" s="12"/>
      <c r="AE105" s="1138"/>
      <c r="AF105" s="307"/>
      <c r="AP105" s="12"/>
      <c r="AQ105" s="12" t="s">
        <v>530</v>
      </c>
    </row>
    <row r="106" spans="1:43" ht="41.25" customHeight="1">
      <c r="A106" s="1099" t="s">
        <v>556</v>
      </c>
      <c r="B106" s="3135" t="s">
        <v>532</v>
      </c>
      <c r="C106" s="3628"/>
      <c r="D106" s="249" t="s">
        <v>195</v>
      </c>
      <c r="E106" s="14" t="s">
        <v>1099</v>
      </c>
      <c r="F106" s="14"/>
      <c r="G106" s="14"/>
      <c r="H106" s="3687">
        <f>'R.FILE GOC'!H106</f>
        <v>55</v>
      </c>
      <c r="I106" s="3687"/>
      <c r="J106" s="3687"/>
      <c r="K106" s="3687">
        <f>'R.FILE GOC'!K106</f>
        <v>61</v>
      </c>
      <c r="L106" s="3687"/>
      <c r="M106" s="1463"/>
      <c r="N106" s="3166">
        <f>'R.FILE GOC'!N106</f>
        <v>54</v>
      </c>
      <c r="O106" s="3166"/>
      <c r="P106" s="3166"/>
      <c r="Q106" s="3166">
        <f>'R.FILE GOC'!Q106</f>
        <v>60</v>
      </c>
      <c r="R106" s="3166"/>
      <c r="S106" s="1138"/>
      <c r="T106" s="307"/>
      <c r="AD106" s="12"/>
      <c r="AE106" s="1138"/>
      <c r="AF106" s="307"/>
      <c r="AP106" s="12"/>
      <c r="AQ106" s="12" t="s">
        <v>530</v>
      </c>
    </row>
    <row r="107" spans="1:43" ht="41.25" customHeight="1">
      <c r="A107" s="1099" t="s">
        <v>557</v>
      </c>
      <c r="B107" s="3688" t="s">
        <v>1100</v>
      </c>
      <c r="C107" s="3689"/>
      <c r="D107" s="249" t="s">
        <v>195</v>
      </c>
      <c r="E107" s="14" t="s">
        <v>1101</v>
      </c>
      <c r="F107" s="14"/>
      <c r="G107" s="14"/>
      <c r="H107" s="3687">
        <f>'R.FILE GOC'!H107</f>
        <v>23</v>
      </c>
      <c r="I107" s="3687"/>
      <c r="J107" s="3687"/>
      <c r="K107" s="3687">
        <f>'R.FILE GOC'!K107</f>
        <v>20</v>
      </c>
      <c r="L107" s="3687"/>
      <c r="M107" s="3687"/>
      <c r="N107" s="3166">
        <f>'R.FILE GOC'!N107</f>
        <v>25</v>
      </c>
      <c r="O107" s="3166"/>
      <c r="P107" s="3166"/>
      <c r="Q107" s="3166">
        <f>'R.FILE GOC'!Q107</f>
        <v>23</v>
      </c>
      <c r="R107" s="3166"/>
      <c r="S107" s="1138"/>
      <c r="T107" s="307"/>
      <c r="AD107" s="12"/>
      <c r="AE107" s="1138"/>
      <c r="AF107" s="307"/>
      <c r="AP107" s="12"/>
      <c r="AQ107" s="12" t="s">
        <v>530</v>
      </c>
    </row>
    <row r="108" spans="1:43" ht="41.25" customHeight="1">
      <c r="A108" s="1099" t="s">
        <v>558</v>
      </c>
      <c r="B108" s="3688" t="s">
        <v>1102</v>
      </c>
      <c r="C108" s="3689"/>
      <c r="D108" s="249" t="s">
        <v>195</v>
      </c>
      <c r="E108" s="14" t="s">
        <v>1101</v>
      </c>
      <c r="F108" s="14"/>
      <c r="G108" s="14"/>
      <c r="H108" s="3687">
        <f>'R.FILE GOC'!H108</f>
        <v>23</v>
      </c>
      <c r="I108" s="3687"/>
      <c r="J108" s="3687"/>
      <c r="K108" s="3687">
        <f>'R.FILE GOC'!K108</f>
        <v>22</v>
      </c>
      <c r="L108" s="3687"/>
      <c r="M108" s="3687"/>
      <c r="N108" s="3166">
        <f>'R.FILE GOC'!N108</f>
        <v>23</v>
      </c>
      <c r="O108" s="3166"/>
      <c r="P108" s="3166"/>
      <c r="Q108" s="3166">
        <f>'R.FILE GOC'!Q108</f>
        <v>21</v>
      </c>
      <c r="R108" s="3166"/>
      <c r="S108" s="1138"/>
      <c r="T108" s="307"/>
      <c r="AD108" s="12"/>
      <c r="AE108" s="1138"/>
      <c r="AF108" s="307"/>
      <c r="AP108" s="12"/>
      <c r="AQ108" s="12" t="s">
        <v>530</v>
      </c>
    </row>
    <row r="109" spans="1:43" ht="41.25" customHeight="1">
      <c r="A109" s="1099" t="s">
        <v>559</v>
      </c>
      <c r="B109" s="3688" t="s">
        <v>1103</v>
      </c>
      <c r="C109" s="3689"/>
      <c r="D109" s="249" t="s">
        <v>195</v>
      </c>
      <c r="E109" s="14" t="s">
        <v>1101</v>
      </c>
      <c r="F109" s="14"/>
      <c r="G109" s="14"/>
      <c r="H109" s="3687">
        <f>'R.FILE GOC'!H109</f>
        <v>22</v>
      </c>
      <c r="I109" s="3687"/>
      <c r="J109" s="3687"/>
      <c r="K109" s="3687">
        <f>'R.FILE GOC'!K109</f>
        <v>19</v>
      </c>
      <c r="L109" s="3687"/>
      <c r="M109" s="3687"/>
      <c r="N109" s="3166">
        <f>'R.FILE GOC'!N109</f>
        <v>22</v>
      </c>
      <c r="O109" s="3166"/>
      <c r="P109" s="3166"/>
      <c r="Q109" s="3166">
        <f>'R.FILE GOC'!Q109</f>
        <v>20</v>
      </c>
      <c r="R109" s="3166"/>
      <c r="S109" s="1138"/>
      <c r="T109" s="307"/>
      <c r="AD109" s="12"/>
      <c r="AE109" s="1138"/>
      <c r="AF109" s="307"/>
      <c r="AP109" s="12"/>
      <c r="AQ109" s="12" t="s">
        <v>530</v>
      </c>
    </row>
    <row r="110" spans="1:43" ht="41.25" customHeight="1">
      <c r="A110" s="1099" t="s">
        <v>560</v>
      </c>
      <c r="B110" s="3135" t="s">
        <v>545</v>
      </c>
      <c r="C110" s="3628"/>
      <c r="D110" s="249" t="s">
        <v>195</v>
      </c>
      <c r="E110" s="14" t="s">
        <v>1413</v>
      </c>
      <c r="F110" s="14"/>
      <c r="G110" s="14"/>
      <c r="H110" s="3166">
        <f>'R.FILE GOC'!H110</f>
        <v>30</v>
      </c>
      <c r="I110" s="3166"/>
      <c r="J110" s="3166"/>
      <c r="K110" s="3166">
        <f>'R.FILE GOC'!K110</f>
        <v>32</v>
      </c>
      <c r="L110" s="3166"/>
      <c r="M110" s="1406"/>
      <c r="N110" s="3166">
        <f>'R.FILE GOC'!N110</f>
        <v>31</v>
      </c>
      <c r="O110" s="3166"/>
      <c r="P110" s="3166"/>
      <c r="Q110" s="3166">
        <f>'R.FILE GOC'!Q110</f>
        <v>32</v>
      </c>
      <c r="R110" s="3166"/>
      <c r="S110" s="1138"/>
      <c r="T110" s="307"/>
      <c r="AD110" s="12"/>
      <c r="AE110" s="1138"/>
      <c r="AF110" s="307"/>
      <c r="AP110" s="12"/>
      <c r="AQ110" s="12" t="s">
        <v>530</v>
      </c>
    </row>
    <row r="111" spans="1:43" ht="41.25" hidden="1" customHeight="1">
      <c r="A111" s="1099" t="s">
        <v>562</v>
      </c>
      <c r="B111" s="3135" t="s">
        <v>550</v>
      </c>
      <c r="C111" s="3628"/>
      <c r="D111" s="249" t="s">
        <v>195</v>
      </c>
      <c r="E111" s="14" t="s">
        <v>1411</v>
      </c>
      <c r="F111" s="1069"/>
      <c r="G111" s="1069"/>
      <c r="H111" s="3166">
        <f>'R.FILE GOC'!H111</f>
        <v>0</v>
      </c>
      <c r="I111" s="3166"/>
      <c r="J111" s="3166"/>
      <c r="K111" s="3166">
        <f>'R.FILE GOC'!K111</f>
        <v>0</v>
      </c>
      <c r="L111" s="3166"/>
      <c r="M111" s="1406"/>
      <c r="N111" s="3166">
        <f>'R.FILE GOC'!N111</f>
        <v>0</v>
      </c>
      <c r="O111" s="3166"/>
      <c r="P111" s="3166"/>
      <c r="Q111" s="3166">
        <f>'R.FILE GOC'!Q111</f>
        <v>0</v>
      </c>
      <c r="R111" s="3166"/>
      <c r="S111" s="1139"/>
      <c r="T111" s="307"/>
      <c r="AD111" s="12"/>
      <c r="AE111" s="1139"/>
      <c r="AF111" s="307"/>
      <c r="AP111" s="12"/>
      <c r="AQ111" s="12" t="s">
        <v>530</v>
      </c>
    </row>
    <row r="112" spans="1:43" ht="41.25" hidden="1" customHeight="1">
      <c r="A112" s="1099" t="s">
        <v>563</v>
      </c>
      <c r="B112" s="3135" t="s">
        <v>552</v>
      </c>
      <c r="C112" s="3628"/>
      <c r="D112" s="249" t="s">
        <v>195</v>
      </c>
      <c r="E112" s="14" t="s">
        <v>1104</v>
      </c>
      <c r="F112" s="1069"/>
      <c r="G112" s="1069"/>
      <c r="H112" s="3166">
        <f>'R.FILE GOC'!H112</f>
        <v>0</v>
      </c>
      <c r="I112" s="3166"/>
      <c r="J112" s="3166"/>
      <c r="K112" s="3166">
        <f>'R.FILE GOC'!K112</f>
        <v>0</v>
      </c>
      <c r="L112" s="3166"/>
      <c r="M112" s="1549"/>
      <c r="N112" s="3166">
        <f>'R.FILE GOC'!N112</f>
        <v>0</v>
      </c>
      <c r="O112" s="3166"/>
      <c r="P112" s="3166"/>
      <c r="Q112" s="3166">
        <f>'R.FILE GOC'!Q112</f>
        <v>0</v>
      </c>
      <c r="R112" s="3166"/>
      <c r="S112" s="1139"/>
      <c r="T112" s="307"/>
      <c r="AD112" s="12"/>
      <c r="AE112" s="1139"/>
      <c r="AF112" s="307"/>
      <c r="AP112" s="12"/>
      <c r="AQ112" s="12" t="s">
        <v>530</v>
      </c>
    </row>
    <row r="113" spans="1:43" ht="41.25" customHeight="1">
      <c r="A113" s="1099" t="s">
        <v>564</v>
      </c>
      <c r="B113" s="3135" t="s">
        <v>554</v>
      </c>
      <c r="C113" s="3628"/>
      <c r="D113" s="249" t="s">
        <v>195</v>
      </c>
      <c r="E113" s="14" t="s">
        <v>1411</v>
      </c>
      <c r="F113" s="1069"/>
      <c r="G113" s="1069"/>
      <c r="H113" s="3166">
        <f>'R.FILE GOC'!H113</f>
        <v>62</v>
      </c>
      <c r="I113" s="3166"/>
      <c r="J113" s="3166"/>
      <c r="K113" s="3166">
        <f>'R.FILE GOC'!K113</f>
        <v>61</v>
      </c>
      <c r="L113" s="3166"/>
      <c r="M113" s="1406"/>
      <c r="N113" s="3166">
        <f>'R.FILE GOC'!N113</f>
        <v>64</v>
      </c>
      <c r="O113" s="3166"/>
      <c r="P113" s="3166"/>
      <c r="Q113" s="3166">
        <f>'R.FILE GOC'!Q113</f>
        <v>60</v>
      </c>
      <c r="R113" s="3166"/>
      <c r="S113" s="1139"/>
      <c r="T113" s="307"/>
      <c r="AD113" s="12"/>
      <c r="AE113" s="1139"/>
      <c r="AF113" s="307"/>
      <c r="AP113" s="12"/>
      <c r="AQ113" s="12" t="s">
        <v>530</v>
      </c>
    </row>
    <row r="114" spans="1:43" ht="41.25" customHeight="1">
      <c r="A114" s="1099" t="s">
        <v>565</v>
      </c>
      <c r="B114" s="3135" t="s">
        <v>566</v>
      </c>
      <c r="C114" s="3628"/>
      <c r="D114" s="249" t="s">
        <v>195</v>
      </c>
      <c r="E114" s="14" t="s">
        <v>1105</v>
      </c>
      <c r="F114" s="1069"/>
      <c r="G114" s="1069"/>
      <c r="H114" s="3714" t="s">
        <v>1106</v>
      </c>
      <c r="I114" s="3714"/>
      <c r="J114" s="3714"/>
      <c r="K114" s="3687">
        <f>'R.FILE GOC'!K114</f>
        <v>109</v>
      </c>
      <c r="L114" s="3687"/>
      <c r="M114" s="1463"/>
      <c r="N114" s="3626" t="s">
        <v>1267</v>
      </c>
      <c r="O114" s="3626"/>
      <c r="P114" s="3626"/>
      <c r="Q114" s="3166">
        <f>'R.FILE GOC'!Q114</f>
        <v>109</v>
      </c>
      <c r="R114" s="3166"/>
      <c r="S114" s="1139"/>
      <c r="T114" s="307"/>
      <c r="AD114" s="12"/>
      <c r="AE114" s="1139"/>
      <c r="AF114" s="307"/>
      <c r="AP114" s="12"/>
      <c r="AQ114" s="12" t="s">
        <v>530</v>
      </c>
    </row>
  </sheetData>
  <sheetProtection formatCells="0" formatColumns="0" formatRows="0" insertColumns="0" insertRows="0" insertHyperlinks="0" deleteColumns="0" deleteRows="0" selectLockedCells="1" sort="0" autoFilter="0" pivotTables="0"/>
  <mergeCells count="309">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 ref="H108:J108"/>
    <mergeCell ref="N108:P108"/>
    <mergeCell ref="Q108:R108"/>
    <mergeCell ref="H109:J109"/>
    <mergeCell ref="N109:P109"/>
    <mergeCell ref="Q109:R109"/>
    <mergeCell ref="H110:J110"/>
    <mergeCell ref="K110:L110"/>
    <mergeCell ref="N110:P110"/>
    <mergeCell ref="Q110:R110"/>
    <mergeCell ref="K108:M108"/>
    <mergeCell ref="K109:M109"/>
    <mergeCell ref="H105:J105"/>
    <mergeCell ref="K105:L105"/>
    <mergeCell ref="N105:P105"/>
    <mergeCell ref="Q105:R105"/>
    <mergeCell ref="H106:J106"/>
    <mergeCell ref="K106:L106"/>
    <mergeCell ref="N106:P106"/>
    <mergeCell ref="Q106:R106"/>
    <mergeCell ref="H107:J107"/>
    <mergeCell ref="N107:P107"/>
    <mergeCell ref="Q107:R107"/>
    <mergeCell ref="K107:M10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H75:J75"/>
    <mergeCell ref="K75:L75"/>
    <mergeCell ref="N75:P75"/>
    <mergeCell ref="Q75:R75"/>
    <mergeCell ref="H76:J76"/>
    <mergeCell ref="K76:L76"/>
    <mergeCell ref="N76:P76"/>
    <mergeCell ref="Q76:R76"/>
    <mergeCell ref="H77:J77"/>
    <mergeCell ref="K77:L77"/>
    <mergeCell ref="N77:P77"/>
    <mergeCell ref="Q77:R77"/>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41:C41"/>
    <mergeCell ref="B42:C42"/>
    <mergeCell ref="C43:C45"/>
    <mergeCell ref="Z39:AD39"/>
    <mergeCell ref="AF39:AJ39"/>
    <mergeCell ref="AL39:AP39"/>
    <mergeCell ref="J40:L40"/>
    <mergeCell ref="P40:R40"/>
    <mergeCell ref="V40:X40"/>
    <mergeCell ref="AB40:AD40"/>
    <mergeCell ref="AH40:AJ40"/>
    <mergeCell ref="AN40:AP40"/>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63:C63"/>
    <mergeCell ref="B64:C64"/>
    <mergeCell ref="B65:C65"/>
    <mergeCell ref="B66:C66"/>
    <mergeCell ref="B67:C67"/>
    <mergeCell ref="B68:C68"/>
    <mergeCell ref="B57:C57"/>
    <mergeCell ref="B58:C58"/>
    <mergeCell ref="B59:C59"/>
    <mergeCell ref="B60:C60"/>
    <mergeCell ref="B61:C61"/>
    <mergeCell ref="B62:C62"/>
    <mergeCell ref="B76:C76"/>
    <mergeCell ref="B77:C77"/>
    <mergeCell ref="B78:C78"/>
    <mergeCell ref="B79:C79"/>
    <mergeCell ref="B80:C80"/>
    <mergeCell ref="B81:C81"/>
    <mergeCell ref="B69:C69"/>
    <mergeCell ref="B70:C70"/>
    <mergeCell ref="B71:C71"/>
    <mergeCell ref="B72:C72"/>
    <mergeCell ref="B74:C74"/>
    <mergeCell ref="B75:C75"/>
    <mergeCell ref="B87:C88"/>
    <mergeCell ref="D87:D88"/>
    <mergeCell ref="E87:E88"/>
    <mergeCell ref="H87:L87"/>
    <mergeCell ref="N87:R87"/>
    <mergeCell ref="J88:L88"/>
    <mergeCell ref="P88:R88"/>
    <mergeCell ref="B83:C83"/>
    <mergeCell ref="H83:L83"/>
    <mergeCell ref="N83:R83"/>
    <mergeCell ref="B84:C84"/>
    <mergeCell ref="H84:L84"/>
    <mergeCell ref="N84:R84"/>
    <mergeCell ref="B95:C95"/>
    <mergeCell ref="B96:C96"/>
    <mergeCell ref="B97:C97"/>
    <mergeCell ref="B100:C100"/>
    <mergeCell ref="B101:C101"/>
    <mergeCell ref="B89:C89"/>
    <mergeCell ref="B90:C90"/>
    <mergeCell ref="B91:C91"/>
    <mergeCell ref="B92:C92"/>
    <mergeCell ref="B93:C93"/>
    <mergeCell ref="B94:C94"/>
    <mergeCell ref="B109:C109"/>
    <mergeCell ref="B110:C110"/>
    <mergeCell ref="B111:C111"/>
    <mergeCell ref="B112:C112"/>
    <mergeCell ref="B113:C113"/>
    <mergeCell ref="B114:C114"/>
    <mergeCell ref="B102:C102"/>
    <mergeCell ref="B104:C104"/>
    <mergeCell ref="B105:C105"/>
    <mergeCell ref="B106:C106"/>
    <mergeCell ref="B107:C107"/>
    <mergeCell ref="B108:C108"/>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T50:V50"/>
    <mergeCell ref="AF36:AH36"/>
    <mergeCell ref="AI36:AJ36"/>
    <mergeCell ref="AL36:AN36"/>
    <mergeCell ref="AO36:AP36"/>
    <mergeCell ref="H36:J36"/>
    <mergeCell ref="K36:L36"/>
    <mergeCell ref="N36:P36"/>
    <mergeCell ref="Q36:R36"/>
    <mergeCell ref="T36:V36"/>
    <mergeCell ref="W36:X36"/>
    <mergeCell ref="Z52:AB52"/>
    <mergeCell ref="AC52:AD52"/>
    <mergeCell ref="AF52:AH52"/>
    <mergeCell ref="AI52:AJ52"/>
    <mergeCell ref="AL52:AN52"/>
    <mergeCell ref="AO52:AP52"/>
    <mergeCell ref="H52:J52"/>
    <mergeCell ref="K52:L52"/>
    <mergeCell ref="N52:P52"/>
    <mergeCell ref="Q52:R52"/>
    <mergeCell ref="T52:V52"/>
    <mergeCell ref="W52:X52"/>
  </mergeCells>
  <phoneticPr fontId="7" type="noConversion"/>
  <conditionalFormatting sqref="H6:H7 H26 AL6:AL7 AF6:AF7 Z6:Z7 T6:T7 N6:N7 N26 T26 Z26 AF26 AL26 H42 N42 T42 Z42 AF42 AL42">
    <cfRule type="expression" dxfId="457" priority="605">
      <formula>H6&lt;10</formula>
    </cfRule>
    <cfRule type="expression" dxfId="456" priority="606">
      <formula>H6&gt;15</formula>
    </cfRule>
  </conditionalFormatting>
  <conditionalFormatting sqref="H11 H27 AL8 AL11 AF8 AF11 Z8 Z11 T8 T11 N8 N11 H8 N27 T27 Z27 AF27 AL27 H43 N43 T43 Z43 AF43 AL43">
    <cfRule type="expression" dxfId="455" priority="603">
      <formula>H8&lt;40</formula>
    </cfRule>
    <cfRule type="expression" dxfId="454" priority="604">
      <formula>H8&gt;60</formula>
    </cfRule>
  </conditionalFormatting>
  <conditionalFormatting sqref="H28 AL9 AL12 AF9 AF12 Z9 Z12 T9 T12 N9 N12 H9 H12 N28 T28 Z28 AF28 AL28 H44 N44 T44 Z44 AF44 AL44">
    <cfRule type="expression" dxfId="453" priority="601">
      <formula>H9&lt;5.2</formula>
    </cfRule>
    <cfRule type="expression" dxfId="452" priority="602">
      <formula>H9&gt;7.8</formula>
    </cfRule>
  </conditionalFormatting>
  <conditionalFormatting sqref="H29 AL10 AL13 AF10 AF13 Z10 Z13 T10 T13 N10 N13 H10 H13 N29 T29 Z29 AF29 AL29 H45 N45 T45 Z45 AF45 AL45">
    <cfRule type="expression" dxfId="451" priority="600">
      <formula>H10&gt;0.4</formula>
    </cfRule>
  </conditionalFormatting>
  <conditionalFormatting sqref="H30 AL14 AF14 Z14 T14 N14 H14 N30 T30 Z30 AF30 AL30 H46 N46 T46 Z46 AF46 AL46">
    <cfRule type="expression" dxfId="450" priority="598">
      <formula>H14&lt;0.8</formula>
    </cfRule>
    <cfRule type="expression" dxfId="449" priority="599">
      <formula>H14&gt;1.2</formula>
    </cfRule>
  </conditionalFormatting>
  <conditionalFormatting sqref="H31 AL15 AF15 Z15 T15 N15 H15 N31 T31 Z31 AF31 AL31 H47 N47 T47 Z47 AF47 AL47">
    <cfRule type="expression" dxfId="448" priority="596">
      <formula>H15&lt;8</formula>
    </cfRule>
    <cfRule type="expression" dxfId="447" priority="597">
      <formula>H15&gt;10</formula>
    </cfRule>
  </conditionalFormatting>
  <conditionalFormatting sqref="H25 N25 T25 Z25 AF25 AL25 H41 N41 T41 Z41 AF41 AL41">
    <cfRule type="expression" dxfId="446" priority="594">
      <formula>H25&lt;30</formula>
    </cfRule>
    <cfRule type="expression" dxfId="445" priority="595">
      <formula>H25&gt;50</formula>
    </cfRule>
  </conditionalFormatting>
  <conditionalFormatting sqref="N60 H60">
    <cfRule type="expression" dxfId="444" priority="592">
      <formula>H60&lt;5</formula>
    </cfRule>
    <cfRule type="expression" dxfId="443" priority="593">
      <formula>H60&gt;15</formula>
    </cfRule>
  </conditionalFormatting>
  <conditionalFormatting sqref="N61 H61">
    <cfRule type="expression" dxfId="442" priority="591">
      <formula>H61&gt;1.5</formula>
    </cfRule>
  </conditionalFormatting>
  <conditionalFormatting sqref="N62 H62">
    <cfRule type="expression" dxfId="441" priority="589">
      <formula>H62&lt;20</formula>
    </cfRule>
    <cfRule type="expression" dxfId="440" priority="590">
      <formula>H62&gt;25</formula>
    </cfRule>
  </conditionalFormatting>
  <conditionalFormatting sqref="N63 H63">
    <cfRule type="expression" dxfId="439" priority="587">
      <formula>H63&lt;6</formula>
    </cfRule>
    <cfRule type="expression" dxfId="438" priority="588">
      <formula>H63&gt;9</formula>
    </cfRule>
  </conditionalFormatting>
  <conditionalFormatting sqref="N64 H64">
    <cfRule type="expression" dxfId="437" priority="585">
      <formula>H64&lt;7</formula>
    </cfRule>
    <cfRule type="expression" dxfId="436" priority="586">
      <formula>H64&gt;10</formula>
    </cfRule>
  </conditionalFormatting>
  <conditionalFormatting sqref="N65:N66 H65:H66">
    <cfRule type="expression" dxfId="435" priority="583">
      <formula>H65&lt;5.3</formula>
    </cfRule>
    <cfRule type="expression" dxfId="434" priority="584">
      <formula>H65&gt;6</formula>
    </cfRule>
  </conditionalFormatting>
  <conditionalFormatting sqref="H67 H69">
    <cfRule type="expression" dxfId="433" priority="581">
      <formula>H67&lt;12</formula>
    </cfRule>
    <cfRule type="expression" dxfId="432" priority="582">
      <formula>H67&gt;18</formula>
    </cfRule>
  </conditionalFormatting>
  <conditionalFormatting sqref="H68 H70">
    <cfRule type="expression" dxfId="431" priority="579">
      <formula>H68&lt;8</formula>
    </cfRule>
    <cfRule type="expression" dxfId="430" priority="580">
      <formula>H68&gt;16</formula>
    </cfRule>
  </conditionalFormatting>
  <conditionalFormatting sqref="N89:N90 H89:H90">
    <cfRule type="expression" dxfId="429" priority="577">
      <formula>H89&lt;20</formula>
    </cfRule>
    <cfRule type="expression" dxfId="428" priority="578">
      <formula>H89&gt;30</formula>
    </cfRule>
  </conditionalFormatting>
  <conditionalFormatting sqref="N91 H91">
    <cfRule type="expression" dxfId="427" priority="575">
      <formula>H91&lt;210</formula>
    </cfRule>
    <cfRule type="expression" dxfId="426" priority="576">
      <formula>H91&gt;290</formula>
    </cfRule>
  </conditionalFormatting>
  <conditionalFormatting sqref="N92 N94 N96 H92 H94 H96">
    <cfRule type="expression" dxfId="425" priority="573">
      <formula>H92&lt;120</formula>
    </cfRule>
    <cfRule type="expression" dxfId="424" priority="574">
      <formula>H92&gt;150</formula>
    </cfRule>
  </conditionalFormatting>
  <conditionalFormatting sqref="N93 N95 N97 H93 H95 H97">
    <cfRule type="expression" dxfId="423" priority="571">
      <formula>H93&lt;1</formula>
    </cfRule>
    <cfRule type="expression" dxfId="422" priority="572">
      <formula>H93&gt;5</formula>
    </cfRule>
  </conditionalFormatting>
  <conditionalFormatting sqref="N98 H98">
    <cfRule type="expression" dxfId="421" priority="569">
      <formula>H98&lt;8</formula>
    </cfRule>
    <cfRule type="expression" dxfId="420" priority="570">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419" priority="568">
      <formula>H6&lt;1</formula>
    </cfRule>
  </conditionalFormatting>
  <conditionalFormatting sqref="H30 AL14 AF14 Z14 T14 N14 H14 N30 T30 Z30 AF30 AL30 H46 N46 T46 Z46 AF46 AL46">
    <cfRule type="expression" dxfId="418" priority="567">
      <formula>H14&lt;0.1</formula>
    </cfRule>
  </conditionalFormatting>
  <conditionalFormatting sqref="H18:L19 N18:R19 T18:X19 Z18:AD19 AF18:AJ19 AL18:AP19 H35:L35 N35:R35 T35:X35 Z35:AD35 AF35:AJ35 AL35:AP35 H51:L51 N51:R51 T51:X51 Z51:AD51 AF51:AJ51 AL51:AP51">
    <cfRule type="expression" dxfId="417" priority="565">
      <formula>H18&lt;65</formula>
    </cfRule>
    <cfRule type="expression" dxfId="416" priority="566">
      <formula>H18&gt;85</formula>
    </cfRule>
  </conditionalFormatting>
  <conditionalFormatting sqref="H20:L20 N20:R20 T20:X20 Z20:AD20 AF20:AJ20 AL20:AP20 H36:L36 N36:R36 T36:X36 Z36:AD36 AF36:AJ36 AL36:AP36 H52:L52 N52:R52 T52:X52 Z52:AD52 AF52:AJ52 AL52:AP52">
    <cfRule type="expression" dxfId="415" priority="563">
      <formula>H20&lt;80</formula>
    </cfRule>
    <cfRule type="expression" dxfId="414" priority="564">
      <formula>H20&gt;90</formula>
    </cfRule>
  </conditionalFormatting>
  <conditionalFormatting sqref="H34 K34 N34 Q34 T34 W34 Z34 AC34 AF34 AI34 AL34 AO34 H50 K50 N50 Q50 T50 W50 Z50 AC50 AF50 AI50 AL50 AO50 H111 H113 K111 K113 N111 N113 Q111 Q113">
    <cfRule type="expression" dxfId="413" priority="465">
      <formula>H34&lt;55</formula>
    </cfRule>
    <cfRule type="expression" dxfId="412" priority="466">
      <formula>H34&gt;65</formula>
    </cfRule>
  </conditionalFormatting>
  <conditionalFormatting sqref="K75:L77 N75:R77 H75:H77">
    <cfRule type="expression" dxfId="411" priority="393">
      <formula>H75&lt;51</formula>
    </cfRule>
    <cfRule type="expression" dxfId="410" priority="394">
      <formula>H75&gt;59</formula>
    </cfRule>
  </conditionalFormatting>
  <conditionalFormatting sqref="K78:L78 H78 N78:R78">
    <cfRule type="expression" dxfId="409" priority="387">
      <formula>H78&lt;30</formula>
    </cfRule>
    <cfRule type="expression" dxfId="408" priority="388">
      <formula>H78&gt;40</formula>
    </cfRule>
  </conditionalFormatting>
  <conditionalFormatting sqref="K79:L80 N79:R80 H79:H80">
    <cfRule type="expression" dxfId="407" priority="384">
      <formula>H79&lt;26</formula>
    </cfRule>
    <cfRule type="expression" dxfId="406" priority="385">
      <formula>H79&gt;32</formula>
    </cfRule>
  </conditionalFormatting>
  <conditionalFormatting sqref="K81 Q81">
    <cfRule type="expression" dxfId="405" priority="363">
      <formula>K81&lt;170</formula>
    </cfRule>
    <cfRule type="expression" dxfId="404" priority="364">
      <formula>K81&gt;220</formula>
    </cfRule>
  </conditionalFormatting>
  <conditionalFormatting sqref="H57 N57">
    <cfRule type="expression" dxfId="403" priority="168">
      <formula>H57&lt;10</formula>
    </cfRule>
    <cfRule type="expression" dxfId="402" priority="169">
      <formula>H57&gt;20</formula>
    </cfRule>
  </conditionalFormatting>
  <conditionalFormatting sqref="I58:I59">
    <cfRule type="expression" dxfId="401" priority="167" stopIfTrue="1">
      <formula>I58&lt;40</formula>
    </cfRule>
  </conditionalFormatting>
  <conditionalFormatting sqref="I58:I59">
    <cfRule type="expression" dxfId="400" priority="166" stopIfTrue="1">
      <formula>I58&gt;60</formula>
    </cfRule>
  </conditionalFormatting>
  <conditionalFormatting sqref="H99 N99">
    <cfRule type="expression" dxfId="399" priority="162">
      <formula>H99&lt;6</formula>
    </cfRule>
    <cfRule type="expression" dxfId="398" priority="163">
      <formula>H99&gt;8</formula>
    </cfRule>
  </conditionalFormatting>
  <conditionalFormatting sqref="H105:H106 K105:K106 N105:N106 Q105:Q106">
    <cfRule type="expression" dxfId="397" priority="154">
      <formula>H105&lt;45</formula>
    </cfRule>
    <cfRule type="expression" dxfId="396" priority="155">
      <formula>H105&gt;65</formula>
    </cfRule>
  </conditionalFormatting>
  <conditionalFormatting sqref="K114 Q114">
    <cfRule type="expression" dxfId="395" priority="146">
      <formula>K114&lt;100</formula>
    </cfRule>
    <cfRule type="expression" dxfId="394" priority="147">
      <formula>K114&gt;110</formula>
    </cfRule>
  </conditionalFormatting>
  <conditionalFormatting sqref="H107:H109 K107:K109 N107:N109 Q107:Q109">
    <cfRule type="expression" dxfId="393" priority="118">
      <formula>H107&lt;18</formula>
    </cfRule>
    <cfRule type="expression" dxfId="392" priority="119">
      <formula>H107&gt;25</formula>
    </cfRule>
  </conditionalFormatting>
  <conditionalFormatting sqref="H110 K110 N110 Q110">
    <cfRule type="expression" dxfId="391" priority="110">
      <formula>H110&lt;45</formula>
    </cfRule>
    <cfRule type="expression" dxfId="390" priority="111">
      <formula>H110&gt;60</formula>
    </cfRule>
  </conditionalFormatting>
  <conditionalFormatting sqref="H112 K112 N112 Q112">
    <cfRule type="expression" dxfId="389" priority="104">
      <formula>H112&lt;42</formula>
    </cfRule>
    <cfRule type="expression" dxfId="388" priority="105">
      <formula>H112&gt;47</formula>
    </cfRule>
  </conditionalFormatting>
  <conditionalFormatting sqref="H100:H102 N100:N102">
    <cfRule type="expression" dxfId="387" priority="78">
      <formula>H100&lt;5.5</formula>
    </cfRule>
    <cfRule type="expression" dxfId="386" priority="79">
      <formula>H100&gt;6</formula>
    </cfRule>
  </conditionalFormatting>
  <conditionalFormatting sqref="H58:H59 N58:N59">
    <cfRule type="cellIs" dxfId="385" priority="64" operator="between">
      <formula>40</formula>
      <formula>44.99</formula>
    </cfRule>
    <cfRule type="cellIs" dxfId="384" priority="65" operator="between">
      <formula>55.1</formula>
      <formula>60</formula>
    </cfRule>
    <cfRule type="expression" dxfId="383" priority="66">
      <formula>H58&lt;40</formula>
    </cfRule>
    <cfRule type="expression" dxfId="382" priority="67">
      <formula>H58&gt;60</formula>
    </cfRule>
  </conditionalFormatting>
  <printOptions horizontalCentered="1"/>
  <pageMargins left="0.26" right="0.16" top="0.3" bottom="0.45" header="0.17" footer="0.27559055118110237"/>
  <pageSetup paperSize="9" scale="38" orientation="portrait" verticalDpi="300" r:id="rId1"/>
  <headerFooter alignWithMargins="0"/>
  <drawing r:id="rId2"/>
</worksheet>
</file>

<file path=xl/worksheets/sheet42.xml><?xml version="1.0" encoding="utf-8"?>
<worksheet xmlns="http://schemas.openxmlformats.org/spreadsheetml/2006/main" xmlns:r="http://schemas.openxmlformats.org/officeDocument/2006/relationships">
  <sheetPr codeName="Sheet33">
    <tabColor rgb="FF00B050"/>
  </sheetPr>
  <dimension ref="A1:Y128"/>
  <sheetViews>
    <sheetView zoomScale="70" zoomScaleNormal="70" workbookViewId="0">
      <selection sqref="A1:Y1"/>
    </sheetView>
  </sheetViews>
  <sheetFormatPr defaultRowHeight="18"/>
  <cols>
    <col min="1" max="1" width="3.375" style="610" customWidth="1"/>
    <col min="2" max="2" width="22.25" style="1826" customWidth="1"/>
    <col min="3" max="4" width="5" style="610" customWidth="1"/>
    <col min="5" max="5" width="8.125" style="610" customWidth="1"/>
    <col min="6" max="6" width="15.75" style="663" customWidth="1"/>
    <col min="7" max="7" width="12" style="610" hidden="1" customWidth="1"/>
    <col min="8" max="8" width="8.75" style="610" hidden="1" customWidth="1"/>
    <col min="9" max="9" width="9.125" style="664" hidden="1" customWidth="1"/>
    <col min="10" max="10" width="11.25" style="664" hidden="1" customWidth="1"/>
    <col min="11" max="11" width="2.5" style="664" hidden="1" customWidth="1"/>
    <col min="12" max="12" width="9.5" style="665" hidden="1" customWidth="1"/>
    <col min="13" max="13" width="4.75" style="664" hidden="1" customWidth="1"/>
    <col min="14" max="14" width="8.75" style="664" hidden="1" customWidth="1"/>
    <col min="15" max="15" width="8.125" style="664" hidden="1" customWidth="1"/>
    <col min="16" max="16" width="11.25" style="664" hidden="1" customWidth="1"/>
    <col min="17" max="17" width="3" style="664" hidden="1" customWidth="1"/>
    <col min="18" max="18" width="9.25" style="665" hidden="1" customWidth="1"/>
    <col min="19" max="19" width="4.5" style="664" hidden="1" customWidth="1"/>
    <col min="20" max="20" width="9" style="664" hidden="1" customWidth="1"/>
    <col min="21" max="21" width="8.375" style="664" customWidth="1"/>
    <col min="22" max="22" width="9" style="664" hidden="1" customWidth="1"/>
    <col min="23" max="23" width="3.75" style="664" customWidth="1"/>
    <col min="24" max="24" width="8.5" style="665" customWidth="1"/>
    <col min="25" max="25" width="4.75" style="664" customWidth="1"/>
    <col min="26" max="16384" width="9" style="610"/>
  </cols>
  <sheetData>
    <row r="1" spans="1:25" ht="53.25" customHeight="1">
      <c r="A1" s="3766" t="s">
        <v>734</v>
      </c>
      <c r="B1" s="3766"/>
      <c r="C1" s="3766"/>
      <c r="D1" s="3766"/>
      <c r="E1" s="3766"/>
      <c r="F1" s="3766"/>
      <c r="G1" s="3766"/>
      <c r="H1" s="3766"/>
      <c r="I1" s="3766"/>
      <c r="J1" s="3766"/>
      <c r="K1" s="3766"/>
      <c r="L1" s="3766"/>
      <c r="M1" s="3766"/>
      <c r="N1" s="3766"/>
      <c r="O1" s="3766"/>
      <c r="P1" s="3766"/>
      <c r="Q1" s="3766"/>
      <c r="R1" s="3766"/>
      <c r="S1" s="3766"/>
      <c r="T1" s="3766"/>
      <c r="U1" s="3766"/>
      <c r="V1" s="3766"/>
      <c r="W1" s="3766"/>
      <c r="X1" s="3766"/>
      <c r="Y1" s="3766"/>
    </row>
    <row r="2" spans="1:25" ht="28.5" customHeight="1">
      <c r="A2" s="611"/>
      <c r="B2" s="1824"/>
      <c r="C2" s="611"/>
      <c r="D2" s="611"/>
      <c r="E2" s="612"/>
      <c r="F2" s="613"/>
      <c r="G2" s="612"/>
      <c r="H2" s="612"/>
      <c r="I2" s="612"/>
      <c r="J2" s="612"/>
      <c r="K2" s="612"/>
      <c r="L2" s="1140"/>
      <c r="M2" s="612"/>
      <c r="N2" s="612"/>
      <c r="O2" s="612"/>
      <c r="P2" s="612"/>
      <c r="Q2" s="612"/>
      <c r="R2" s="614"/>
      <c r="S2" s="612"/>
      <c r="T2" s="612"/>
      <c r="U2" s="612"/>
      <c r="V2" s="612"/>
      <c r="W2" s="612"/>
      <c r="X2" s="1140"/>
      <c r="Y2" s="612"/>
    </row>
    <row r="3" spans="1:25" s="615" customFormat="1" ht="30.75" customHeight="1">
      <c r="A3" s="3767" t="s">
        <v>403</v>
      </c>
      <c r="B3" s="3768"/>
      <c r="C3" s="3755" t="str">
        <f>MENU!$AC$9</f>
        <v>Thứ 4,</v>
      </c>
      <c r="D3" s="3755"/>
      <c r="E3" s="3756" t="str">
        <f>MENU!$AD$9</f>
        <v>2024/05/22</v>
      </c>
      <c r="F3" s="3757"/>
      <c r="G3" s="3757"/>
      <c r="H3" s="3757"/>
      <c r="I3" s="2003" t="s">
        <v>735</v>
      </c>
      <c r="J3" s="2003"/>
      <c r="K3" s="2003"/>
      <c r="L3" s="2003"/>
      <c r="M3" s="2003"/>
      <c r="N3" s="2003"/>
      <c r="O3" s="2003"/>
      <c r="P3" s="2003"/>
      <c r="Q3" s="2003"/>
      <c r="R3" s="2003"/>
      <c r="S3" s="2003"/>
      <c r="T3" s="2003"/>
      <c r="U3" s="2003"/>
      <c r="V3" s="2003"/>
      <c r="W3" s="2003"/>
      <c r="X3" s="2003"/>
      <c r="Y3" s="2004"/>
    </row>
    <row r="4" spans="1:25" ht="30.75" customHeight="1">
      <c r="A4" s="3739" t="s">
        <v>7</v>
      </c>
      <c r="B4" s="3216" t="s">
        <v>736</v>
      </c>
      <c r="C4" s="3217"/>
      <c r="D4" s="3742"/>
      <c r="E4" s="3747" t="s">
        <v>737</v>
      </c>
      <c r="F4" s="3750" t="s">
        <v>738</v>
      </c>
      <c r="G4" s="616"/>
      <c r="H4" s="617"/>
      <c r="I4" s="3753" t="s">
        <v>739</v>
      </c>
      <c r="J4" s="3754"/>
      <c r="K4" s="3754"/>
      <c r="L4" s="3754"/>
      <c r="M4" s="3754"/>
      <c r="N4" s="618"/>
      <c r="O4" s="3753" t="s">
        <v>1292</v>
      </c>
      <c r="P4" s="3754"/>
      <c r="Q4" s="3754"/>
      <c r="R4" s="3754"/>
      <c r="S4" s="3754"/>
      <c r="T4" s="618"/>
      <c r="U4" s="3753" t="s">
        <v>1293</v>
      </c>
      <c r="V4" s="3754"/>
      <c r="W4" s="3754"/>
      <c r="X4" s="3754"/>
      <c r="Y4" s="3754"/>
    </row>
    <row r="5" spans="1:25" ht="30.75" customHeight="1">
      <c r="A5" s="3740"/>
      <c r="B5" s="3743"/>
      <c r="C5" s="3744"/>
      <c r="D5" s="3745"/>
      <c r="E5" s="3748"/>
      <c r="F5" s="3751"/>
      <c r="G5" s="619" t="s">
        <v>422</v>
      </c>
      <c r="H5" s="620"/>
      <c r="I5" s="3731" t="s">
        <v>740</v>
      </c>
      <c r="J5" s="622" t="s">
        <v>741</v>
      </c>
      <c r="K5" s="3733" t="s">
        <v>1</v>
      </c>
      <c r="L5" s="3733"/>
      <c r="M5" s="3734"/>
      <c r="N5" s="621"/>
      <c r="O5" s="3731" t="s">
        <v>740</v>
      </c>
      <c r="P5" s="622" t="s">
        <v>741</v>
      </c>
      <c r="Q5" s="3733" t="s">
        <v>1</v>
      </c>
      <c r="R5" s="3733"/>
      <c r="S5" s="3734"/>
      <c r="T5" s="620"/>
      <c r="U5" s="3731" t="s">
        <v>740</v>
      </c>
      <c r="V5" s="622" t="s">
        <v>741</v>
      </c>
      <c r="W5" s="3733" t="s">
        <v>1</v>
      </c>
      <c r="X5" s="3733"/>
      <c r="Y5" s="3734"/>
    </row>
    <row r="6" spans="1:25" ht="30.75" customHeight="1">
      <c r="A6" s="3741"/>
      <c r="B6" s="3218"/>
      <c r="C6" s="3219"/>
      <c r="D6" s="3746"/>
      <c r="E6" s="3749"/>
      <c r="F6" s="3752"/>
      <c r="G6" s="619"/>
      <c r="H6" s="620"/>
      <c r="I6" s="3732"/>
      <c r="J6" s="623"/>
      <c r="K6" s="3735"/>
      <c r="L6" s="3735"/>
      <c r="M6" s="3736"/>
      <c r="N6" s="621"/>
      <c r="O6" s="3732"/>
      <c r="P6" s="623"/>
      <c r="Q6" s="3735"/>
      <c r="R6" s="3735"/>
      <c r="S6" s="3736"/>
      <c r="T6" s="620"/>
      <c r="U6" s="3732"/>
      <c r="V6" s="623"/>
      <c r="W6" s="3735"/>
      <c r="X6" s="3735"/>
      <c r="Y6" s="3736"/>
    </row>
    <row r="7" spans="1:25" ht="30.75" customHeight="1">
      <c r="A7" s="624">
        <v>1</v>
      </c>
      <c r="B7" s="3715" t="s">
        <v>742</v>
      </c>
      <c r="C7" s="3716"/>
      <c r="D7" s="3717"/>
      <c r="E7" s="625" t="s">
        <v>431</v>
      </c>
      <c r="F7" s="626" t="s">
        <v>728</v>
      </c>
      <c r="G7" s="627">
        <v>40</v>
      </c>
      <c r="H7" s="628">
        <f>R.HN!C16</f>
        <v>0</v>
      </c>
      <c r="I7" s="634"/>
      <c r="J7" s="634"/>
      <c r="K7" s="635"/>
      <c r="L7" s="1141"/>
      <c r="M7" s="636"/>
      <c r="N7" s="629">
        <f>R.HN!D16</f>
        <v>0</v>
      </c>
      <c r="O7" s="301">
        <f>'R.GUI MAIL'!H25</f>
        <v>0</v>
      </c>
      <c r="P7" s="630"/>
      <c r="Q7" s="631" t="s">
        <v>8</v>
      </c>
      <c r="R7" s="1142">
        <f>'R.GUI MAIL'!K25</f>
        <v>0</v>
      </c>
      <c r="S7" s="632" t="s">
        <v>9</v>
      </c>
      <c r="T7" s="629"/>
      <c r="U7" s="301">
        <f>'R.GUI MAIL'!H41</f>
        <v>40</v>
      </c>
      <c r="V7" s="634"/>
      <c r="W7" s="631" t="s">
        <v>8</v>
      </c>
      <c r="X7" s="1143">
        <f>'R.GUI MAIL'!K41</f>
        <v>0</v>
      </c>
      <c r="Y7" s="632" t="s">
        <v>1294</v>
      </c>
    </row>
    <row r="8" spans="1:25" ht="30.75" customHeight="1">
      <c r="A8" s="624">
        <v>2</v>
      </c>
      <c r="B8" s="3715" t="s">
        <v>425</v>
      </c>
      <c r="C8" s="3716"/>
      <c r="D8" s="3717"/>
      <c r="E8" s="633" t="s">
        <v>3</v>
      </c>
      <c r="F8" s="626" t="s">
        <v>426</v>
      </c>
      <c r="G8" s="627">
        <v>22</v>
      </c>
      <c r="H8" s="628">
        <f>R.HN!C17</f>
        <v>0</v>
      </c>
      <c r="I8" s="301">
        <f>'R.GUI MAIL'!H6</f>
        <v>0</v>
      </c>
      <c r="J8" s="630"/>
      <c r="K8" s="631" t="s">
        <v>8</v>
      </c>
      <c r="L8" s="1142">
        <f>'R.GUI MAIL'!K6</f>
        <v>0</v>
      </c>
      <c r="M8" s="632" t="s">
        <v>10</v>
      </c>
      <c r="N8" s="629">
        <f>R.HN!D17</f>
        <v>0</v>
      </c>
      <c r="O8" s="301">
        <f>'R.GUI MAIL'!H26</f>
        <v>0</v>
      </c>
      <c r="P8" s="630"/>
      <c r="Q8" s="631" t="s">
        <v>8</v>
      </c>
      <c r="R8" s="1142">
        <f>'R.GUI MAIL'!K26</f>
        <v>0</v>
      </c>
      <c r="S8" s="632" t="s">
        <v>10</v>
      </c>
      <c r="T8" s="629"/>
      <c r="U8" s="301">
        <f>'R.GUI MAIL'!H42</f>
        <v>11.132499999999999</v>
      </c>
      <c r="V8" s="630"/>
      <c r="W8" s="631" t="s">
        <v>8</v>
      </c>
      <c r="X8" s="1142">
        <f>'R.GUI MAIL'!K42</f>
        <v>111.32304687500012</v>
      </c>
      <c r="Y8" s="632" t="str">
        <f>'R.GUI MAIL'!L41</f>
        <v>kg</v>
      </c>
    </row>
    <row r="9" spans="1:25" ht="24.75" hidden="1" customHeight="1">
      <c r="A9" s="624">
        <v>3</v>
      </c>
      <c r="B9" s="3722" t="s">
        <v>391</v>
      </c>
      <c r="C9" s="3723"/>
      <c r="D9" s="3724"/>
      <c r="E9" s="633" t="s">
        <v>3</v>
      </c>
      <c r="F9" s="626" t="s">
        <v>426</v>
      </c>
      <c r="G9" s="627"/>
      <c r="H9" s="628"/>
      <c r="I9" s="1100">
        <f>'R.GUI MAIL'!H7</f>
        <v>0</v>
      </c>
      <c r="J9" s="630"/>
      <c r="K9" s="631" t="s">
        <v>8</v>
      </c>
      <c r="L9" s="1142">
        <f>'R.GUI MAIL'!K7</f>
        <v>292.1875</v>
      </c>
      <c r="M9" s="632" t="s">
        <v>10</v>
      </c>
      <c r="N9" s="629"/>
      <c r="O9" s="634"/>
      <c r="P9" s="634"/>
      <c r="Q9" s="635"/>
      <c r="R9" s="1141"/>
      <c r="S9" s="636"/>
      <c r="T9" s="637"/>
      <c r="U9" s="1100">
        <f>'R.GUI MAIL'!H42</f>
        <v>11.132499999999999</v>
      </c>
      <c r="V9" s="630"/>
      <c r="W9" s="631" t="s">
        <v>8</v>
      </c>
      <c r="X9" s="1142">
        <f>'R.GUI MAIL'!K42</f>
        <v>111.32304687500012</v>
      </c>
      <c r="Y9" s="632" t="str">
        <f>'R.GUI MAIL'!L42</f>
        <v>L</v>
      </c>
    </row>
    <row r="10" spans="1:25" ht="30.75" customHeight="1">
      <c r="A10" s="624">
        <v>4</v>
      </c>
      <c r="B10" s="3728" t="s">
        <v>743</v>
      </c>
      <c r="C10" s="1144" t="s">
        <v>744</v>
      </c>
      <c r="D10" s="1145">
        <f>R.HN!$C$12</f>
        <v>3</v>
      </c>
      <c r="E10" s="3765" t="s">
        <v>431</v>
      </c>
      <c r="F10" s="626" t="s">
        <v>730</v>
      </c>
      <c r="G10" s="627">
        <v>50</v>
      </c>
      <c r="H10" s="628">
        <f>R.HN!C18</f>
        <v>0</v>
      </c>
      <c r="I10" s="301">
        <f>'R.GUI MAIL'!H8</f>
        <v>0</v>
      </c>
      <c r="J10" s="630"/>
      <c r="K10" s="631" t="s">
        <v>8</v>
      </c>
      <c r="L10" s="1142">
        <f>'R.GUI MAIL'!K8</f>
        <v>0</v>
      </c>
      <c r="M10" s="632" t="s">
        <v>9</v>
      </c>
      <c r="N10" s="629">
        <f>R.HN!D18</f>
        <v>0</v>
      </c>
      <c r="O10" s="301">
        <f>'R.GUI MAIL'!H27</f>
        <v>0</v>
      </c>
      <c r="P10" s="630"/>
      <c r="Q10" s="631" t="s">
        <v>8</v>
      </c>
      <c r="R10" s="1142">
        <f>'R.GUI MAIL'!K27</f>
        <v>0</v>
      </c>
      <c r="S10" s="632" t="s">
        <v>9</v>
      </c>
      <c r="T10" s="629"/>
      <c r="U10" s="301">
        <f>'R.GUI MAIL'!H43</f>
        <v>43</v>
      </c>
      <c r="V10" s="630"/>
      <c r="W10" s="631" t="s">
        <v>8</v>
      </c>
      <c r="X10" s="1142">
        <f>'R.GUI MAIL'!K43</f>
        <v>34.545000000000002</v>
      </c>
      <c r="Y10" s="632" t="str">
        <f>'R.GUI MAIL'!L43</f>
        <v>kg</v>
      </c>
    </row>
    <row r="11" spans="1:25" ht="30.75" customHeight="1">
      <c r="A11" s="624">
        <v>5</v>
      </c>
      <c r="B11" s="3729"/>
      <c r="C11" s="1146"/>
      <c r="D11" s="1147"/>
      <c r="E11" s="3765"/>
      <c r="F11" s="626" t="s">
        <v>726</v>
      </c>
      <c r="G11" s="638">
        <v>6</v>
      </c>
      <c r="H11" s="628">
        <f>R.HN!C19</f>
        <v>0</v>
      </c>
      <c r="I11" s="301">
        <f>'R.GUI MAIL'!H9</f>
        <v>0</v>
      </c>
      <c r="J11" s="630"/>
      <c r="K11" s="631" t="s">
        <v>8</v>
      </c>
      <c r="L11" s="1142">
        <f>'R.GUI MAIL'!K9</f>
        <v>0</v>
      </c>
      <c r="M11" s="632" t="s">
        <v>9</v>
      </c>
      <c r="N11" s="629">
        <f>R.HN!D19</f>
        <v>0</v>
      </c>
      <c r="O11" s="301">
        <f>'R.GUI MAIL'!H28</f>
        <v>0</v>
      </c>
      <c r="P11" s="630"/>
      <c r="Q11" s="631"/>
      <c r="R11" s="1142">
        <f>'R.GUI MAIL'!K28</f>
        <v>0</v>
      </c>
      <c r="S11" s="632" t="s">
        <v>9</v>
      </c>
      <c r="T11" s="629"/>
      <c r="U11" s="301">
        <f>'R.GUI MAIL'!H44</f>
        <v>8.6</v>
      </c>
      <c r="V11" s="630"/>
      <c r="W11" s="631" t="s">
        <v>8</v>
      </c>
      <c r="X11" s="1142">
        <f>'R.GUI MAIL'!K44</f>
        <v>0</v>
      </c>
      <c r="Y11" s="632" t="str">
        <f>'R.GUI MAIL'!L44</f>
        <v>kg</v>
      </c>
    </row>
    <row r="12" spans="1:25" ht="30.75" customHeight="1">
      <c r="A12" s="624">
        <v>6</v>
      </c>
      <c r="B12" s="3729"/>
      <c r="C12" s="1146"/>
      <c r="D12" s="1147"/>
      <c r="E12" s="3765"/>
      <c r="F12" s="626" t="s">
        <v>614</v>
      </c>
      <c r="G12" s="638">
        <v>0.4</v>
      </c>
      <c r="H12" s="628">
        <f>R.HN!C20</f>
        <v>0</v>
      </c>
      <c r="I12" s="413">
        <f>'R.GUI MAIL'!H10</f>
        <v>0</v>
      </c>
      <c r="J12" s="630"/>
      <c r="K12" s="631" t="s">
        <v>8</v>
      </c>
      <c r="L12" s="1142">
        <f>'R.GUI MAIL'!K10</f>
        <v>0</v>
      </c>
      <c r="M12" s="632" t="s">
        <v>9</v>
      </c>
      <c r="N12" s="629">
        <f>R.HN!D20</f>
        <v>0</v>
      </c>
      <c r="O12" s="413">
        <f>'R.GUI MAIL'!H29</f>
        <v>0</v>
      </c>
      <c r="P12" s="639"/>
      <c r="Q12" s="640"/>
      <c r="R12" s="1142">
        <f>'R.GUI MAIL'!K29</f>
        <v>0</v>
      </c>
      <c r="S12" s="641" t="s">
        <v>9</v>
      </c>
      <c r="T12" s="642"/>
      <c r="U12" s="413">
        <f>'R.GUI MAIL'!H45</f>
        <v>0.1</v>
      </c>
      <c r="V12" s="630"/>
      <c r="W12" s="631" t="s">
        <v>8</v>
      </c>
      <c r="X12" s="1142">
        <f>'R.GUI MAIL'!K45</f>
        <v>0</v>
      </c>
      <c r="Y12" s="632">
        <f>'R.GUI MAIL'!L45</f>
        <v>0</v>
      </c>
    </row>
    <row r="13" spans="1:25" ht="30.75" hidden="1" customHeight="1">
      <c r="A13" s="624">
        <v>7</v>
      </c>
      <c r="B13" s="3728" t="s">
        <v>743</v>
      </c>
      <c r="C13" s="1144" t="s">
        <v>744</v>
      </c>
      <c r="D13" s="1145">
        <f>R.HN!$C$13</f>
        <v>4</v>
      </c>
      <c r="E13" s="3730" t="s">
        <v>431</v>
      </c>
      <c r="F13" s="626" t="s">
        <v>730</v>
      </c>
      <c r="G13" s="627">
        <v>50</v>
      </c>
      <c r="H13" s="628" t="e">
        <f>R.HN!#REF!</f>
        <v>#REF!</v>
      </c>
      <c r="I13" s="301">
        <f>'R.GUI MAIL'!H11</f>
        <v>0</v>
      </c>
      <c r="J13" s="655"/>
      <c r="K13" s="631" t="s">
        <v>8</v>
      </c>
      <c r="L13" s="1142">
        <f>'R.GUI MAIL'!K11</f>
        <v>0</v>
      </c>
      <c r="M13" s="632" t="s">
        <v>9</v>
      </c>
      <c r="N13" s="629" t="e">
        <f>R.HN!#REF!</f>
        <v>#REF!</v>
      </c>
      <c r="O13" s="634"/>
      <c r="P13" s="634"/>
      <c r="Q13" s="635"/>
      <c r="R13" s="1141"/>
      <c r="S13" s="636"/>
      <c r="T13" s="629"/>
      <c r="U13" s="634"/>
      <c r="V13" s="634"/>
      <c r="W13" s="635"/>
      <c r="X13" s="1141"/>
      <c r="Y13" s="636"/>
    </row>
    <row r="14" spans="1:25" ht="30.75" hidden="1" customHeight="1">
      <c r="A14" s="624">
        <v>8</v>
      </c>
      <c r="B14" s="3729"/>
      <c r="C14" s="1146"/>
      <c r="D14" s="1147"/>
      <c r="E14" s="3730"/>
      <c r="F14" s="626" t="s">
        <v>726</v>
      </c>
      <c r="G14" s="638">
        <v>6</v>
      </c>
      <c r="H14" s="628" t="e">
        <f>R.HN!#REF!</f>
        <v>#REF!</v>
      </c>
      <c r="I14" s="301">
        <f>'R.GUI MAIL'!H12</f>
        <v>0</v>
      </c>
      <c r="J14" s="630"/>
      <c r="K14" s="631" t="s">
        <v>8</v>
      </c>
      <c r="L14" s="1142">
        <f>'R.GUI MAIL'!K12</f>
        <v>0</v>
      </c>
      <c r="M14" s="632" t="s">
        <v>9</v>
      </c>
      <c r="N14" s="629" t="e">
        <f>R.HN!#REF!</f>
        <v>#REF!</v>
      </c>
      <c r="O14" s="634"/>
      <c r="P14" s="634"/>
      <c r="Q14" s="635"/>
      <c r="R14" s="1141"/>
      <c r="S14" s="636"/>
      <c r="T14" s="629"/>
      <c r="U14" s="634"/>
      <c r="V14" s="634"/>
      <c r="W14" s="635"/>
      <c r="X14" s="1141"/>
      <c r="Y14" s="636"/>
    </row>
    <row r="15" spans="1:25" ht="30.75" hidden="1" customHeight="1">
      <c r="A15" s="624">
        <v>9</v>
      </c>
      <c r="B15" s="3729"/>
      <c r="C15" s="1146"/>
      <c r="D15" s="1147"/>
      <c r="E15" s="3730"/>
      <c r="F15" s="626" t="s">
        <v>614</v>
      </c>
      <c r="G15" s="638">
        <v>0.4</v>
      </c>
      <c r="H15" s="628" t="e">
        <f>R.HN!#REF!</f>
        <v>#REF!</v>
      </c>
      <c r="I15" s="413">
        <f>'R.GUI MAIL'!H13</f>
        <v>0</v>
      </c>
      <c r="J15" s="655"/>
      <c r="K15" s="631" t="s">
        <v>8</v>
      </c>
      <c r="L15" s="1142">
        <f>'R.GUI MAIL'!K13</f>
        <v>0</v>
      </c>
      <c r="M15" s="632" t="s">
        <v>9</v>
      </c>
      <c r="N15" s="629" t="e">
        <f>R.HN!#REF!</f>
        <v>#REF!</v>
      </c>
      <c r="O15" s="643"/>
      <c r="P15" s="643"/>
      <c r="Q15" s="644"/>
      <c r="R15" s="1141"/>
      <c r="S15" s="645"/>
      <c r="T15" s="642"/>
      <c r="U15" s="643"/>
      <c r="V15" s="643"/>
      <c r="W15" s="644"/>
      <c r="X15" s="1141"/>
      <c r="Y15" s="645"/>
    </row>
    <row r="16" spans="1:25" ht="30.75" customHeight="1">
      <c r="A16" s="624">
        <v>10</v>
      </c>
      <c r="B16" s="3722" t="s">
        <v>745</v>
      </c>
      <c r="C16" s="3723"/>
      <c r="D16" s="3724"/>
      <c r="E16" s="624" t="s">
        <v>431</v>
      </c>
      <c r="F16" s="646" t="s">
        <v>441</v>
      </c>
      <c r="G16" s="638">
        <v>2</v>
      </c>
      <c r="H16" s="628">
        <f>R.HN!C21</f>
        <v>0</v>
      </c>
      <c r="I16" s="301">
        <f>'R.GUI MAIL'!H14</f>
        <v>0</v>
      </c>
      <c r="J16" s="630"/>
      <c r="K16" s="631" t="s">
        <v>8</v>
      </c>
      <c r="L16" s="1142">
        <f>'R.GUI MAIL'!K14</f>
        <v>0</v>
      </c>
      <c r="M16" s="632" t="s">
        <v>9</v>
      </c>
      <c r="N16" s="629">
        <f>R.HN!D21</f>
        <v>0</v>
      </c>
      <c r="O16" s="301">
        <f>'R.GUI MAIL'!H30</f>
        <v>0</v>
      </c>
      <c r="P16" s="630"/>
      <c r="Q16" s="631" t="s">
        <v>8</v>
      </c>
      <c r="R16" s="1142">
        <f>'R.GUI MAIL'!K30</f>
        <v>0</v>
      </c>
      <c r="S16" s="632" t="s">
        <v>9</v>
      </c>
      <c r="T16" s="629"/>
      <c r="U16" s="301">
        <f>'R.GUI MAIL'!H46</f>
        <v>0.95</v>
      </c>
      <c r="V16" s="630"/>
      <c r="W16" s="631" t="s">
        <v>8</v>
      </c>
      <c r="X16" s="1142">
        <f>'R.GUI MAIL'!K46</f>
        <v>6.1700000000000053E-2</v>
      </c>
      <c r="Y16" s="632" t="str">
        <f>'R.GUI MAIL'!L46</f>
        <v>kg</v>
      </c>
    </row>
    <row r="17" spans="1:25" ht="30.75" customHeight="1">
      <c r="A17" s="624">
        <v>11</v>
      </c>
      <c r="B17" s="3725"/>
      <c r="C17" s="3726"/>
      <c r="D17" s="3727"/>
      <c r="E17" s="624" t="s">
        <v>5</v>
      </c>
      <c r="F17" s="1148" t="s">
        <v>620</v>
      </c>
      <c r="G17" s="647">
        <v>9</v>
      </c>
      <c r="H17" s="628">
        <f>R.HN!C22</f>
        <v>0</v>
      </c>
      <c r="I17" s="301">
        <f>'R.GUI MAIL'!H15</f>
        <v>0</v>
      </c>
      <c r="J17" s="630"/>
      <c r="K17" s="631" t="s">
        <v>8</v>
      </c>
      <c r="L17" s="1142">
        <f>'R.GUI MAIL'!K15</f>
        <v>0</v>
      </c>
      <c r="M17" s="632"/>
      <c r="N17" s="629">
        <f>R.HN!D22</f>
        <v>0</v>
      </c>
      <c r="O17" s="301">
        <f>'R.GUI MAIL'!H31</f>
        <v>0</v>
      </c>
      <c r="P17" s="630"/>
      <c r="Q17" s="631"/>
      <c r="R17" s="1142">
        <f>'R.GUI MAIL'!K31</f>
        <v>0</v>
      </c>
      <c r="S17" s="632"/>
      <c r="T17" s="629"/>
      <c r="U17" s="301">
        <f>'R.GUI MAIL'!H47</f>
        <v>10</v>
      </c>
      <c r="V17" s="630"/>
      <c r="W17" s="631" t="s">
        <v>8</v>
      </c>
      <c r="X17" s="1142">
        <f>'R.GUI MAIL'!K47</f>
        <v>0</v>
      </c>
      <c r="Y17" s="632"/>
    </row>
    <row r="18" spans="1:25" ht="30.75" customHeight="1">
      <c r="A18" s="648"/>
      <c r="B18" s="1825"/>
      <c r="C18" s="649"/>
      <c r="D18" s="649"/>
      <c r="E18" s="649" t="s">
        <v>2</v>
      </c>
      <c r="F18" s="649"/>
      <c r="G18" s="649"/>
      <c r="H18" s="649"/>
      <c r="I18" s="649"/>
      <c r="J18" s="649"/>
      <c r="K18" s="649"/>
      <c r="L18" s="649"/>
      <c r="M18" s="649"/>
      <c r="N18" s="649"/>
      <c r="O18" s="649"/>
      <c r="P18" s="649"/>
      <c r="Q18" s="649"/>
      <c r="R18" s="649"/>
      <c r="S18" s="649"/>
      <c r="T18" s="649"/>
      <c r="U18" s="649"/>
      <c r="V18" s="649"/>
      <c r="W18" s="649"/>
      <c r="X18" s="649"/>
      <c r="Y18" s="1149"/>
    </row>
    <row r="19" spans="1:25" ht="30.75" customHeight="1">
      <c r="A19" s="650" t="s">
        <v>54</v>
      </c>
      <c r="B19" s="3715" t="s">
        <v>746</v>
      </c>
      <c r="C19" s="3716"/>
      <c r="D19" s="3717"/>
      <c r="E19" s="651" t="s">
        <v>747</v>
      </c>
      <c r="F19" s="651" t="s">
        <v>748</v>
      </c>
      <c r="G19" s="652" t="s">
        <v>739</v>
      </c>
      <c r="H19" s="653"/>
      <c r="I19" s="3718" t="s">
        <v>45</v>
      </c>
      <c r="J19" s="3719"/>
      <c r="K19" s="3719"/>
      <c r="L19" s="3720" t="s">
        <v>62</v>
      </c>
      <c r="M19" s="3721"/>
      <c r="N19" s="618"/>
      <c r="O19" s="3718" t="s">
        <v>45</v>
      </c>
      <c r="P19" s="3719"/>
      <c r="Q19" s="3719"/>
      <c r="R19" s="3720" t="s">
        <v>62</v>
      </c>
      <c r="S19" s="3721"/>
      <c r="T19" s="618"/>
      <c r="U19" s="3718" t="s">
        <v>45</v>
      </c>
      <c r="V19" s="3719"/>
      <c r="W19" s="3719"/>
      <c r="X19" s="3720" t="s">
        <v>62</v>
      </c>
      <c r="Y19" s="3721"/>
    </row>
    <row r="20" spans="1:25" ht="30.75" customHeight="1">
      <c r="A20" s="650">
        <v>1</v>
      </c>
      <c r="B20" s="3715" t="s">
        <v>749</v>
      </c>
      <c r="C20" s="3716"/>
      <c r="D20" s="3717"/>
      <c r="E20" s="654" t="s">
        <v>750</v>
      </c>
      <c r="F20" s="646" t="s">
        <v>1107</v>
      </c>
      <c r="G20" s="652"/>
      <c r="H20" s="653"/>
      <c r="I20" s="3761"/>
      <c r="J20" s="3762"/>
      <c r="K20" s="3762"/>
      <c r="L20" s="3762"/>
      <c r="M20" s="3763"/>
      <c r="N20" s="1489"/>
      <c r="O20" s="3764">
        <f>'R.GUI MAIL'!H34</f>
        <v>0</v>
      </c>
      <c r="P20" s="3764"/>
      <c r="Q20" s="3764"/>
      <c r="R20" s="3764">
        <f>'R.GUI MAIL'!K34</f>
        <v>0</v>
      </c>
      <c r="S20" s="3764"/>
      <c r="T20" s="3764"/>
      <c r="U20" s="3764">
        <f>'R.GUI MAIL'!H50</f>
        <v>0</v>
      </c>
      <c r="V20" s="3764"/>
      <c r="W20" s="3764"/>
      <c r="X20" s="3764">
        <f>'R.GUI MAIL'!K50</f>
        <v>59</v>
      </c>
      <c r="Y20" s="3764"/>
    </row>
    <row r="21" spans="1:25" ht="30.75" customHeight="1">
      <c r="A21" s="650">
        <v>2</v>
      </c>
      <c r="B21" s="3715" t="s">
        <v>751</v>
      </c>
      <c r="C21" s="3716"/>
      <c r="D21" s="3717"/>
      <c r="E21" s="654" t="s">
        <v>750</v>
      </c>
      <c r="F21" s="646" t="s">
        <v>752</v>
      </c>
      <c r="G21" s="655" t="str">
        <f>'[7]file goc'!G62</f>
        <v>7:00</v>
      </c>
      <c r="H21" s="655"/>
      <c r="I21" s="3758">
        <f>'R.GUI MAIL'!H18</f>
        <v>0</v>
      </c>
      <c r="J21" s="3760"/>
      <c r="K21" s="3760"/>
      <c r="L21" s="3758">
        <f>'R.GUI MAIL'!K18</f>
        <v>0</v>
      </c>
      <c r="M21" s="3760"/>
      <c r="N21" s="1490"/>
      <c r="O21" s="3758">
        <f>'R.GUI MAIL'!H35</f>
        <v>0</v>
      </c>
      <c r="P21" s="3760"/>
      <c r="Q21" s="3760"/>
      <c r="R21" s="3758">
        <f>'R.GUI MAIL'!K35</f>
        <v>0</v>
      </c>
      <c r="S21" s="3759"/>
      <c r="T21" s="1489"/>
      <c r="U21" s="3758">
        <f>'R.GUI MAIL'!H51</f>
        <v>0</v>
      </c>
      <c r="V21" s="3760"/>
      <c r="W21" s="3759"/>
      <c r="X21" s="3758">
        <f>'R.GUI MAIL'!K51</f>
        <v>68</v>
      </c>
      <c r="Y21" s="3759"/>
    </row>
    <row r="22" spans="1:25" ht="30.75" hidden="1" customHeight="1">
      <c r="A22" s="650">
        <v>3</v>
      </c>
      <c r="B22" s="3715" t="s">
        <v>753</v>
      </c>
      <c r="C22" s="3716"/>
      <c r="D22" s="3717"/>
      <c r="E22" s="654" t="s">
        <v>750</v>
      </c>
      <c r="F22" s="646" t="s">
        <v>752</v>
      </c>
      <c r="G22" s="656" t="str">
        <f>'[7]file goc'!G63</f>
        <v>濃度 g/L</v>
      </c>
      <c r="H22" s="655"/>
      <c r="I22" s="3758">
        <f>'R.GUI MAIL'!H19</f>
        <v>0</v>
      </c>
      <c r="J22" s="3760"/>
      <c r="K22" s="3760"/>
      <c r="L22" s="3758">
        <f>'R.GUI MAIL'!K19</f>
        <v>0</v>
      </c>
      <c r="M22" s="3760"/>
      <c r="N22" s="1489"/>
      <c r="O22" s="1491"/>
      <c r="P22" s="1492"/>
      <c r="Q22" s="1492"/>
      <c r="R22" s="1493"/>
      <c r="S22" s="1494"/>
      <c r="T22" s="1489"/>
      <c r="U22" s="1495"/>
      <c r="V22" s="1495"/>
      <c r="W22" s="1495"/>
      <c r="X22" s="1495"/>
      <c r="Y22" s="1495"/>
    </row>
    <row r="23" spans="1:25" ht="30.75" customHeight="1">
      <c r="A23" s="650">
        <v>6</v>
      </c>
      <c r="B23" s="3715" t="s">
        <v>754</v>
      </c>
      <c r="C23" s="3716"/>
      <c r="D23" s="3717"/>
      <c r="E23" s="654" t="s">
        <v>750</v>
      </c>
      <c r="F23" s="646" t="s">
        <v>755</v>
      </c>
      <c r="G23" s="656">
        <f>'[7]file goc'!G66</f>
        <v>0</v>
      </c>
      <c r="H23" s="655"/>
      <c r="I23" s="3758">
        <f>'R.GUI MAIL'!H20</f>
        <v>0</v>
      </c>
      <c r="J23" s="3760"/>
      <c r="K23" s="3760"/>
      <c r="L23" s="3758">
        <f>'R.GUI MAIL'!K20</f>
        <v>0</v>
      </c>
      <c r="M23" s="3760"/>
      <c r="N23" s="1489"/>
      <c r="O23" s="3758">
        <f>'R.GUI MAIL'!H36</f>
        <v>0</v>
      </c>
      <c r="P23" s="3760"/>
      <c r="Q23" s="3760"/>
      <c r="R23" s="3758">
        <f>'R.GUI MAIL'!K36</f>
        <v>0</v>
      </c>
      <c r="S23" s="3759"/>
      <c r="T23" s="1489"/>
      <c r="U23" s="3758">
        <f>'R.GUI MAIL'!H52</f>
        <v>0</v>
      </c>
      <c r="V23" s="3760"/>
      <c r="W23" s="3759"/>
      <c r="X23" s="3758">
        <f>'R.GUI MAIL'!K52</f>
        <v>85</v>
      </c>
      <c r="Y23" s="3759"/>
    </row>
    <row r="24" spans="1:25" s="615" customFormat="1" ht="30.75" customHeight="1">
      <c r="A24" s="3737" t="s">
        <v>1464</v>
      </c>
      <c r="B24" s="3738"/>
      <c r="C24" s="3755" t="str">
        <f>MENU!$AC$9</f>
        <v>Thứ 4,</v>
      </c>
      <c r="D24" s="3755"/>
      <c r="E24" s="3756" t="str">
        <f>MENU!$AD$9</f>
        <v>2024/05/22</v>
      </c>
      <c r="F24" s="3757"/>
      <c r="G24" s="3757"/>
      <c r="H24" s="3757"/>
      <c r="I24" s="2003" t="s">
        <v>735</v>
      </c>
      <c r="J24" s="2003"/>
      <c r="K24" s="2003"/>
      <c r="L24" s="2003"/>
      <c r="M24" s="2003"/>
      <c r="N24" s="2003"/>
      <c r="O24" s="2003"/>
      <c r="P24" s="2003"/>
      <c r="Q24" s="2003"/>
      <c r="R24" s="2003"/>
      <c r="S24" s="2003"/>
      <c r="T24" s="2003"/>
      <c r="U24" s="2003"/>
      <c r="V24" s="2003"/>
      <c r="W24" s="2003"/>
      <c r="X24" s="2003"/>
      <c r="Y24" s="2004"/>
    </row>
    <row r="25" spans="1:25" ht="30.75" customHeight="1">
      <c r="A25" s="3739" t="s">
        <v>7</v>
      </c>
      <c r="B25" s="3216" t="s">
        <v>736</v>
      </c>
      <c r="C25" s="3217"/>
      <c r="D25" s="3742"/>
      <c r="E25" s="3747" t="s">
        <v>737</v>
      </c>
      <c r="F25" s="3750" t="s">
        <v>738</v>
      </c>
      <c r="G25" s="616"/>
      <c r="H25" s="617"/>
      <c r="I25" s="3753" t="s">
        <v>739</v>
      </c>
      <c r="J25" s="3754"/>
      <c r="K25" s="3754"/>
      <c r="L25" s="3754"/>
      <c r="M25" s="3754"/>
      <c r="N25" s="618"/>
      <c r="O25" s="3753" t="s">
        <v>1292</v>
      </c>
      <c r="P25" s="3754"/>
      <c r="Q25" s="3754"/>
      <c r="R25" s="3754"/>
      <c r="S25" s="3754"/>
      <c r="T25" s="618"/>
      <c r="U25" s="3753" t="s">
        <v>1293</v>
      </c>
      <c r="V25" s="3754"/>
      <c r="W25" s="3754"/>
      <c r="X25" s="3754"/>
      <c r="Y25" s="3754"/>
    </row>
    <row r="26" spans="1:25" ht="30.75" customHeight="1">
      <c r="A26" s="3740"/>
      <c r="B26" s="3743"/>
      <c r="C26" s="3744"/>
      <c r="D26" s="3745"/>
      <c r="E26" s="3748"/>
      <c r="F26" s="3751"/>
      <c r="G26" s="619" t="s">
        <v>422</v>
      </c>
      <c r="H26" s="620"/>
      <c r="I26" s="3731" t="s">
        <v>740</v>
      </c>
      <c r="J26" s="622" t="s">
        <v>741</v>
      </c>
      <c r="K26" s="3733" t="s">
        <v>1</v>
      </c>
      <c r="L26" s="3733"/>
      <c r="M26" s="3734"/>
      <c r="N26" s="621"/>
      <c r="O26" s="3731" t="s">
        <v>740</v>
      </c>
      <c r="P26" s="622" t="s">
        <v>741</v>
      </c>
      <c r="Q26" s="3733" t="s">
        <v>1</v>
      </c>
      <c r="R26" s="3733"/>
      <c r="S26" s="3734"/>
      <c r="T26" s="620"/>
      <c r="U26" s="3731" t="s">
        <v>740</v>
      </c>
      <c r="V26" s="622" t="s">
        <v>741</v>
      </c>
      <c r="W26" s="3733" t="s">
        <v>1</v>
      </c>
      <c r="X26" s="3733"/>
      <c r="Y26" s="3734"/>
    </row>
    <row r="27" spans="1:25" ht="30.75" customHeight="1">
      <c r="A27" s="3741"/>
      <c r="B27" s="3218"/>
      <c r="C27" s="3219"/>
      <c r="D27" s="3746"/>
      <c r="E27" s="3749"/>
      <c r="F27" s="3752"/>
      <c r="G27" s="619"/>
      <c r="H27" s="620"/>
      <c r="I27" s="3732"/>
      <c r="J27" s="623"/>
      <c r="K27" s="3735"/>
      <c r="L27" s="3735"/>
      <c r="M27" s="3736"/>
      <c r="N27" s="621"/>
      <c r="O27" s="3732"/>
      <c r="P27" s="623"/>
      <c r="Q27" s="3735"/>
      <c r="R27" s="3735"/>
      <c r="S27" s="3736"/>
      <c r="T27" s="620"/>
      <c r="U27" s="3732"/>
      <c r="V27" s="623"/>
      <c r="W27" s="3735"/>
      <c r="X27" s="3735"/>
      <c r="Y27" s="3736"/>
    </row>
    <row r="28" spans="1:25" ht="30.75" customHeight="1">
      <c r="A28" s="624">
        <v>1</v>
      </c>
      <c r="B28" s="3715" t="s">
        <v>742</v>
      </c>
      <c r="C28" s="3716"/>
      <c r="D28" s="3717"/>
      <c r="E28" s="625" t="s">
        <v>431</v>
      </c>
      <c r="F28" s="626" t="s">
        <v>728</v>
      </c>
      <c r="G28" s="627">
        <v>40</v>
      </c>
      <c r="H28" s="628" t="e">
        <f>R.HN!#REF!</f>
        <v>#REF!</v>
      </c>
      <c r="I28" s="634"/>
      <c r="J28" s="634"/>
      <c r="K28" s="635"/>
      <c r="L28" s="1141"/>
      <c r="M28" s="636"/>
      <c r="N28" s="629" t="e">
        <f>R.HN!#REF!</f>
        <v>#REF!</v>
      </c>
      <c r="O28" s="301">
        <f>'R.GUI MAIL'!N25</f>
        <v>0</v>
      </c>
      <c r="P28" s="630"/>
      <c r="Q28" s="631" t="s">
        <v>8</v>
      </c>
      <c r="R28" s="1142">
        <f>'R.GUI MAIL'!Q25</f>
        <v>0</v>
      </c>
      <c r="S28" s="632" t="s">
        <v>9</v>
      </c>
      <c r="T28" s="629"/>
      <c r="U28" s="301">
        <f>'R.GUI MAIL'!N41</f>
        <v>50</v>
      </c>
      <c r="V28" s="630"/>
      <c r="W28" s="631" t="s">
        <v>8</v>
      </c>
      <c r="X28" s="1143">
        <f>'R.GUI MAIL'!Q41</f>
        <v>0</v>
      </c>
      <c r="Y28" s="632" t="s">
        <v>9</v>
      </c>
    </row>
    <row r="29" spans="1:25" ht="30.75" customHeight="1">
      <c r="A29" s="624">
        <v>2</v>
      </c>
      <c r="B29" s="3715" t="s">
        <v>425</v>
      </c>
      <c r="C29" s="3716"/>
      <c r="D29" s="3717"/>
      <c r="E29" s="633" t="s">
        <v>3</v>
      </c>
      <c r="F29" s="626" t="s">
        <v>426</v>
      </c>
      <c r="G29" s="627">
        <v>22</v>
      </c>
      <c r="H29" s="628" t="e">
        <f>R.HN!#REF!</f>
        <v>#REF!</v>
      </c>
      <c r="I29" s="301">
        <f>'R.GUI MAIL'!N6</f>
        <v>0</v>
      </c>
      <c r="J29" s="630"/>
      <c r="K29" s="631" t="s">
        <v>8</v>
      </c>
      <c r="L29" s="1142">
        <f>'R.GUI MAIL'!Q6</f>
        <v>0</v>
      </c>
      <c r="M29" s="632" t="s">
        <v>10</v>
      </c>
      <c r="N29" s="629" t="e">
        <f>R.HN!#REF!</f>
        <v>#REF!</v>
      </c>
      <c r="O29" s="301">
        <f>'R.GUI MAIL'!N26</f>
        <v>0</v>
      </c>
      <c r="P29" s="630"/>
      <c r="Q29" s="631" t="s">
        <v>8</v>
      </c>
      <c r="R29" s="1142">
        <f>'R.GUI MAIL'!Q26</f>
        <v>0</v>
      </c>
      <c r="S29" s="632" t="s">
        <v>10</v>
      </c>
      <c r="T29" s="629"/>
      <c r="U29" s="301">
        <f>'R.GUI MAIL'!N42</f>
        <v>10.584999999999999</v>
      </c>
      <c r="V29" s="630"/>
      <c r="W29" s="631" t="s">
        <v>8</v>
      </c>
      <c r="X29" s="1142">
        <f>'R.GUI MAIL'!Q42</f>
        <v>155.89296875000008</v>
      </c>
      <c r="Y29" s="632" t="s">
        <v>10</v>
      </c>
    </row>
    <row r="30" spans="1:25" ht="30.75" hidden="1" customHeight="1">
      <c r="A30" s="624">
        <v>3</v>
      </c>
      <c r="B30" s="3722" t="s">
        <v>391</v>
      </c>
      <c r="C30" s="3723"/>
      <c r="D30" s="3724"/>
      <c r="E30" s="633" t="s">
        <v>3</v>
      </c>
      <c r="F30" s="626" t="s">
        <v>426</v>
      </c>
      <c r="G30" s="627"/>
      <c r="H30" s="628"/>
      <c r="I30" s="1100">
        <f>'R.GUI MAIL'!N7</f>
        <v>0</v>
      </c>
      <c r="J30" s="630"/>
      <c r="K30" s="631" t="s">
        <v>8</v>
      </c>
      <c r="L30" s="1142">
        <f>'R.GUI MAIL'!Q7</f>
        <v>292.1875</v>
      </c>
      <c r="M30" s="632" t="s">
        <v>10</v>
      </c>
      <c r="N30" s="629"/>
      <c r="O30" s="634"/>
      <c r="P30" s="634"/>
      <c r="Q30" s="635"/>
      <c r="R30" s="1141"/>
      <c r="S30" s="636"/>
      <c r="T30" s="637"/>
      <c r="U30" s="1100">
        <f>'R.GUI MAIL'!N42</f>
        <v>10.584999999999999</v>
      </c>
      <c r="V30" s="630"/>
      <c r="W30" s="631" t="s">
        <v>8</v>
      </c>
      <c r="X30" s="1142">
        <f>'R.GUI MAIL'!Q42</f>
        <v>155.89296875000008</v>
      </c>
      <c r="Y30" s="632" t="s">
        <v>10</v>
      </c>
    </row>
    <row r="31" spans="1:25" ht="30.75" customHeight="1">
      <c r="A31" s="624">
        <v>4</v>
      </c>
      <c r="B31" s="3728" t="s">
        <v>743</v>
      </c>
      <c r="C31" s="1144" t="s">
        <v>744</v>
      </c>
      <c r="D31" s="1145">
        <f>R.HN!D12</f>
        <v>3</v>
      </c>
      <c r="E31" s="3730" t="s">
        <v>431</v>
      </c>
      <c r="F31" s="626" t="s">
        <v>730</v>
      </c>
      <c r="G31" s="627">
        <v>50</v>
      </c>
      <c r="H31" s="628">
        <f>R.HN!C27</f>
        <v>4.3</v>
      </c>
      <c r="I31" s="301">
        <f>'R.GUI MAIL'!N8</f>
        <v>0</v>
      </c>
      <c r="J31" s="630"/>
      <c r="K31" s="631" t="s">
        <v>8</v>
      </c>
      <c r="L31" s="1142">
        <f>'R.GUI MAIL'!Q8</f>
        <v>0</v>
      </c>
      <c r="M31" s="632" t="s">
        <v>9</v>
      </c>
      <c r="N31" s="629">
        <f>R.HN!D27</f>
        <v>4.4000000000000004</v>
      </c>
      <c r="O31" s="301">
        <f>'R.GUI MAIL'!N27</f>
        <v>0</v>
      </c>
      <c r="P31" s="630"/>
      <c r="Q31" s="631" t="s">
        <v>8</v>
      </c>
      <c r="R31" s="1142">
        <f>'R.GUI MAIL'!Q27</f>
        <v>0</v>
      </c>
      <c r="S31" s="632" t="s">
        <v>9</v>
      </c>
      <c r="T31" s="629"/>
      <c r="U31" s="301">
        <f>'R.GUI MAIL'!N43</f>
        <v>44</v>
      </c>
      <c r="V31" s="630"/>
      <c r="W31" s="631" t="s">
        <v>8</v>
      </c>
      <c r="X31" s="1142">
        <f>'R.GUI MAIL'!Q43</f>
        <v>29.61</v>
      </c>
      <c r="Y31" s="632" t="s">
        <v>9</v>
      </c>
    </row>
    <row r="32" spans="1:25" ht="30.75" customHeight="1">
      <c r="A32" s="624">
        <v>5</v>
      </c>
      <c r="B32" s="3729"/>
      <c r="C32" s="1146"/>
      <c r="D32" s="1147"/>
      <c r="E32" s="3730"/>
      <c r="F32" s="626" t="s">
        <v>726</v>
      </c>
      <c r="G32" s="638">
        <v>6</v>
      </c>
      <c r="H32" s="628">
        <f>R.HN!C28</f>
        <v>5</v>
      </c>
      <c r="I32" s="301">
        <f>'R.GUI MAIL'!N9</f>
        <v>0</v>
      </c>
      <c r="J32" s="630"/>
      <c r="K32" s="631" t="s">
        <v>8</v>
      </c>
      <c r="L32" s="1142">
        <f>'R.GUI MAIL'!Q9</f>
        <v>0</v>
      </c>
      <c r="M32" s="632" t="s">
        <v>9</v>
      </c>
      <c r="N32" s="629">
        <f>R.HN!D28</f>
        <v>4.4000000000000004</v>
      </c>
      <c r="O32" s="301">
        <f>'R.GUI MAIL'!N28</f>
        <v>0</v>
      </c>
      <c r="P32" s="630"/>
      <c r="Q32" s="631"/>
      <c r="R32" s="1142">
        <f>'R.GUI MAIL'!Q28</f>
        <v>0</v>
      </c>
      <c r="S32" s="632" t="s">
        <v>9</v>
      </c>
      <c r="T32" s="629"/>
      <c r="U32" s="301">
        <f>'R.GUI MAIL'!N44</f>
        <v>10</v>
      </c>
      <c r="V32" s="630"/>
      <c r="W32" s="631"/>
      <c r="X32" s="1142">
        <f>'R.GUI MAIL'!Q44</f>
        <v>0</v>
      </c>
      <c r="Y32" s="632" t="s">
        <v>9</v>
      </c>
    </row>
    <row r="33" spans="1:25" ht="30.75" customHeight="1">
      <c r="A33" s="624">
        <v>6</v>
      </c>
      <c r="B33" s="3729"/>
      <c r="C33" s="1146"/>
      <c r="D33" s="1147"/>
      <c r="E33" s="3730"/>
      <c r="F33" s="626" t="s">
        <v>614</v>
      </c>
      <c r="G33" s="638">
        <v>0.4</v>
      </c>
      <c r="H33" s="628">
        <f>R.HN!C29</f>
        <v>0.1</v>
      </c>
      <c r="I33" s="413">
        <f>'R.GUI MAIL'!N10</f>
        <v>0</v>
      </c>
      <c r="J33" s="630"/>
      <c r="K33" s="631" t="s">
        <v>8</v>
      </c>
      <c r="L33" s="1142">
        <f>'R.GUI MAIL'!Q10</f>
        <v>0</v>
      </c>
      <c r="M33" s="632" t="s">
        <v>9</v>
      </c>
      <c r="N33" s="629">
        <f>R.HN!D29</f>
        <v>0.08</v>
      </c>
      <c r="O33" s="413">
        <f>'R.GUI MAIL'!N29</f>
        <v>0</v>
      </c>
      <c r="P33" s="639"/>
      <c r="Q33" s="640"/>
      <c r="R33" s="1142">
        <f>'R.GUI MAIL'!Q29</f>
        <v>0</v>
      </c>
      <c r="S33" s="641" t="s">
        <v>9</v>
      </c>
      <c r="T33" s="642"/>
      <c r="U33" s="413">
        <f>'R.GUI MAIL'!N45</f>
        <v>0.08</v>
      </c>
      <c r="V33" s="630"/>
      <c r="W33" s="631"/>
      <c r="X33" s="1142">
        <f>'R.GUI MAIL'!Q45</f>
        <v>0</v>
      </c>
      <c r="Y33" s="632" t="s">
        <v>9</v>
      </c>
    </row>
    <row r="34" spans="1:25" ht="30.75" hidden="1" customHeight="1">
      <c r="A34" s="624">
        <v>7</v>
      </c>
      <c r="B34" s="3728" t="s">
        <v>743</v>
      </c>
      <c r="C34" s="1144" t="s">
        <v>744</v>
      </c>
      <c r="D34" s="1145">
        <f>R.HN!D13</f>
        <v>4</v>
      </c>
      <c r="E34" s="3730" t="s">
        <v>431</v>
      </c>
      <c r="F34" s="626" t="s">
        <v>730</v>
      </c>
      <c r="G34" s="627">
        <v>50</v>
      </c>
      <c r="H34" s="628">
        <f>R.HN!C30</f>
        <v>0</v>
      </c>
      <c r="I34" s="301">
        <f>'R.GUI MAIL'!N11</f>
        <v>0</v>
      </c>
      <c r="J34" s="655"/>
      <c r="K34" s="631" t="s">
        <v>8</v>
      </c>
      <c r="L34" s="1142">
        <f>'R.GUI MAIL'!Q11</f>
        <v>0</v>
      </c>
      <c r="M34" s="632" t="s">
        <v>9</v>
      </c>
      <c r="N34" s="629">
        <f>R.HN!D30</f>
        <v>0</v>
      </c>
      <c r="O34" s="634"/>
      <c r="P34" s="634"/>
      <c r="Q34" s="635"/>
      <c r="R34" s="1141"/>
      <c r="S34" s="636"/>
      <c r="T34" s="629"/>
      <c r="U34" s="634"/>
      <c r="V34" s="634"/>
      <c r="W34" s="635"/>
      <c r="X34" s="1141"/>
      <c r="Y34" s="636"/>
    </row>
    <row r="35" spans="1:25" ht="30.75" hidden="1" customHeight="1">
      <c r="A35" s="624">
        <v>8</v>
      </c>
      <c r="B35" s="3729"/>
      <c r="C35" s="1146"/>
      <c r="D35" s="1147"/>
      <c r="E35" s="3730"/>
      <c r="F35" s="626" t="s">
        <v>726</v>
      </c>
      <c r="G35" s="638">
        <v>6</v>
      </c>
      <c r="H35" s="628">
        <f>R.HN!C31</f>
        <v>0</v>
      </c>
      <c r="I35" s="301">
        <f>'R.GUI MAIL'!N12</f>
        <v>0</v>
      </c>
      <c r="J35" s="630"/>
      <c r="K35" s="631" t="s">
        <v>8</v>
      </c>
      <c r="L35" s="1142">
        <f>'R.GUI MAIL'!Q12</f>
        <v>0</v>
      </c>
      <c r="M35" s="632" t="s">
        <v>9</v>
      </c>
      <c r="N35" s="629">
        <f>R.HN!D31</f>
        <v>0</v>
      </c>
      <c r="O35" s="634"/>
      <c r="P35" s="634"/>
      <c r="Q35" s="635"/>
      <c r="R35" s="1141"/>
      <c r="S35" s="636"/>
      <c r="T35" s="629"/>
      <c r="U35" s="634"/>
      <c r="V35" s="634"/>
      <c r="W35" s="635"/>
      <c r="X35" s="1141"/>
      <c r="Y35" s="636"/>
    </row>
    <row r="36" spans="1:25" ht="30.75" hidden="1" customHeight="1">
      <c r="A36" s="624">
        <v>9</v>
      </c>
      <c r="B36" s="3729"/>
      <c r="C36" s="1146"/>
      <c r="D36" s="1147"/>
      <c r="E36" s="3730"/>
      <c r="F36" s="626" t="s">
        <v>614</v>
      </c>
      <c r="G36" s="638">
        <v>0.4</v>
      </c>
      <c r="H36" s="628">
        <f>R.HN!C32</f>
        <v>0</v>
      </c>
      <c r="I36" s="413">
        <f>'R.GUI MAIL'!N13</f>
        <v>0</v>
      </c>
      <c r="J36" s="655"/>
      <c r="K36" s="631" t="s">
        <v>8</v>
      </c>
      <c r="L36" s="1142">
        <f>'R.GUI MAIL'!Q13</f>
        <v>0</v>
      </c>
      <c r="M36" s="632" t="s">
        <v>9</v>
      </c>
      <c r="N36" s="629">
        <f>R.HN!D32</f>
        <v>0</v>
      </c>
      <c r="O36" s="643"/>
      <c r="P36" s="643"/>
      <c r="Q36" s="644"/>
      <c r="R36" s="1141"/>
      <c r="S36" s="645"/>
      <c r="T36" s="642"/>
      <c r="U36" s="643"/>
      <c r="V36" s="643"/>
      <c r="W36" s="644"/>
      <c r="X36" s="1141"/>
      <c r="Y36" s="645"/>
    </row>
    <row r="37" spans="1:25" ht="30.75" customHeight="1">
      <c r="A37" s="624">
        <v>10</v>
      </c>
      <c r="B37" s="3722" t="s">
        <v>745</v>
      </c>
      <c r="C37" s="3723"/>
      <c r="D37" s="3724"/>
      <c r="E37" s="624" t="s">
        <v>431</v>
      </c>
      <c r="F37" s="646" t="s">
        <v>441</v>
      </c>
      <c r="G37" s="638">
        <v>2</v>
      </c>
      <c r="H37" s="628">
        <f>R.HN!C33</f>
        <v>0.95</v>
      </c>
      <c r="I37" s="301">
        <f>'R.GUI MAIL'!N14</f>
        <v>0</v>
      </c>
      <c r="J37" s="630"/>
      <c r="K37" s="631" t="s">
        <v>8</v>
      </c>
      <c r="L37" s="1150">
        <f>'R.GUI MAIL'!Q14</f>
        <v>0</v>
      </c>
      <c r="M37" s="632" t="s">
        <v>9</v>
      </c>
      <c r="N37" s="629">
        <f>R.HN!D33</f>
        <v>0.9</v>
      </c>
      <c r="O37" s="301">
        <f>'R.GUI MAIL'!N30</f>
        <v>0</v>
      </c>
      <c r="P37" s="630"/>
      <c r="Q37" s="631" t="s">
        <v>8</v>
      </c>
      <c r="R37" s="1142">
        <f>'R.GUI MAIL'!Q30</f>
        <v>0</v>
      </c>
      <c r="S37" s="632" t="s">
        <v>9</v>
      </c>
      <c r="T37" s="629"/>
      <c r="U37" s="301">
        <f>'R.GUI MAIL'!N46</f>
        <v>0.9</v>
      </c>
      <c r="V37" s="630"/>
      <c r="W37" s="631" t="s">
        <v>8</v>
      </c>
      <c r="X37" s="1142">
        <f>'R.GUI MAIL'!Q46</f>
        <v>0.12339999999999998</v>
      </c>
      <c r="Y37" s="632" t="s">
        <v>9</v>
      </c>
    </row>
    <row r="38" spans="1:25" ht="30.75" customHeight="1">
      <c r="A38" s="624">
        <v>11</v>
      </c>
      <c r="B38" s="3725"/>
      <c r="C38" s="3726"/>
      <c r="D38" s="3727"/>
      <c r="E38" s="625" t="s">
        <v>5</v>
      </c>
      <c r="F38" s="1148" t="s">
        <v>620</v>
      </c>
      <c r="G38" s="657">
        <v>9</v>
      </c>
      <c r="H38" s="658">
        <f>R.HN!C34</f>
        <v>10</v>
      </c>
      <c r="I38" s="301">
        <f>'R.GUI MAIL'!N15</f>
        <v>0</v>
      </c>
      <c r="J38" s="660"/>
      <c r="K38" s="661"/>
      <c r="L38" s="1151"/>
      <c r="M38" s="662"/>
      <c r="N38" s="659">
        <f>R.HN!D34</f>
        <v>10</v>
      </c>
      <c r="O38" s="301">
        <f>'R.GUI MAIL'!N31</f>
        <v>0</v>
      </c>
      <c r="P38" s="660"/>
      <c r="Q38" s="661"/>
      <c r="R38" s="1151"/>
      <c r="S38" s="662"/>
      <c r="T38" s="659"/>
      <c r="U38" s="301">
        <f>'R.GUI MAIL'!N47</f>
        <v>10</v>
      </c>
      <c r="V38" s="660"/>
      <c r="W38" s="661"/>
      <c r="X38" s="1142"/>
      <c r="Y38" s="662"/>
    </row>
    <row r="39" spans="1:25" ht="30.75" customHeight="1">
      <c r="A39" s="648"/>
      <c r="B39" s="1825"/>
      <c r="C39" s="649"/>
      <c r="D39" s="649"/>
      <c r="E39" s="649" t="s">
        <v>2</v>
      </c>
      <c r="F39" s="649"/>
      <c r="G39" s="649"/>
      <c r="H39" s="649"/>
      <c r="I39" s="649"/>
      <c r="J39" s="649"/>
      <c r="K39" s="649"/>
      <c r="L39" s="649"/>
      <c r="M39" s="649"/>
      <c r="N39" s="649"/>
      <c r="O39" s="649"/>
      <c r="P39" s="649"/>
      <c r="Q39" s="649"/>
      <c r="R39" s="649"/>
      <c r="S39" s="649"/>
      <c r="T39" s="649"/>
      <c r="U39" s="649"/>
      <c r="V39" s="649"/>
      <c r="W39" s="649"/>
      <c r="X39" s="649"/>
      <c r="Y39" s="1149"/>
    </row>
    <row r="40" spans="1:25" ht="30.75" customHeight="1">
      <c r="A40" s="650" t="s">
        <v>54</v>
      </c>
      <c r="B40" s="3715" t="s">
        <v>746</v>
      </c>
      <c r="C40" s="3716"/>
      <c r="D40" s="3717"/>
      <c r="E40" s="651" t="s">
        <v>747</v>
      </c>
      <c r="F40" s="651" t="s">
        <v>748</v>
      </c>
      <c r="G40" s="652" t="s">
        <v>739</v>
      </c>
      <c r="H40" s="653"/>
      <c r="I40" s="3718" t="s">
        <v>45</v>
      </c>
      <c r="J40" s="3719"/>
      <c r="K40" s="3719"/>
      <c r="L40" s="3720" t="s">
        <v>62</v>
      </c>
      <c r="M40" s="3721"/>
      <c r="N40" s="618"/>
      <c r="O40" s="3718" t="s">
        <v>45</v>
      </c>
      <c r="P40" s="3719"/>
      <c r="Q40" s="3719"/>
      <c r="R40" s="3720" t="s">
        <v>62</v>
      </c>
      <c r="S40" s="3721"/>
      <c r="T40" s="618"/>
      <c r="U40" s="3718" t="s">
        <v>45</v>
      </c>
      <c r="V40" s="3719"/>
      <c r="W40" s="3719"/>
      <c r="X40" s="3720" t="s">
        <v>62</v>
      </c>
      <c r="Y40" s="3721"/>
    </row>
    <row r="41" spans="1:25" ht="30.75" customHeight="1">
      <c r="A41" s="650">
        <v>1</v>
      </c>
      <c r="B41" s="3715" t="s">
        <v>749</v>
      </c>
      <c r="C41" s="3716"/>
      <c r="D41" s="3717"/>
      <c r="E41" s="654" t="s">
        <v>750</v>
      </c>
      <c r="F41" s="646" t="s">
        <v>1107</v>
      </c>
      <c r="G41" s="652"/>
      <c r="H41" s="653"/>
      <c r="I41" s="1496"/>
      <c r="J41" s="1497"/>
      <c r="K41" s="1497"/>
      <c r="L41" s="1498"/>
      <c r="M41" s="1499"/>
      <c r="N41" s="1500"/>
      <c r="O41" s="3687">
        <f>'R.GUI MAIL'!N34</f>
        <v>0</v>
      </c>
      <c r="P41" s="3687"/>
      <c r="Q41" s="3687"/>
      <c r="R41" s="3687">
        <f>'R.GUI MAIL'!Q34</f>
        <v>0</v>
      </c>
      <c r="S41" s="3687"/>
      <c r="T41" s="3687"/>
      <c r="U41" s="3687">
        <f>'R.GUI MAIL'!N50</f>
        <v>0</v>
      </c>
      <c r="V41" s="3687"/>
      <c r="W41" s="3687"/>
      <c r="X41" s="3687">
        <f>'R.GUI MAIL'!Q50</f>
        <v>59</v>
      </c>
      <c r="Y41" s="3687"/>
    </row>
    <row r="42" spans="1:25" ht="30.75" customHeight="1">
      <c r="A42" s="650">
        <v>2</v>
      </c>
      <c r="B42" s="3715" t="s">
        <v>751</v>
      </c>
      <c r="C42" s="3716"/>
      <c r="D42" s="3717"/>
      <c r="E42" s="654" t="s">
        <v>750</v>
      </c>
      <c r="F42" s="646" t="s">
        <v>752</v>
      </c>
      <c r="G42" s="655" t="e">
        <f>'[7]file goc'!G91</f>
        <v>#REF!</v>
      </c>
      <c r="H42" s="655"/>
      <c r="I42" s="3475">
        <f>'R.GUI MAIL'!N18</f>
        <v>0</v>
      </c>
      <c r="J42" s="3476"/>
      <c r="K42" s="3476"/>
      <c r="L42" s="3475">
        <f>'R.GUI MAIL'!Q18</f>
        <v>0</v>
      </c>
      <c r="M42" s="3476"/>
      <c r="N42" s="1462"/>
      <c r="O42" s="3475">
        <f>'R.GUI MAIL'!N35</f>
        <v>0</v>
      </c>
      <c r="P42" s="3476"/>
      <c r="Q42" s="3476"/>
      <c r="R42" s="3475">
        <f>'R.GUI MAIL'!Q35</f>
        <v>0</v>
      </c>
      <c r="S42" s="3477"/>
      <c r="T42" s="1500"/>
      <c r="U42" s="3475">
        <f>'R.GUI MAIL'!N51</f>
        <v>0</v>
      </c>
      <c r="V42" s="3476"/>
      <c r="W42" s="3477"/>
      <c r="X42" s="3475">
        <f>'R.GUI MAIL'!Q51</f>
        <v>68</v>
      </c>
      <c r="Y42" s="3477"/>
    </row>
    <row r="43" spans="1:25" ht="30.75" hidden="1" customHeight="1">
      <c r="A43" s="650">
        <v>3</v>
      </c>
      <c r="B43" s="3715" t="s">
        <v>753</v>
      </c>
      <c r="C43" s="3716"/>
      <c r="D43" s="3717"/>
      <c r="E43" s="654" t="s">
        <v>750</v>
      </c>
      <c r="F43" s="646" t="s">
        <v>752</v>
      </c>
      <c r="G43" s="656" t="str">
        <f>'[7]file goc'!G92</f>
        <v>7:00</v>
      </c>
      <c r="H43" s="655"/>
      <c r="I43" s="3475">
        <f>'R.GUI MAIL'!N19</f>
        <v>0</v>
      </c>
      <c r="J43" s="3476"/>
      <c r="K43" s="3476"/>
      <c r="L43" s="3475">
        <f>'R.GUI MAIL'!Q19</f>
        <v>0</v>
      </c>
      <c r="M43" s="3477"/>
      <c r="N43" s="1500"/>
      <c r="O43" s="1501"/>
      <c r="P43" s="1502"/>
      <c r="Q43" s="1502"/>
      <c r="R43" s="1503"/>
      <c r="S43" s="1504"/>
      <c r="T43" s="1500"/>
      <c r="U43" s="1505"/>
      <c r="V43" s="1505"/>
      <c r="W43" s="1505"/>
      <c r="X43" s="1505"/>
      <c r="Y43" s="1505"/>
    </row>
    <row r="44" spans="1:25" ht="30.75" customHeight="1">
      <c r="A44" s="650">
        <v>6</v>
      </c>
      <c r="B44" s="3715" t="s">
        <v>754</v>
      </c>
      <c r="C44" s="3716"/>
      <c r="D44" s="3717"/>
      <c r="E44" s="654" t="s">
        <v>750</v>
      </c>
      <c r="F44" s="646" t="s">
        <v>755</v>
      </c>
      <c r="G44" s="656">
        <f>'[7]file goc'!G95</f>
        <v>0</v>
      </c>
      <c r="H44" s="655"/>
      <c r="I44" s="3475">
        <f>'R.GUI MAIL'!N20</f>
        <v>0</v>
      </c>
      <c r="J44" s="3476"/>
      <c r="K44" s="3476"/>
      <c r="L44" s="3475">
        <f>'R.GUI MAIL'!Q20</f>
        <v>0</v>
      </c>
      <c r="M44" s="3477"/>
      <c r="N44" s="1500"/>
      <c r="O44" s="3475">
        <f>'R.GUI MAIL'!N36</f>
        <v>0</v>
      </c>
      <c r="P44" s="3476"/>
      <c r="Q44" s="3476"/>
      <c r="R44" s="3475">
        <f>'R.GUI MAIL'!Q36</f>
        <v>0</v>
      </c>
      <c r="S44" s="3477"/>
      <c r="T44" s="1500"/>
      <c r="U44" s="3475">
        <f>'R.GUI MAIL'!N52</f>
        <v>0</v>
      </c>
      <c r="V44" s="3476"/>
      <c r="W44" s="3477"/>
      <c r="X44" s="3475">
        <f>'R.GUI MAIL'!Q52</f>
        <v>89</v>
      </c>
      <c r="Y44" s="3477"/>
    </row>
    <row r="45" spans="1:25" s="615" customFormat="1" ht="30.75" customHeight="1">
      <c r="A45" s="3737" t="s">
        <v>1470</v>
      </c>
      <c r="B45" s="3738"/>
      <c r="C45" s="3755" t="str">
        <f>MENU!$AC$9</f>
        <v>Thứ 4,</v>
      </c>
      <c r="D45" s="3755"/>
      <c r="E45" s="3756" t="str">
        <f>MENU!$AD$9</f>
        <v>2024/05/22</v>
      </c>
      <c r="F45" s="3757"/>
      <c r="G45" s="3757"/>
      <c r="H45" s="3757"/>
      <c r="I45" s="2003" t="s">
        <v>735</v>
      </c>
      <c r="J45" s="2003"/>
      <c r="K45" s="2003"/>
      <c r="L45" s="2003"/>
      <c r="M45" s="2003"/>
      <c r="N45" s="2003"/>
      <c r="O45" s="2003"/>
      <c r="P45" s="2003"/>
      <c r="Q45" s="2003"/>
      <c r="R45" s="2003"/>
      <c r="S45" s="2003"/>
      <c r="T45" s="2003"/>
      <c r="U45" s="2003"/>
      <c r="V45" s="2003"/>
      <c r="W45" s="2003"/>
      <c r="X45" s="2003"/>
      <c r="Y45" s="2004"/>
    </row>
    <row r="46" spans="1:25" ht="30.75" customHeight="1">
      <c r="A46" s="3739" t="s">
        <v>7</v>
      </c>
      <c r="B46" s="3216" t="s">
        <v>736</v>
      </c>
      <c r="C46" s="3217"/>
      <c r="D46" s="3742"/>
      <c r="E46" s="3747" t="s">
        <v>737</v>
      </c>
      <c r="F46" s="3750" t="s">
        <v>738</v>
      </c>
      <c r="G46" s="616"/>
      <c r="H46" s="617"/>
      <c r="I46" s="3753" t="s">
        <v>739</v>
      </c>
      <c r="J46" s="3754"/>
      <c r="K46" s="3754"/>
      <c r="L46" s="3754"/>
      <c r="M46" s="3754"/>
      <c r="N46" s="618"/>
      <c r="O46" s="3753" t="s">
        <v>1292</v>
      </c>
      <c r="P46" s="3754"/>
      <c r="Q46" s="3754"/>
      <c r="R46" s="3754"/>
      <c r="S46" s="3754"/>
      <c r="T46" s="618"/>
      <c r="U46" s="3753" t="s">
        <v>1293</v>
      </c>
      <c r="V46" s="3754"/>
      <c r="W46" s="3754"/>
      <c r="X46" s="3754"/>
      <c r="Y46" s="3754"/>
    </row>
    <row r="47" spans="1:25" ht="30.75" customHeight="1">
      <c r="A47" s="3740"/>
      <c r="B47" s="3743"/>
      <c r="C47" s="3744"/>
      <c r="D47" s="3745"/>
      <c r="E47" s="3748"/>
      <c r="F47" s="3751"/>
      <c r="G47" s="619" t="s">
        <v>422</v>
      </c>
      <c r="H47" s="620"/>
      <c r="I47" s="3731" t="s">
        <v>740</v>
      </c>
      <c r="J47" s="622" t="s">
        <v>741</v>
      </c>
      <c r="K47" s="3733" t="s">
        <v>1</v>
      </c>
      <c r="L47" s="3733"/>
      <c r="M47" s="3734"/>
      <c r="N47" s="621"/>
      <c r="O47" s="3731" t="s">
        <v>740</v>
      </c>
      <c r="P47" s="622" t="s">
        <v>741</v>
      </c>
      <c r="Q47" s="3733" t="s">
        <v>1</v>
      </c>
      <c r="R47" s="3733"/>
      <c r="S47" s="3734"/>
      <c r="T47" s="620"/>
      <c r="U47" s="3731" t="s">
        <v>740</v>
      </c>
      <c r="V47" s="622" t="s">
        <v>741</v>
      </c>
      <c r="W47" s="3733" t="s">
        <v>1</v>
      </c>
      <c r="X47" s="3733"/>
      <c r="Y47" s="3734"/>
    </row>
    <row r="48" spans="1:25" ht="30.75" customHeight="1">
      <c r="A48" s="3741"/>
      <c r="B48" s="3218"/>
      <c r="C48" s="3219"/>
      <c r="D48" s="3746"/>
      <c r="E48" s="3749"/>
      <c r="F48" s="3752"/>
      <c r="G48" s="619"/>
      <c r="H48" s="620"/>
      <c r="I48" s="3732"/>
      <c r="J48" s="623"/>
      <c r="K48" s="3735"/>
      <c r="L48" s="3735"/>
      <c r="M48" s="3736"/>
      <c r="N48" s="621"/>
      <c r="O48" s="3732"/>
      <c r="P48" s="623"/>
      <c r="Q48" s="3735"/>
      <c r="R48" s="3735"/>
      <c r="S48" s="3736"/>
      <c r="T48" s="620"/>
      <c r="U48" s="3732"/>
      <c r="V48" s="623"/>
      <c r="W48" s="3735"/>
      <c r="X48" s="3735"/>
      <c r="Y48" s="3736"/>
    </row>
    <row r="49" spans="1:25" ht="30.75" customHeight="1">
      <c r="A49" s="624">
        <v>1</v>
      </c>
      <c r="B49" s="3715" t="s">
        <v>742</v>
      </c>
      <c r="C49" s="3716"/>
      <c r="D49" s="3717"/>
      <c r="E49" s="625" t="s">
        <v>431</v>
      </c>
      <c r="F49" s="626" t="s">
        <v>728</v>
      </c>
      <c r="G49" s="627">
        <v>40</v>
      </c>
      <c r="H49" s="628">
        <f>R.HN!C52</f>
        <v>1.62</v>
      </c>
      <c r="I49" s="634"/>
      <c r="J49" s="634"/>
      <c r="K49" s="635"/>
      <c r="L49" s="1141"/>
      <c r="M49" s="636"/>
      <c r="N49" s="629">
        <f>R.HN!D52</f>
        <v>1.68</v>
      </c>
      <c r="O49" s="301">
        <f>'R.GUI MAIL'!T25</f>
        <v>0</v>
      </c>
      <c r="P49" s="630"/>
      <c r="Q49" s="631" t="s">
        <v>8</v>
      </c>
      <c r="R49" s="1142">
        <f>'R.GUI MAIL'!W25</f>
        <v>0</v>
      </c>
      <c r="S49" s="632" t="s">
        <v>9</v>
      </c>
      <c r="T49" s="629"/>
      <c r="U49" s="301">
        <f>'R.GUI MAIL'!T41</f>
        <v>45</v>
      </c>
      <c r="V49" s="630"/>
      <c r="W49" s="631" t="s">
        <v>8</v>
      </c>
      <c r="X49" s="1143">
        <f>'R.GUI MAIL'!W41</f>
        <v>0</v>
      </c>
      <c r="Y49" s="632" t="s">
        <v>9</v>
      </c>
    </row>
    <row r="50" spans="1:25" ht="30.75" customHeight="1">
      <c r="A50" s="624">
        <v>2</v>
      </c>
      <c r="B50" s="3715" t="s">
        <v>425</v>
      </c>
      <c r="C50" s="3716"/>
      <c r="D50" s="3717"/>
      <c r="E50" s="633" t="s">
        <v>3</v>
      </c>
      <c r="F50" s="626" t="s">
        <v>426</v>
      </c>
      <c r="G50" s="627">
        <v>22</v>
      </c>
      <c r="H50" s="628">
        <f>R.HN!C53</f>
        <v>3.6</v>
      </c>
      <c r="I50" s="301">
        <f>'R.GUI MAIL'!T6</f>
        <v>0</v>
      </c>
      <c r="J50" s="630"/>
      <c r="K50" s="631" t="s">
        <v>8</v>
      </c>
      <c r="L50" s="1142">
        <f>'R.GUI MAIL'!W6</f>
        <v>0</v>
      </c>
      <c r="M50" s="632" t="s">
        <v>10</v>
      </c>
      <c r="N50" s="629">
        <f>R.HN!D53</f>
        <v>3.5</v>
      </c>
      <c r="O50" s="301">
        <f>'R.GUI MAIL'!T26</f>
        <v>0</v>
      </c>
      <c r="P50" s="630"/>
      <c r="Q50" s="631" t="s">
        <v>8</v>
      </c>
      <c r="R50" s="1142">
        <f>'R.GUI MAIL'!W26</f>
        <v>0</v>
      </c>
      <c r="S50" s="632" t="s">
        <v>10</v>
      </c>
      <c r="T50" s="629"/>
      <c r="U50" s="301">
        <f>'R.GUI MAIL'!T42</f>
        <v>10.95</v>
      </c>
      <c r="V50" s="630"/>
      <c r="W50" s="631" t="s">
        <v>8</v>
      </c>
      <c r="X50" s="1142">
        <f>'R.GUI MAIL'!W42</f>
        <v>126.17968750000006</v>
      </c>
      <c r="Y50" s="632" t="s">
        <v>10</v>
      </c>
    </row>
    <row r="51" spans="1:25" ht="30.75" hidden="1" customHeight="1">
      <c r="A51" s="624">
        <v>3</v>
      </c>
      <c r="B51" s="3722" t="s">
        <v>391</v>
      </c>
      <c r="C51" s="3723"/>
      <c r="D51" s="3724"/>
      <c r="E51" s="633" t="s">
        <v>3</v>
      </c>
      <c r="F51" s="626" t="s">
        <v>426</v>
      </c>
      <c r="G51" s="627"/>
      <c r="H51" s="628"/>
      <c r="I51" s="1100">
        <f>'R.GUI MAIL'!T7</f>
        <v>0</v>
      </c>
      <c r="J51" s="630"/>
      <c r="K51" s="631" t="s">
        <v>8</v>
      </c>
      <c r="L51" s="1142">
        <f>'R.GUI MAIL'!W7</f>
        <v>292.1875</v>
      </c>
      <c r="M51" s="632" t="s">
        <v>10</v>
      </c>
      <c r="N51" s="629"/>
      <c r="O51" s="634"/>
      <c r="P51" s="634"/>
      <c r="Q51" s="635"/>
      <c r="R51" s="1141"/>
      <c r="S51" s="636"/>
      <c r="T51" s="637"/>
      <c r="U51" s="1100">
        <f>'R.GUI MAIL'!T42</f>
        <v>10.95</v>
      </c>
      <c r="V51" s="630"/>
      <c r="W51" s="631" t="s">
        <v>8</v>
      </c>
      <c r="X51" s="1142">
        <f>'R.GUI MAIL'!W42</f>
        <v>126.17968750000006</v>
      </c>
      <c r="Y51" s="632" t="s">
        <v>10</v>
      </c>
    </row>
    <row r="52" spans="1:25" ht="30.75" customHeight="1">
      <c r="A52" s="624">
        <v>4</v>
      </c>
      <c r="B52" s="3728" t="s">
        <v>743</v>
      </c>
      <c r="C52" s="1144" t="s">
        <v>744</v>
      </c>
      <c r="D52" s="1145">
        <f>R.HN!E12</f>
        <v>3</v>
      </c>
      <c r="E52" s="3730" t="s">
        <v>431</v>
      </c>
      <c r="F52" s="626" t="s">
        <v>730</v>
      </c>
      <c r="G52" s="627">
        <v>50</v>
      </c>
      <c r="H52" s="628">
        <f>R.HN!C54</f>
        <v>10</v>
      </c>
      <c r="I52" s="301">
        <f>'R.GUI MAIL'!T8</f>
        <v>0</v>
      </c>
      <c r="J52" s="630"/>
      <c r="K52" s="631" t="s">
        <v>8</v>
      </c>
      <c r="L52" s="1142">
        <f>'R.GUI MAIL'!W8</f>
        <v>0</v>
      </c>
      <c r="M52" s="632" t="s">
        <v>9</v>
      </c>
      <c r="N52" s="629">
        <f>R.HN!D54</f>
        <v>9.9</v>
      </c>
      <c r="O52" s="301">
        <f>'R.GUI MAIL'!T27</f>
        <v>0</v>
      </c>
      <c r="P52" s="630"/>
      <c r="Q52" s="631" t="s">
        <v>8</v>
      </c>
      <c r="R52" s="1142">
        <f>'R.GUI MAIL'!W27</f>
        <v>0</v>
      </c>
      <c r="S52" s="632" t="s">
        <v>9</v>
      </c>
      <c r="T52" s="629"/>
      <c r="U52" s="301">
        <f>'R.GUI MAIL'!T43</f>
        <v>45</v>
      </c>
      <c r="V52" s="630"/>
      <c r="W52" s="631" t="s">
        <v>8</v>
      </c>
      <c r="X52" s="1142">
        <f>'R.GUI MAIL'!W43</f>
        <v>24.675000000000001</v>
      </c>
      <c r="Y52" s="632" t="s">
        <v>9</v>
      </c>
    </row>
    <row r="53" spans="1:25" ht="30.75" customHeight="1">
      <c r="A53" s="624">
        <v>5</v>
      </c>
      <c r="B53" s="3729"/>
      <c r="C53" s="1146"/>
      <c r="D53" s="1147"/>
      <c r="E53" s="3730"/>
      <c r="F53" s="626" t="s">
        <v>726</v>
      </c>
      <c r="G53" s="638">
        <v>6</v>
      </c>
      <c r="H53" s="628">
        <f>R.HN!C55</f>
        <v>9.1</v>
      </c>
      <c r="I53" s="301">
        <f>'R.GUI MAIL'!T9</f>
        <v>0</v>
      </c>
      <c r="J53" s="630"/>
      <c r="K53" s="631" t="s">
        <v>8</v>
      </c>
      <c r="L53" s="1142">
        <f>'R.GUI MAIL'!W9</f>
        <v>0</v>
      </c>
      <c r="M53" s="632" t="s">
        <v>9</v>
      </c>
      <c r="N53" s="629">
        <f>R.HN!D55</f>
        <v>8.8000000000000007</v>
      </c>
      <c r="O53" s="301">
        <f>'R.GUI MAIL'!T28</f>
        <v>0</v>
      </c>
      <c r="P53" s="630"/>
      <c r="Q53" s="631"/>
      <c r="R53" s="1142">
        <f>'R.GUI MAIL'!W28</f>
        <v>0</v>
      </c>
      <c r="S53" s="632" t="s">
        <v>9</v>
      </c>
      <c r="T53" s="629"/>
      <c r="U53" s="301">
        <f>'R.GUI MAIL'!T44</f>
        <v>10.227272727272727</v>
      </c>
      <c r="V53" s="630"/>
      <c r="W53" s="631"/>
      <c r="X53" s="1142">
        <f>'R.GUI MAIL'!W44</f>
        <v>0</v>
      </c>
      <c r="Y53" s="632" t="s">
        <v>9</v>
      </c>
    </row>
    <row r="54" spans="1:25" ht="30.75" customHeight="1">
      <c r="A54" s="624">
        <v>6</v>
      </c>
      <c r="B54" s="3729"/>
      <c r="C54" s="1146"/>
      <c r="D54" s="1147"/>
      <c r="E54" s="3730"/>
      <c r="F54" s="626" t="s">
        <v>614</v>
      </c>
      <c r="G54" s="638">
        <v>0.4</v>
      </c>
      <c r="H54" s="628">
        <f>R.HN!C56</f>
        <v>10.1</v>
      </c>
      <c r="I54" s="413">
        <f>'R.GUI MAIL'!T10</f>
        <v>0</v>
      </c>
      <c r="J54" s="630"/>
      <c r="K54" s="631" t="s">
        <v>8</v>
      </c>
      <c r="L54" s="1142">
        <f>'R.GUI MAIL'!W10</f>
        <v>0</v>
      </c>
      <c r="M54" s="632" t="s">
        <v>9</v>
      </c>
      <c r="N54" s="629">
        <f>R.HN!D56</f>
        <v>10</v>
      </c>
      <c r="O54" s="413">
        <f>'R.GUI MAIL'!T29</f>
        <v>0</v>
      </c>
      <c r="P54" s="639"/>
      <c r="Q54" s="640"/>
      <c r="R54" s="1142">
        <f>'R.GUI MAIL'!W29</f>
        <v>0</v>
      </c>
      <c r="S54" s="641" t="s">
        <v>9</v>
      </c>
      <c r="T54" s="642"/>
      <c r="U54" s="413">
        <f>'R.GUI MAIL'!T45</f>
        <v>0.12</v>
      </c>
      <c r="V54" s="630"/>
      <c r="W54" s="631"/>
      <c r="X54" s="1142">
        <f>'R.GUI MAIL'!W45</f>
        <v>0</v>
      </c>
      <c r="Y54" s="632" t="s">
        <v>9</v>
      </c>
    </row>
    <row r="55" spans="1:25" ht="30.75" hidden="1" customHeight="1">
      <c r="A55" s="624">
        <v>7</v>
      </c>
      <c r="B55" s="3728" t="s">
        <v>743</v>
      </c>
      <c r="C55" s="1144" t="s">
        <v>744</v>
      </c>
      <c r="D55" s="1145">
        <f>R.HN!E13</f>
        <v>4</v>
      </c>
      <c r="E55" s="3730" t="s">
        <v>431</v>
      </c>
      <c r="F55" s="626" t="s">
        <v>730</v>
      </c>
      <c r="G55" s="627">
        <v>50</v>
      </c>
      <c r="H55" s="628">
        <f>R.HN!C57</f>
        <v>9.1</v>
      </c>
      <c r="I55" s="301">
        <f>'R.GUI MAIL'!T11</f>
        <v>0</v>
      </c>
      <c r="J55" s="655"/>
      <c r="K55" s="631" t="s">
        <v>8</v>
      </c>
      <c r="L55" s="1142">
        <f>'R.GUI MAIL'!W11</f>
        <v>0</v>
      </c>
      <c r="M55" s="632" t="s">
        <v>9</v>
      </c>
      <c r="N55" s="629">
        <f>R.HN!D57</f>
        <v>8.9</v>
      </c>
      <c r="O55" s="634"/>
      <c r="P55" s="634"/>
      <c r="Q55" s="635"/>
      <c r="R55" s="1141"/>
      <c r="S55" s="636"/>
      <c r="T55" s="629"/>
      <c r="U55" s="634"/>
      <c r="V55" s="634"/>
      <c r="W55" s="635"/>
      <c r="X55" s="1141"/>
      <c r="Y55" s="636"/>
    </row>
    <row r="56" spans="1:25" ht="30.75" hidden="1" customHeight="1">
      <c r="A56" s="624">
        <v>8</v>
      </c>
      <c r="B56" s="3729"/>
      <c r="C56" s="1146"/>
      <c r="D56" s="1147"/>
      <c r="E56" s="3730"/>
      <c r="F56" s="626" t="s">
        <v>726</v>
      </c>
      <c r="G56" s="638">
        <v>6</v>
      </c>
      <c r="H56" s="628">
        <f>R.HN!C58</f>
        <v>9.9</v>
      </c>
      <c r="I56" s="301">
        <f>'R.GUI MAIL'!T12</f>
        <v>0</v>
      </c>
      <c r="J56" s="630"/>
      <c r="K56" s="631" t="s">
        <v>8</v>
      </c>
      <c r="L56" s="1142">
        <f>'R.GUI MAIL'!W12</f>
        <v>0</v>
      </c>
      <c r="M56" s="632" t="s">
        <v>9</v>
      </c>
      <c r="N56" s="629">
        <f>R.HN!D58</f>
        <v>9.9</v>
      </c>
      <c r="O56" s="634"/>
      <c r="P56" s="634"/>
      <c r="Q56" s="635"/>
      <c r="R56" s="1141"/>
      <c r="S56" s="636"/>
      <c r="T56" s="629"/>
      <c r="U56" s="634"/>
      <c r="V56" s="634"/>
      <c r="W56" s="635"/>
      <c r="X56" s="1141"/>
      <c r="Y56" s="636"/>
    </row>
    <row r="57" spans="1:25" ht="30.75" hidden="1" customHeight="1">
      <c r="A57" s="624">
        <v>9</v>
      </c>
      <c r="B57" s="3729"/>
      <c r="C57" s="1146"/>
      <c r="D57" s="1147"/>
      <c r="E57" s="3730"/>
      <c r="F57" s="626" t="s">
        <v>614</v>
      </c>
      <c r="G57" s="638">
        <v>0.4</v>
      </c>
      <c r="H57" s="628">
        <f>R.HN!C59</f>
        <v>9.3000000000000007</v>
      </c>
      <c r="I57" s="413">
        <f>'R.GUI MAIL'!T13</f>
        <v>0</v>
      </c>
      <c r="J57" s="655"/>
      <c r="K57" s="631" t="s">
        <v>8</v>
      </c>
      <c r="L57" s="1142">
        <f>'R.GUI MAIL'!W13</f>
        <v>0</v>
      </c>
      <c r="M57" s="632" t="s">
        <v>9</v>
      </c>
      <c r="N57" s="629">
        <f>R.HN!D59</f>
        <v>8.8000000000000007</v>
      </c>
      <c r="O57" s="643"/>
      <c r="P57" s="643"/>
      <c r="Q57" s="644"/>
      <c r="R57" s="1141"/>
      <c r="S57" s="645"/>
      <c r="T57" s="642"/>
      <c r="U57" s="643"/>
      <c r="V57" s="643"/>
      <c r="W57" s="644"/>
      <c r="X57" s="1141"/>
      <c r="Y57" s="645"/>
    </row>
    <row r="58" spans="1:25" ht="30.75" customHeight="1">
      <c r="A58" s="624">
        <v>10</v>
      </c>
      <c r="B58" s="3722" t="s">
        <v>745</v>
      </c>
      <c r="C58" s="3723"/>
      <c r="D58" s="3724"/>
      <c r="E58" s="624" t="s">
        <v>431</v>
      </c>
      <c r="F58" s="646" t="s">
        <v>441</v>
      </c>
      <c r="G58" s="638">
        <v>2</v>
      </c>
      <c r="H58" s="628">
        <f>R.HN!C41</f>
        <v>8.3000000000000007</v>
      </c>
      <c r="I58" s="301">
        <f>'R.GUI MAIL'!T14</f>
        <v>0</v>
      </c>
      <c r="J58" s="630"/>
      <c r="K58" s="631" t="s">
        <v>8</v>
      </c>
      <c r="L58" s="1150">
        <f>'R.GUI MAIL'!W14</f>
        <v>0</v>
      </c>
      <c r="M58" s="632" t="s">
        <v>9</v>
      </c>
      <c r="N58" s="629">
        <f>R.HN!D41</f>
        <v>0</v>
      </c>
      <c r="O58" s="301">
        <f>'R.GUI MAIL'!T30</f>
        <v>0</v>
      </c>
      <c r="P58" s="630"/>
      <c r="Q58" s="631" t="s">
        <v>8</v>
      </c>
      <c r="R58" s="1142">
        <f>'R.GUI MAIL'!W30</f>
        <v>0</v>
      </c>
      <c r="S58" s="632" t="s">
        <v>9</v>
      </c>
      <c r="T58" s="629"/>
      <c r="U58" s="301">
        <f>'R.GUI MAIL'!T46</f>
        <v>0.95</v>
      </c>
      <c r="V58" s="630"/>
      <c r="W58" s="631" t="s">
        <v>8</v>
      </c>
      <c r="X58" s="1142">
        <f>'R.GUI MAIL'!W46</f>
        <v>6.1700000000000053E-2</v>
      </c>
      <c r="Y58" s="632" t="s">
        <v>9</v>
      </c>
    </row>
    <row r="59" spans="1:25" ht="30.75" customHeight="1">
      <c r="A59" s="624">
        <v>11</v>
      </c>
      <c r="B59" s="3725"/>
      <c r="C59" s="3726"/>
      <c r="D59" s="3727"/>
      <c r="E59" s="624" t="s">
        <v>5</v>
      </c>
      <c r="F59" s="1148" t="s">
        <v>620</v>
      </c>
      <c r="G59" s="647">
        <v>9</v>
      </c>
      <c r="H59" s="628">
        <f>R.HN!C42</f>
        <v>0</v>
      </c>
      <c r="I59" s="301">
        <f>'R.GUI MAIL'!T15</f>
        <v>0</v>
      </c>
      <c r="J59" s="630"/>
      <c r="K59" s="631"/>
      <c r="L59" s="1142"/>
      <c r="M59" s="632"/>
      <c r="N59" s="629">
        <f>R.HN!D42</f>
        <v>0</v>
      </c>
      <c r="O59" s="301">
        <f>'R.GUI MAIL'!T31</f>
        <v>0</v>
      </c>
      <c r="P59" s="630"/>
      <c r="Q59" s="631"/>
      <c r="R59" s="1142"/>
      <c r="S59" s="632"/>
      <c r="T59" s="629"/>
      <c r="U59" s="301">
        <f>'R.GUI MAIL'!T47</f>
        <v>10</v>
      </c>
      <c r="V59" s="630"/>
      <c r="W59" s="631"/>
      <c r="X59" s="1142"/>
      <c r="Y59" s="632"/>
    </row>
    <row r="60" spans="1:25" ht="30.75" customHeight="1">
      <c r="A60" s="648"/>
      <c r="B60" s="1825"/>
      <c r="C60" s="649"/>
      <c r="D60" s="649"/>
      <c r="E60" s="649" t="s">
        <v>2</v>
      </c>
      <c r="F60" s="649"/>
      <c r="G60" s="649"/>
      <c r="H60" s="649"/>
      <c r="I60" s="649"/>
      <c r="J60" s="649"/>
      <c r="K60" s="649"/>
      <c r="L60" s="649"/>
      <c r="M60" s="649"/>
      <c r="N60" s="649"/>
      <c r="O60" s="649"/>
      <c r="P60" s="649"/>
      <c r="Q60" s="649"/>
      <c r="R60" s="649"/>
      <c r="S60" s="649"/>
      <c r="T60" s="649"/>
      <c r="U60" s="649"/>
      <c r="V60" s="649"/>
      <c r="W60" s="649"/>
      <c r="X60" s="649"/>
      <c r="Y60" s="1149"/>
    </row>
    <row r="61" spans="1:25" ht="30.75" customHeight="1">
      <c r="A61" s="650" t="s">
        <v>54</v>
      </c>
      <c r="B61" s="3715" t="s">
        <v>746</v>
      </c>
      <c r="C61" s="3716"/>
      <c r="D61" s="3717"/>
      <c r="E61" s="651" t="s">
        <v>747</v>
      </c>
      <c r="F61" s="651" t="s">
        <v>748</v>
      </c>
      <c r="G61" s="652" t="s">
        <v>739</v>
      </c>
      <c r="H61" s="653"/>
      <c r="I61" s="3718" t="s">
        <v>45</v>
      </c>
      <c r="J61" s="3719"/>
      <c r="K61" s="3719"/>
      <c r="L61" s="3720" t="s">
        <v>62</v>
      </c>
      <c r="M61" s="3721"/>
      <c r="N61" s="618"/>
      <c r="O61" s="3718" t="s">
        <v>45</v>
      </c>
      <c r="P61" s="3719"/>
      <c r="Q61" s="3719"/>
      <c r="R61" s="3720" t="s">
        <v>62</v>
      </c>
      <c r="S61" s="3721"/>
      <c r="T61" s="618"/>
      <c r="U61" s="3718" t="s">
        <v>45</v>
      </c>
      <c r="V61" s="3719"/>
      <c r="W61" s="3719"/>
      <c r="X61" s="3720" t="s">
        <v>62</v>
      </c>
      <c r="Y61" s="3721"/>
    </row>
    <row r="62" spans="1:25" ht="30.75" customHeight="1">
      <c r="A62" s="650">
        <v>1</v>
      </c>
      <c r="B62" s="3715" t="s">
        <v>749</v>
      </c>
      <c r="C62" s="3716"/>
      <c r="D62" s="3717"/>
      <c r="E62" s="654" t="s">
        <v>750</v>
      </c>
      <c r="F62" s="646" t="s">
        <v>1107</v>
      </c>
      <c r="G62" s="652"/>
      <c r="H62" s="653"/>
      <c r="I62" s="1501"/>
      <c r="J62" s="1502"/>
      <c r="K62" s="1502"/>
      <c r="L62" s="1498"/>
      <c r="M62" s="1499"/>
      <c r="N62" s="1500"/>
      <c r="O62" s="3687">
        <f>'R.GUI MAIL'!T34</f>
        <v>0</v>
      </c>
      <c r="P62" s="3687"/>
      <c r="Q62" s="3687"/>
      <c r="R62" s="3687">
        <f>'R.GUI MAIL'!W34</f>
        <v>0</v>
      </c>
      <c r="S62" s="3687"/>
      <c r="T62" s="3687"/>
      <c r="U62" s="3687">
        <f>'R.GUI MAIL'!T50</f>
        <v>0</v>
      </c>
      <c r="V62" s="3687"/>
      <c r="W62" s="3687"/>
      <c r="X62" s="3687">
        <f>'R.GUI MAIL'!W50</f>
        <v>58</v>
      </c>
      <c r="Y62" s="3687"/>
    </row>
    <row r="63" spans="1:25" ht="30.75" customHeight="1">
      <c r="A63" s="650">
        <v>2</v>
      </c>
      <c r="B63" s="3715" t="s">
        <v>751</v>
      </c>
      <c r="C63" s="3716"/>
      <c r="D63" s="3717"/>
      <c r="E63" s="654" t="s">
        <v>750</v>
      </c>
      <c r="F63" s="646" t="s">
        <v>752</v>
      </c>
      <c r="G63" s="655" t="e">
        <f>'[7]file goc'!G125</f>
        <v>#REF!</v>
      </c>
      <c r="H63" s="655"/>
      <c r="I63" s="3475">
        <f>'R.GUI MAIL'!T18</f>
        <v>0</v>
      </c>
      <c r="J63" s="3476"/>
      <c r="K63" s="3476"/>
      <c r="L63" s="3475">
        <f>'R.GUI MAIL'!W18</f>
        <v>0</v>
      </c>
      <c r="M63" s="3476"/>
      <c r="N63" s="1462"/>
      <c r="O63" s="3475">
        <f>'R.GUI MAIL'!T35</f>
        <v>0</v>
      </c>
      <c r="P63" s="3476"/>
      <c r="Q63" s="3476"/>
      <c r="R63" s="3475">
        <f>'R.GUI MAIL'!W35</f>
        <v>0</v>
      </c>
      <c r="S63" s="3477"/>
      <c r="T63" s="1500"/>
      <c r="U63" s="3475">
        <f>'R.GUI MAIL'!T51</f>
        <v>0</v>
      </c>
      <c r="V63" s="3476"/>
      <c r="W63" s="3477"/>
      <c r="X63" s="3475">
        <f>'R.GUI MAIL'!W51</f>
        <v>68</v>
      </c>
      <c r="Y63" s="3477"/>
    </row>
    <row r="64" spans="1:25" ht="30.75" hidden="1" customHeight="1">
      <c r="A64" s="650">
        <v>3</v>
      </c>
      <c r="B64" s="3715" t="s">
        <v>753</v>
      </c>
      <c r="C64" s="3716"/>
      <c r="D64" s="3717"/>
      <c r="E64" s="654" t="s">
        <v>750</v>
      </c>
      <c r="F64" s="646" t="s">
        <v>752</v>
      </c>
      <c r="G64" s="656" t="e">
        <f>'[7]file goc'!G126</f>
        <v>#REF!</v>
      </c>
      <c r="H64" s="655"/>
      <c r="I64" s="3475">
        <f>'R.GUI MAIL'!T19</f>
        <v>0</v>
      </c>
      <c r="J64" s="3476"/>
      <c r="K64" s="3476"/>
      <c r="L64" s="3475">
        <f>'R.GUI MAIL'!W19</f>
        <v>0</v>
      </c>
      <c r="M64" s="3477"/>
      <c r="N64" s="1500"/>
      <c r="O64" s="1501"/>
      <c r="P64" s="1502"/>
      <c r="Q64" s="1502"/>
      <c r="R64" s="1503"/>
      <c r="S64" s="1504"/>
      <c r="T64" s="1500"/>
      <c r="U64" s="1505"/>
      <c r="V64" s="1505"/>
      <c r="W64" s="1505"/>
      <c r="X64" s="1505"/>
      <c r="Y64" s="1505"/>
    </row>
    <row r="65" spans="1:25" ht="30.75" customHeight="1">
      <c r="A65" s="650">
        <v>6</v>
      </c>
      <c r="B65" s="3715" t="s">
        <v>754</v>
      </c>
      <c r="C65" s="3716"/>
      <c r="D65" s="3717"/>
      <c r="E65" s="654" t="s">
        <v>750</v>
      </c>
      <c r="F65" s="646" t="s">
        <v>755</v>
      </c>
      <c r="G65" s="656" t="e">
        <f>'[7]file goc'!G129</f>
        <v>#REF!</v>
      </c>
      <c r="H65" s="655"/>
      <c r="I65" s="3475">
        <f>'R.GUI MAIL'!T20</f>
        <v>0</v>
      </c>
      <c r="J65" s="3476"/>
      <c r="K65" s="3476"/>
      <c r="L65" s="3475">
        <f>'R.GUI MAIL'!W20</f>
        <v>0</v>
      </c>
      <c r="M65" s="3477"/>
      <c r="N65" s="1500"/>
      <c r="O65" s="3475">
        <f>'R.GUI MAIL'!T36</f>
        <v>0</v>
      </c>
      <c r="P65" s="3476"/>
      <c r="Q65" s="3476"/>
      <c r="R65" s="3475">
        <f>'R.GUI MAIL'!W36</f>
        <v>0</v>
      </c>
      <c r="S65" s="3477"/>
      <c r="T65" s="1500"/>
      <c r="U65" s="3475">
        <f>'R.GUI MAIL'!T52</f>
        <v>0</v>
      </c>
      <c r="V65" s="3476"/>
      <c r="W65" s="3477"/>
      <c r="X65" s="3475">
        <f>'R.GUI MAIL'!W52</f>
        <v>83</v>
      </c>
      <c r="Y65" s="3477"/>
    </row>
    <row r="66" spans="1:25" s="615" customFormat="1" ht="30.75" customHeight="1">
      <c r="A66" s="3737" t="s">
        <v>1466</v>
      </c>
      <c r="B66" s="3738"/>
      <c r="C66" s="3755" t="str">
        <f>MENU!$AC$9</f>
        <v>Thứ 4,</v>
      </c>
      <c r="D66" s="3755"/>
      <c r="E66" s="3756" t="str">
        <f>MENU!$AD$9</f>
        <v>2024/05/22</v>
      </c>
      <c r="F66" s="3757"/>
      <c r="G66" s="3757"/>
      <c r="H66" s="3757"/>
      <c r="I66" s="2003" t="s">
        <v>735</v>
      </c>
      <c r="J66" s="2003"/>
      <c r="K66" s="2003"/>
      <c r="L66" s="2003"/>
      <c r="M66" s="2003"/>
      <c r="N66" s="2003"/>
      <c r="O66" s="2003"/>
      <c r="P66" s="2003"/>
      <c r="Q66" s="2003"/>
      <c r="R66" s="2003"/>
      <c r="S66" s="2003"/>
      <c r="T66" s="2003"/>
      <c r="U66" s="2003"/>
      <c r="V66" s="2003"/>
      <c r="W66" s="2003"/>
      <c r="X66" s="2003"/>
      <c r="Y66" s="2004"/>
    </row>
    <row r="67" spans="1:25" ht="30.75" customHeight="1">
      <c r="A67" s="3739" t="s">
        <v>7</v>
      </c>
      <c r="B67" s="3216" t="s">
        <v>736</v>
      </c>
      <c r="C67" s="3217"/>
      <c r="D67" s="3742"/>
      <c r="E67" s="3747" t="s">
        <v>737</v>
      </c>
      <c r="F67" s="3750" t="s">
        <v>738</v>
      </c>
      <c r="G67" s="616"/>
      <c r="H67" s="617"/>
      <c r="I67" s="3753" t="s">
        <v>739</v>
      </c>
      <c r="J67" s="3754"/>
      <c r="K67" s="3754"/>
      <c r="L67" s="3754"/>
      <c r="M67" s="3754"/>
      <c r="N67" s="618"/>
      <c r="O67" s="3753" t="s">
        <v>1292</v>
      </c>
      <c r="P67" s="3754"/>
      <c r="Q67" s="3754"/>
      <c r="R67" s="3754"/>
      <c r="S67" s="3754"/>
      <c r="T67" s="618"/>
      <c r="U67" s="3753" t="s">
        <v>1293</v>
      </c>
      <c r="V67" s="3754"/>
      <c r="W67" s="3754"/>
      <c r="X67" s="3754"/>
      <c r="Y67" s="3754"/>
    </row>
    <row r="68" spans="1:25" ht="30.75" customHeight="1">
      <c r="A68" s="3740"/>
      <c r="B68" s="3743"/>
      <c r="C68" s="3744"/>
      <c r="D68" s="3745"/>
      <c r="E68" s="3748"/>
      <c r="F68" s="3751"/>
      <c r="G68" s="619" t="s">
        <v>422</v>
      </c>
      <c r="H68" s="620"/>
      <c r="I68" s="3731" t="s">
        <v>740</v>
      </c>
      <c r="J68" s="622" t="s">
        <v>741</v>
      </c>
      <c r="K68" s="3733" t="s">
        <v>1</v>
      </c>
      <c r="L68" s="3733"/>
      <c r="M68" s="3734"/>
      <c r="N68" s="621"/>
      <c r="O68" s="3731" t="s">
        <v>740</v>
      </c>
      <c r="P68" s="622" t="s">
        <v>741</v>
      </c>
      <c r="Q68" s="3733" t="s">
        <v>1</v>
      </c>
      <c r="R68" s="3733"/>
      <c r="S68" s="3734"/>
      <c r="T68" s="620"/>
      <c r="U68" s="3731" t="s">
        <v>740</v>
      </c>
      <c r="V68" s="622" t="s">
        <v>741</v>
      </c>
      <c r="W68" s="3733" t="s">
        <v>1</v>
      </c>
      <c r="X68" s="3733"/>
      <c r="Y68" s="3734"/>
    </row>
    <row r="69" spans="1:25" ht="30.75" customHeight="1">
      <c r="A69" s="3741"/>
      <c r="B69" s="3218"/>
      <c r="C69" s="3219"/>
      <c r="D69" s="3746"/>
      <c r="E69" s="3749"/>
      <c r="F69" s="3752"/>
      <c r="G69" s="619"/>
      <c r="H69" s="620"/>
      <c r="I69" s="3732"/>
      <c r="J69" s="623"/>
      <c r="K69" s="3735"/>
      <c r="L69" s="3735"/>
      <c r="M69" s="3736"/>
      <c r="N69" s="621"/>
      <c r="O69" s="3732"/>
      <c r="P69" s="623"/>
      <c r="Q69" s="3735"/>
      <c r="R69" s="3735"/>
      <c r="S69" s="3736"/>
      <c r="T69" s="620"/>
      <c r="U69" s="3732"/>
      <c r="V69" s="623"/>
      <c r="W69" s="3735"/>
      <c r="X69" s="3735"/>
      <c r="Y69" s="3736"/>
    </row>
    <row r="70" spans="1:25" ht="30.75" customHeight="1">
      <c r="A70" s="624">
        <v>1</v>
      </c>
      <c r="B70" s="3715" t="s">
        <v>742</v>
      </c>
      <c r="C70" s="3716"/>
      <c r="D70" s="3717"/>
      <c r="E70" s="625" t="s">
        <v>431</v>
      </c>
      <c r="F70" s="626" t="s">
        <v>728</v>
      </c>
      <c r="G70" s="627">
        <v>40</v>
      </c>
      <c r="H70" s="628">
        <f>R.HN!C73</f>
        <v>0</v>
      </c>
      <c r="I70" s="634"/>
      <c r="J70" s="643"/>
      <c r="K70" s="644"/>
      <c r="L70" s="1141"/>
      <c r="M70" s="645"/>
      <c r="N70" s="629">
        <f>R.HN!D73</f>
        <v>0</v>
      </c>
      <c r="O70" s="301">
        <f>'R.GUI MAIL'!Z25</f>
        <v>0</v>
      </c>
      <c r="P70" s="630"/>
      <c r="Q70" s="631" t="s">
        <v>8</v>
      </c>
      <c r="R70" s="1142">
        <f>'R.GUI MAIL'!AC25</f>
        <v>0</v>
      </c>
      <c r="S70" s="632" t="s">
        <v>9</v>
      </c>
      <c r="T70" s="629"/>
      <c r="U70" s="301">
        <f>'R.GUI MAIL'!Z41</f>
        <v>44</v>
      </c>
      <c r="V70" s="630"/>
      <c r="W70" s="631" t="s">
        <v>8</v>
      </c>
      <c r="X70" s="1143">
        <f>'R.GUI MAIL'!AC41</f>
        <v>0</v>
      </c>
      <c r="Y70" s="632" t="s">
        <v>9</v>
      </c>
    </row>
    <row r="71" spans="1:25" ht="30.75" customHeight="1">
      <c r="A71" s="624">
        <v>2</v>
      </c>
      <c r="B71" s="3715" t="s">
        <v>425</v>
      </c>
      <c r="C71" s="3716"/>
      <c r="D71" s="3717"/>
      <c r="E71" s="633" t="s">
        <v>3</v>
      </c>
      <c r="F71" s="626" t="s">
        <v>426</v>
      </c>
      <c r="G71" s="627">
        <v>22</v>
      </c>
      <c r="H71" s="628">
        <f>R.HN!C74</f>
        <v>0</v>
      </c>
      <c r="I71" s="301">
        <f>'R.GUI MAIL'!Z6</f>
        <v>0</v>
      </c>
      <c r="J71" s="630"/>
      <c r="K71" s="631" t="s">
        <v>8</v>
      </c>
      <c r="L71" s="1142">
        <f>'R.GUI MAIL'!AC6</f>
        <v>0</v>
      </c>
      <c r="M71" s="1152" t="s">
        <v>10</v>
      </c>
      <c r="N71" s="629">
        <f>R.HN!D74</f>
        <v>0</v>
      </c>
      <c r="O71" s="301">
        <f>'R.GUI MAIL'!Z26</f>
        <v>0</v>
      </c>
      <c r="P71" s="630"/>
      <c r="Q71" s="631" t="s">
        <v>8</v>
      </c>
      <c r="R71" s="1142">
        <f>'R.GUI MAIL'!AC26</f>
        <v>0</v>
      </c>
      <c r="S71" s="632" t="s">
        <v>10</v>
      </c>
      <c r="T71" s="629"/>
      <c r="U71" s="301">
        <f>'R.GUI MAIL'!Z42</f>
        <v>10.95</v>
      </c>
      <c r="V71" s="630"/>
      <c r="W71" s="631" t="s">
        <v>8</v>
      </c>
      <c r="X71" s="1142">
        <f>'R.GUI MAIL'!AC42</f>
        <v>126.17968750000006</v>
      </c>
      <c r="Y71" s="632" t="s">
        <v>10</v>
      </c>
    </row>
    <row r="72" spans="1:25" ht="30.75" hidden="1" customHeight="1">
      <c r="A72" s="624">
        <v>3</v>
      </c>
      <c r="B72" s="3722" t="s">
        <v>391</v>
      </c>
      <c r="C72" s="3723"/>
      <c r="D72" s="3724"/>
      <c r="E72" s="633" t="s">
        <v>3</v>
      </c>
      <c r="F72" s="626" t="s">
        <v>426</v>
      </c>
      <c r="G72" s="627"/>
      <c r="H72" s="628"/>
      <c r="I72" s="1100">
        <f>'R.GUI MAIL'!Z7</f>
        <v>0</v>
      </c>
      <c r="J72" s="630"/>
      <c r="K72" s="631" t="s">
        <v>8</v>
      </c>
      <c r="L72" s="1142">
        <f>'R.GUI MAIL'!AC7</f>
        <v>292.1875</v>
      </c>
      <c r="M72" s="1152" t="s">
        <v>10</v>
      </c>
      <c r="N72" s="629"/>
      <c r="O72" s="634"/>
      <c r="P72" s="634"/>
      <c r="Q72" s="635"/>
      <c r="R72" s="1141"/>
      <c r="S72" s="636"/>
      <c r="T72" s="637"/>
      <c r="U72" s="1100">
        <f>'R.GUI MAIL'!Z42</f>
        <v>10.95</v>
      </c>
      <c r="V72" s="630"/>
      <c r="W72" s="631" t="s">
        <v>8</v>
      </c>
      <c r="X72" s="1142">
        <f>'R.GUI MAIL'!AC42</f>
        <v>126.17968750000006</v>
      </c>
      <c r="Y72" s="632" t="s">
        <v>10</v>
      </c>
    </row>
    <row r="73" spans="1:25" ht="30.75" customHeight="1">
      <c r="A73" s="624">
        <v>4</v>
      </c>
      <c r="B73" s="3728" t="s">
        <v>743</v>
      </c>
      <c r="C73" s="1144" t="s">
        <v>744</v>
      </c>
      <c r="D73" s="1145">
        <f>R.HN!F12</f>
        <v>3</v>
      </c>
      <c r="E73" s="3730" t="s">
        <v>431</v>
      </c>
      <c r="F73" s="626" t="s">
        <v>730</v>
      </c>
      <c r="G73" s="627">
        <v>50</v>
      </c>
      <c r="H73" s="628">
        <f>R.HN!C75</f>
        <v>0</v>
      </c>
      <c r="I73" s="301">
        <f>'R.GUI MAIL'!Z8</f>
        <v>0</v>
      </c>
      <c r="J73" s="630"/>
      <c r="K73" s="631" t="s">
        <v>8</v>
      </c>
      <c r="L73" s="1142">
        <f>'R.GUI MAIL'!AC8</f>
        <v>0</v>
      </c>
      <c r="M73" s="1152" t="s">
        <v>9</v>
      </c>
      <c r="N73" s="629">
        <f>R.HN!D75</f>
        <v>0</v>
      </c>
      <c r="O73" s="301">
        <f>'R.GUI MAIL'!Z27</f>
        <v>0</v>
      </c>
      <c r="P73" s="630"/>
      <c r="Q73" s="631" t="s">
        <v>8</v>
      </c>
      <c r="R73" s="1142">
        <f>'R.GUI MAIL'!AC27</f>
        <v>0</v>
      </c>
      <c r="S73" s="632" t="s">
        <v>9</v>
      </c>
      <c r="T73" s="629"/>
      <c r="U73" s="301">
        <f>'R.GUI MAIL'!Z43</f>
        <v>54</v>
      </c>
      <c r="V73" s="630"/>
      <c r="W73" s="631" t="s">
        <v>8</v>
      </c>
      <c r="X73" s="1142">
        <f>'R.GUI MAIL'!AC43</f>
        <v>0</v>
      </c>
      <c r="Y73" s="632" t="s">
        <v>9</v>
      </c>
    </row>
    <row r="74" spans="1:25" ht="30.75" customHeight="1">
      <c r="A74" s="624">
        <v>5</v>
      </c>
      <c r="B74" s="3729"/>
      <c r="C74" s="1146"/>
      <c r="D74" s="1147"/>
      <c r="E74" s="3730"/>
      <c r="F74" s="626" t="s">
        <v>726</v>
      </c>
      <c r="G74" s="638">
        <v>6</v>
      </c>
      <c r="H74" s="628">
        <f>R.HN!C76</f>
        <v>0</v>
      </c>
      <c r="I74" s="301">
        <f>'R.GUI MAIL'!Z9</f>
        <v>0</v>
      </c>
      <c r="J74" s="630"/>
      <c r="K74" s="631" t="s">
        <v>8</v>
      </c>
      <c r="L74" s="1142">
        <f>'R.GUI MAIL'!AC9</f>
        <v>0</v>
      </c>
      <c r="M74" s="1152" t="s">
        <v>9</v>
      </c>
      <c r="N74" s="629">
        <f>R.HN!D76</f>
        <v>0</v>
      </c>
      <c r="O74" s="301">
        <f>'R.GUI MAIL'!Z28</f>
        <v>0</v>
      </c>
      <c r="P74" s="630"/>
      <c r="Q74" s="631"/>
      <c r="R74" s="1142">
        <f>'R.GUI MAIL'!AC28</f>
        <v>0</v>
      </c>
      <c r="S74" s="632" t="s">
        <v>9</v>
      </c>
      <c r="T74" s="629"/>
      <c r="U74" s="301">
        <f>'R.GUI MAIL'!Z44</f>
        <v>8.7096774193548381</v>
      </c>
      <c r="V74" s="630"/>
      <c r="W74" s="631"/>
      <c r="X74" s="1142">
        <f>'R.GUI MAIL'!AC44</f>
        <v>0</v>
      </c>
      <c r="Y74" s="632" t="s">
        <v>9</v>
      </c>
    </row>
    <row r="75" spans="1:25" ht="30.75" customHeight="1">
      <c r="A75" s="624">
        <v>6</v>
      </c>
      <c r="B75" s="3729"/>
      <c r="C75" s="1146"/>
      <c r="D75" s="1147"/>
      <c r="E75" s="3730"/>
      <c r="F75" s="626" t="s">
        <v>614</v>
      </c>
      <c r="G75" s="638">
        <v>0.4</v>
      </c>
      <c r="H75" s="628">
        <f>R.HN!C77</f>
        <v>0</v>
      </c>
      <c r="I75" s="413">
        <f>'R.GUI MAIL'!Z10</f>
        <v>0</v>
      </c>
      <c r="J75" s="630"/>
      <c r="K75" s="631" t="s">
        <v>8</v>
      </c>
      <c r="L75" s="1142">
        <f>'R.GUI MAIL'!AC10</f>
        <v>0</v>
      </c>
      <c r="M75" s="1152" t="s">
        <v>9</v>
      </c>
      <c r="N75" s="629">
        <f>R.HN!D77</f>
        <v>0</v>
      </c>
      <c r="O75" s="413">
        <f>'R.GUI MAIL'!Z29</f>
        <v>0</v>
      </c>
      <c r="P75" s="630"/>
      <c r="Q75" s="631"/>
      <c r="R75" s="1142">
        <f>'R.GUI MAIL'!AC29</f>
        <v>0</v>
      </c>
      <c r="S75" s="632" t="s">
        <v>9</v>
      </c>
      <c r="T75" s="629"/>
      <c r="U75" s="413">
        <f>'R.GUI MAIL'!Z45</f>
        <v>0.12</v>
      </c>
      <c r="V75" s="630"/>
      <c r="W75" s="631"/>
      <c r="X75" s="1142">
        <f>'R.GUI MAIL'!AC45</f>
        <v>0</v>
      </c>
      <c r="Y75" s="632" t="s">
        <v>9</v>
      </c>
    </row>
    <row r="76" spans="1:25" ht="30.75" hidden="1" customHeight="1">
      <c r="A76" s="624">
        <v>7</v>
      </c>
      <c r="B76" s="3728" t="s">
        <v>743</v>
      </c>
      <c r="C76" s="1144" t="s">
        <v>744</v>
      </c>
      <c r="D76" s="1145">
        <f>R.HN!F13</f>
        <v>4</v>
      </c>
      <c r="E76" s="3730" t="s">
        <v>431</v>
      </c>
      <c r="F76" s="626" t="s">
        <v>730</v>
      </c>
      <c r="G76" s="627">
        <v>50</v>
      </c>
      <c r="H76" s="628">
        <f>R.HN!C78</f>
        <v>0</v>
      </c>
      <c r="I76" s="301">
        <f>'R.GUI MAIL'!Z11</f>
        <v>0</v>
      </c>
      <c r="J76" s="655"/>
      <c r="K76" s="631" t="s">
        <v>8</v>
      </c>
      <c r="L76" s="1142">
        <f>'R.GUI MAIL'!AC11</f>
        <v>0</v>
      </c>
      <c r="M76" s="1152" t="s">
        <v>9</v>
      </c>
      <c r="N76" s="629">
        <f>R.HN!D78</f>
        <v>0</v>
      </c>
      <c r="O76" s="634"/>
      <c r="P76" s="643"/>
      <c r="Q76" s="644"/>
      <c r="R76" s="1141"/>
      <c r="S76" s="645"/>
      <c r="T76" s="642"/>
      <c r="U76" s="634"/>
      <c r="V76" s="634"/>
      <c r="W76" s="635"/>
      <c r="X76" s="1141"/>
      <c r="Y76" s="636"/>
    </row>
    <row r="77" spans="1:25" ht="30.75" hidden="1" customHeight="1">
      <c r="A77" s="624">
        <v>8</v>
      </c>
      <c r="B77" s="3729"/>
      <c r="C77" s="1146"/>
      <c r="D77" s="1147"/>
      <c r="E77" s="3730"/>
      <c r="F77" s="626" t="s">
        <v>726</v>
      </c>
      <c r="G77" s="638">
        <v>6</v>
      </c>
      <c r="H77" s="628">
        <f>R.HN!C79</f>
        <v>0</v>
      </c>
      <c r="I77" s="301">
        <f>'R.GUI MAIL'!Z12</f>
        <v>0</v>
      </c>
      <c r="J77" s="630"/>
      <c r="K77" s="631" t="s">
        <v>8</v>
      </c>
      <c r="L77" s="1142">
        <f>'R.GUI MAIL'!AC12</f>
        <v>0</v>
      </c>
      <c r="M77" s="1152" t="s">
        <v>9</v>
      </c>
      <c r="N77" s="629">
        <f>R.HN!D79</f>
        <v>0</v>
      </c>
      <c r="O77" s="634"/>
      <c r="P77" s="643"/>
      <c r="Q77" s="644"/>
      <c r="R77" s="1141"/>
      <c r="S77" s="645"/>
      <c r="T77" s="629"/>
      <c r="U77" s="634"/>
      <c r="V77" s="634"/>
      <c r="W77" s="635"/>
      <c r="X77" s="1141"/>
      <c r="Y77" s="636"/>
    </row>
    <row r="78" spans="1:25" ht="30.75" hidden="1" customHeight="1">
      <c r="A78" s="624">
        <v>9</v>
      </c>
      <c r="B78" s="3729"/>
      <c r="C78" s="1146"/>
      <c r="D78" s="1147"/>
      <c r="E78" s="3730"/>
      <c r="F78" s="626" t="s">
        <v>614</v>
      </c>
      <c r="G78" s="638">
        <v>0.4</v>
      </c>
      <c r="H78" s="628">
        <f>R.HN!C80</f>
        <v>0</v>
      </c>
      <c r="I78" s="413">
        <f>'R.GUI MAIL'!Z13</f>
        <v>0</v>
      </c>
      <c r="J78" s="655"/>
      <c r="K78" s="631" t="s">
        <v>8</v>
      </c>
      <c r="L78" s="1142">
        <f>'R.GUI MAIL'!AC13</f>
        <v>0</v>
      </c>
      <c r="M78" s="1152" t="s">
        <v>9</v>
      </c>
      <c r="N78" s="629">
        <f>R.HN!D80</f>
        <v>0</v>
      </c>
      <c r="O78" s="643"/>
      <c r="P78" s="643"/>
      <c r="Q78" s="644"/>
      <c r="R78" s="1141"/>
      <c r="S78" s="645"/>
      <c r="T78" s="642"/>
      <c r="U78" s="643"/>
      <c r="V78" s="643"/>
      <c r="W78" s="644"/>
      <c r="X78" s="1141"/>
      <c r="Y78" s="645"/>
    </row>
    <row r="79" spans="1:25" ht="30.75" customHeight="1">
      <c r="A79" s="624">
        <v>10</v>
      </c>
      <c r="B79" s="3722" t="s">
        <v>745</v>
      </c>
      <c r="C79" s="3723"/>
      <c r="D79" s="3724"/>
      <c r="E79" s="624" t="s">
        <v>431</v>
      </c>
      <c r="F79" s="646" t="s">
        <v>441</v>
      </c>
      <c r="G79" s="638">
        <v>2</v>
      </c>
      <c r="H79" s="628">
        <f>R.HN!C87</f>
        <v>0</v>
      </c>
      <c r="I79" s="301">
        <f>'R.GUI MAIL'!Z14</f>
        <v>0</v>
      </c>
      <c r="J79" s="630"/>
      <c r="K79" s="631" t="s">
        <v>8</v>
      </c>
      <c r="L79" s="1150">
        <f>'R.GUI MAIL'!AC14</f>
        <v>0</v>
      </c>
      <c r="M79" s="1152" t="s">
        <v>9</v>
      </c>
      <c r="N79" s="629">
        <f>R.HN!D87</f>
        <v>0</v>
      </c>
      <c r="O79" s="301">
        <f>'R.GUI MAIL'!Z30</f>
        <v>0</v>
      </c>
      <c r="P79" s="630"/>
      <c r="Q79" s="631" t="s">
        <v>8</v>
      </c>
      <c r="R79" s="1142">
        <f>'R.GUI MAIL'!AC30</f>
        <v>0</v>
      </c>
      <c r="S79" s="632" t="s">
        <v>9</v>
      </c>
      <c r="T79" s="629"/>
      <c r="U79" s="301">
        <f>'R.GUI MAIL'!Z46</f>
        <v>0.9</v>
      </c>
      <c r="V79" s="630"/>
      <c r="W79" s="631" t="s">
        <v>8</v>
      </c>
      <c r="X79" s="1142">
        <f>'R.GUI MAIL'!AC46</f>
        <v>0.12339999999999998</v>
      </c>
      <c r="Y79" s="632" t="s">
        <v>9</v>
      </c>
    </row>
    <row r="80" spans="1:25" ht="30.75" customHeight="1">
      <c r="A80" s="624">
        <v>11</v>
      </c>
      <c r="B80" s="3725"/>
      <c r="C80" s="3726"/>
      <c r="D80" s="3727"/>
      <c r="E80" s="624" t="s">
        <v>5</v>
      </c>
      <c r="F80" s="1148" t="s">
        <v>620</v>
      </c>
      <c r="G80" s="647">
        <v>9</v>
      </c>
      <c r="H80" s="628">
        <f>R.HN!C88</f>
        <v>0</v>
      </c>
      <c r="I80" s="301">
        <f>'R.GUI MAIL'!Z15</f>
        <v>0</v>
      </c>
      <c r="J80" s="630"/>
      <c r="K80" s="631"/>
      <c r="L80" s="1142"/>
      <c r="M80" s="632"/>
      <c r="N80" s="629">
        <f>R.HN!D88</f>
        <v>0</v>
      </c>
      <c r="O80" s="301">
        <f>'R.GUI MAIL'!Z31</f>
        <v>0</v>
      </c>
      <c r="P80" s="630"/>
      <c r="Q80" s="631"/>
      <c r="R80" s="1142"/>
      <c r="S80" s="632"/>
      <c r="T80" s="629"/>
      <c r="U80" s="301">
        <f>'R.GUI MAIL'!Z47</f>
        <v>9</v>
      </c>
      <c r="V80" s="630"/>
      <c r="W80" s="631"/>
      <c r="X80" s="1142"/>
      <c r="Y80" s="632"/>
    </row>
    <row r="81" spans="1:25" ht="30.75" customHeight="1">
      <c r="A81" s="648"/>
      <c r="B81" s="1825"/>
      <c r="C81" s="649"/>
      <c r="D81" s="649"/>
      <c r="E81" s="649" t="s">
        <v>2</v>
      </c>
      <c r="F81" s="649"/>
      <c r="G81" s="649"/>
      <c r="H81" s="649"/>
      <c r="I81" s="649"/>
      <c r="J81" s="649"/>
      <c r="K81" s="649"/>
      <c r="L81" s="649"/>
      <c r="M81" s="649"/>
      <c r="N81" s="649"/>
      <c r="O81" s="649"/>
      <c r="P81" s="649"/>
      <c r="Q81" s="649"/>
      <c r="R81" s="649"/>
      <c r="S81" s="649"/>
      <c r="T81" s="649"/>
      <c r="U81" s="649"/>
      <c r="V81" s="649"/>
      <c r="W81" s="649"/>
      <c r="X81" s="649"/>
      <c r="Y81" s="1149"/>
    </row>
    <row r="82" spans="1:25" ht="30.75" customHeight="1">
      <c r="A82" s="650" t="s">
        <v>54</v>
      </c>
      <c r="B82" s="3715" t="s">
        <v>746</v>
      </c>
      <c r="C82" s="3716"/>
      <c r="D82" s="3717"/>
      <c r="E82" s="651" t="s">
        <v>747</v>
      </c>
      <c r="F82" s="651" t="s">
        <v>748</v>
      </c>
      <c r="G82" s="652" t="s">
        <v>739</v>
      </c>
      <c r="H82" s="653"/>
      <c r="I82" s="3718" t="s">
        <v>45</v>
      </c>
      <c r="J82" s="3719"/>
      <c r="K82" s="3719"/>
      <c r="L82" s="3720" t="s">
        <v>62</v>
      </c>
      <c r="M82" s="3721"/>
      <c r="N82" s="618"/>
      <c r="O82" s="3718" t="s">
        <v>45</v>
      </c>
      <c r="P82" s="3719"/>
      <c r="Q82" s="3719"/>
      <c r="R82" s="3720" t="s">
        <v>62</v>
      </c>
      <c r="S82" s="3721"/>
      <c r="T82" s="618"/>
      <c r="U82" s="3718" t="s">
        <v>45</v>
      </c>
      <c r="V82" s="3719"/>
      <c r="W82" s="3719"/>
      <c r="X82" s="3720" t="s">
        <v>62</v>
      </c>
      <c r="Y82" s="3721"/>
    </row>
    <row r="83" spans="1:25" ht="30.75" customHeight="1">
      <c r="A83" s="650">
        <v>1</v>
      </c>
      <c r="B83" s="3715" t="s">
        <v>749</v>
      </c>
      <c r="C83" s="3716"/>
      <c r="D83" s="3717"/>
      <c r="E83" s="654" t="s">
        <v>750</v>
      </c>
      <c r="F83" s="646" t="s">
        <v>1107</v>
      </c>
      <c r="G83" s="652"/>
      <c r="H83" s="653"/>
      <c r="I83" s="1496"/>
      <c r="J83" s="1497"/>
      <c r="K83" s="1497"/>
      <c r="L83" s="1498"/>
      <c r="M83" s="1499"/>
      <c r="N83" s="1500"/>
      <c r="O83" s="3687">
        <f>'R.GUI MAIL'!Z34</f>
        <v>0</v>
      </c>
      <c r="P83" s="3687"/>
      <c r="Q83" s="3687"/>
      <c r="R83" s="3687">
        <f>'R.GUI MAIL'!AC34</f>
        <v>0</v>
      </c>
      <c r="S83" s="3687"/>
      <c r="T83" s="3687"/>
      <c r="U83" s="3687">
        <f>'R.GUI MAIL'!Z50</f>
        <v>0</v>
      </c>
      <c r="V83" s="3687"/>
      <c r="W83" s="3687"/>
      <c r="X83" s="3687">
        <f>'R.GUI MAIL'!AC50</f>
        <v>58</v>
      </c>
      <c r="Y83" s="3687"/>
    </row>
    <row r="84" spans="1:25" ht="30.75" customHeight="1">
      <c r="A84" s="650">
        <v>2</v>
      </c>
      <c r="B84" s="3715" t="s">
        <v>751</v>
      </c>
      <c r="C84" s="3716"/>
      <c r="D84" s="3717"/>
      <c r="E84" s="654" t="s">
        <v>750</v>
      </c>
      <c r="F84" s="646" t="s">
        <v>752</v>
      </c>
      <c r="G84" s="655" t="e">
        <f>'[7]file goc'!G158</f>
        <v>#REF!</v>
      </c>
      <c r="H84" s="655"/>
      <c r="I84" s="3475">
        <f>'R.GUI MAIL'!Z18</f>
        <v>0</v>
      </c>
      <c r="J84" s="3476"/>
      <c r="K84" s="3476"/>
      <c r="L84" s="3475">
        <f>'R.GUI MAIL'!AC18</f>
        <v>0</v>
      </c>
      <c r="M84" s="3476"/>
      <c r="N84" s="1462"/>
      <c r="O84" s="3475">
        <f>'R.GUI MAIL'!Z35</f>
        <v>0</v>
      </c>
      <c r="P84" s="3476"/>
      <c r="Q84" s="3476"/>
      <c r="R84" s="3475">
        <f>'R.GUI MAIL'!AC35</f>
        <v>0</v>
      </c>
      <c r="S84" s="3477"/>
      <c r="T84" s="1500"/>
      <c r="U84" s="3475">
        <f>'R.GUI MAIL'!Z51</f>
        <v>0</v>
      </c>
      <c r="V84" s="3476"/>
      <c r="W84" s="3477"/>
      <c r="X84" s="3475">
        <f>'R.GUI MAIL'!AC51</f>
        <v>68</v>
      </c>
      <c r="Y84" s="3477"/>
    </row>
    <row r="85" spans="1:25" ht="30.75" hidden="1" customHeight="1">
      <c r="A85" s="650">
        <v>3</v>
      </c>
      <c r="B85" s="3715" t="s">
        <v>753</v>
      </c>
      <c r="C85" s="3716"/>
      <c r="D85" s="3717"/>
      <c r="E85" s="654" t="s">
        <v>750</v>
      </c>
      <c r="F85" s="646" t="s">
        <v>752</v>
      </c>
      <c r="G85" s="656" t="e">
        <f>'[7]file goc'!G159</f>
        <v>#REF!</v>
      </c>
      <c r="H85" s="655"/>
      <c r="I85" s="3475">
        <f>'R.GUI MAIL'!Z19</f>
        <v>0</v>
      </c>
      <c r="J85" s="3476"/>
      <c r="K85" s="3476"/>
      <c r="L85" s="3475">
        <f>'R.GUI MAIL'!AC19</f>
        <v>0</v>
      </c>
      <c r="M85" s="3477"/>
      <c r="N85" s="1500"/>
      <c r="O85" s="1501"/>
      <c r="P85" s="1502"/>
      <c r="Q85" s="1502"/>
      <c r="R85" s="1503"/>
      <c r="S85" s="1504"/>
      <c r="T85" s="1500"/>
      <c r="U85" s="1505"/>
      <c r="V85" s="1505"/>
      <c r="W85" s="1505"/>
      <c r="X85" s="1505"/>
      <c r="Y85" s="1505"/>
    </row>
    <row r="86" spans="1:25" ht="30.75" customHeight="1">
      <c r="A86" s="650">
        <v>6</v>
      </c>
      <c r="B86" s="3715" t="s">
        <v>754</v>
      </c>
      <c r="C86" s="3716"/>
      <c r="D86" s="3717"/>
      <c r="E86" s="654" t="s">
        <v>750</v>
      </c>
      <c r="F86" s="646" t="s">
        <v>755</v>
      </c>
      <c r="G86" s="656" t="e">
        <f>'[7]file goc'!G162</f>
        <v>#REF!</v>
      </c>
      <c r="H86" s="655"/>
      <c r="I86" s="3475">
        <f>'R.GUI MAIL'!Z20</f>
        <v>0</v>
      </c>
      <c r="J86" s="3476"/>
      <c r="K86" s="3476"/>
      <c r="L86" s="3475">
        <f>'R.GUI MAIL'!AC20</f>
        <v>0</v>
      </c>
      <c r="M86" s="3477"/>
      <c r="N86" s="1500"/>
      <c r="O86" s="3475">
        <f>'R.GUI MAIL'!Z36</f>
        <v>0</v>
      </c>
      <c r="P86" s="3476"/>
      <c r="Q86" s="3476"/>
      <c r="R86" s="3475">
        <f>'R.GUI MAIL'!AC36</f>
        <v>0</v>
      </c>
      <c r="S86" s="3477"/>
      <c r="T86" s="1500"/>
      <c r="U86" s="3475">
        <f>'R.GUI MAIL'!Z52</f>
        <v>0</v>
      </c>
      <c r="V86" s="3476"/>
      <c r="W86" s="3477"/>
      <c r="X86" s="3475">
        <f>'R.GUI MAIL'!AC52</f>
        <v>86</v>
      </c>
      <c r="Y86" s="3477"/>
    </row>
    <row r="87" spans="1:25" ht="33" customHeight="1">
      <c r="A87" s="3737" t="s">
        <v>1467</v>
      </c>
      <c r="B87" s="3738"/>
      <c r="C87" s="3755" t="str">
        <f>MENU!$AC$9</f>
        <v>Thứ 4,</v>
      </c>
      <c r="D87" s="3755"/>
      <c r="E87" s="3756" t="str">
        <f>MENU!$AD$9</f>
        <v>2024/05/22</v>
      </c>
      <c r="F87" s="3757"/>
      <c r="G87" s="3757"/>
      <c r="H87" s="3757"/>
      <c r="I87" s="2003" t="s">
        <v>735</v>
      </c>
      <c r="J87" s="2003"/>
      <c r="K87" s="2003"/>
      <c r="L87" s="2003"/>
      <c r="M87" s="2003"/>
      <c r="N87" s="2003"/>
      <c r="O87" s="2003"/>
      <c r="P87" s="2003"/>
      <c r="Q87" s="2003"/>
      <c r="R87" s="2003"/>
      <c r="S87" s="2003"/>
      <c r="T87" s="2003"/>
      <c r="U87" s="2003"/>
      <c r="V87" s="2003"/>
      <c r="W87" s="2003"/>
      <c r="X87" s="2003"/>
      <c r="Y87" s="2004"/>
    </row>
    <row r="88" spans="1:25" ht="27" customHeight="1">
      <c r="A88" s="3739" t="s">
        <v>7</v>
      </c>
      <c r="B88" s="3216" t="s">
        <v>736</v>
      </c>
      <c r="C88" s="3217"/>
      <c r="D88" s="3742"/>
      <c r="E88" s="3747" t="s">
        <v>737</v>
      </c>
      <c r="F88" s="3750" t="s">
        <v>738</v>
      </c>
      <c r="G88" s="616"/>
      <c r="H88" s="617"/>
      <c r="I88" s="3753" t="s">
        <v>739</v>
      </c>
      <c r="J88" s="3754"/>
      <c r="K88" s="3754"/>
      <c r="L88" s="3754"/>
      <c r="M88" s="3754"/>
      <c r="N88" s="618"/>
      <c r="O88" s="3753" t="s">
        <v>1292</v>
      </c>
      <c r="P88" s="3754"/>
      <c r="Q88" s="3754"/>
      <c r="R88" s="3754"/>
      <c r="S88" s="3754"/>
      <c r="T88" s="618"/>
      <c r="U88" s="3753" t="s">
        <v>1293</v>
      </c>
      <c r="V88" s="3754"/>
      <c r="W88" s="3754"/>
      <c r="X88" s="3754"/>
      <c r="Y88" s="3754"/>
    </row>
    <row r="89" spans="1:25" ht="17.25">
      <c r="A89" s="3740"/>
      <c r="B89" s="3743"/>
      <c r="C89" s="3744"/>
      <c r="D89" s="3745"/>
      <c r="E89" s="3748"/>
      <c r="F89" s="3751"/>
      <c r="G89" s="619" t="s">
        <v>422</v>
      </c>
      <c r="H89" s="620"/>
      <c r="I89" s="3731" t="s">
        <v>740</v>
      </c>
      <c r="J89" s="622" t="s">
        <v>741</v>
      </c>
      <c r="K89" s="3733" t="s">
        <v>1</v>
      </c>
      <c r="L89" s="3733"/>
      <c r="M89" s="3734"/>
      <c r="N89" s="621"/>
      <c r="O89" s="3731" t="s">
        <v>740</v>
      </c>
      <c r="P89" s="622" t="s">
        <v>741</v>
      </c>
      <c r="Q89" s="3733" t="s">
        <v>1</v>
      </c>
      <c r="R89" s="3733"/>
      <c r="S89" s="3734"/>
      <c r="T89" s="620"/>
      <c r="U89" s="3731" t="s">
        <v>740</v>
      </c>
      <c r="V89" s="622" t="s">
        <v>741</v>
      </c>
      <c r="W89" s="3733" t="s">
        <v>1</v>
      </c>
      <c r="X89" s="3733"/>
      <c r="Y89" s="3734"/>
    </row>
    <row r="90" spans="1:25" ht="17.25">
      <c r="A90" s="3741"/>
      <c r="B90" s="3218"/>
      <c r="C90" s="3219"/>
      <c r="D90" s="3746"/>
      <c r="E90" s="3749"/>
      <c r="F90" s="3752"/>
      <c r="G90" s="619"/>
      <c r="H90" s="620"/>
      <c r="I90" s="3732"/>
      <c r="J90" s="623"/>
      <c r="K90" s="3735"/>
      <c r="L90" s="3735"/>
      <c r="M90" s="3736"/>
      <c r="N90" s="621"/>
      <c r="O90" s="3732"/>
      <c r="P90" s="623"/>
      <c r="Q90" s="3735"/>
      <c r="R90" s="3735"/>
      <c r="S90" s="3736"/>
      <c r="T90" s="620"/>
      <c r="U90" s="3732"/>
      <c r="V90" s="623"/>
      <c r="W90" s="3735"/>
      <c r="X90" s="3735"/>
      <c r="Y90" s="3736"/>
    </row>
    <row r="91" spans="1:25" ht="33.75" customHeight="1">
      <c r="A91" s="624">
        <v>1</v>
      </c>
      <c r="B91" s="3715" t="s">
        <v>742</v>
      </c>
      <c r="C91" s="3716"/>
      <c r="D91" s="3717"/>
      <c r="E91" s="625" t="s">
        <v>431</v>
      </c>
      <c r="F91" s="626" t="s">
        <v>728</v>
      </c>
      <c r="G91" s="627">
        <v>40</v>
      </c>
      <c r="H91" s="628">
        <f>R.HN!C95</f>
        <v>0</v>
      </c>
      <c r="I91" s="634"/>
      <c r="J91" s="643"/>
      <c r="K91" s="644"/>
      <c r="L91" s="1141"/>
      <c r="M91" s="645"/>
      <c r="N91" s="629">
        <f>R.HN!D95</f>
        <v>0</v>
      </c>
      <c r="O91" s="301">
        <f>'R.GUI MAIL'!AF25</f>
        <v>0</v>
      </c>
      <c r="P91" s="630"/>
      <c r="Q91" s="631" t="s">
        <v>8</v>
      </c>
      <c r="R91" s="1142">
        <f>'R.GUI MAIL'!AI25</f>
        <v>0</v>
      </c>
      <c r="S91" s="632" t="s">
        <v>9</v>
      </c>
      <c r="T91" s="629"/>
      <c r="U91" s="301">
        <f>'R.GUI MAIL'!AF41</f>
        <v>41</v>
      </c>
      <c r="V91" s="630"/>
      <c r="W91" s="631" t="s">
        <v>8</v>
      </c>
      <c r="X91" s="1143">
        <f>'R.GUI MAIL'!AI41</f>
        <v>0</v>
      </c>
      <c r="Y91" s="632" t="s">
        <v>9</v>
      </c>
    </row>
    <row r="92" spans="1:25" ht="33.75" customHeight="1">
      <c r="A92" s="624">
        <v>2</v>
      </c>
      <c r="B92" s="3715" t="s">
        <v>425</v>
      </c>
      <c r="C92" s="3716"/>
      <c r="D92" s="3717"/>
      <c r="E92" s="633" t="s">
        <v>3</v>
      </c>
      <c r="F92" s="626" t="s">
        <v>426</v>
      </c>
      <c r="G92" s="627">
        <v>22</v>
      </c>
      <c r="H92" s="628">
        <f>R.HN!C96</f>
        <v>0</v>
      </c>
      <c r="I92" s="301">
        <f>'R.GUI MAIL'!AF6</f>
        <v>0</v>
      </c>
      <c r="J92" s="630"/>
      <c r="K92" s="631" t="s">
        <v>8</v>
      </c>
      <c r="L92" s="1142">
        <f>'R.GUI MAIL'!AI6</f>
        <v>0</v>
      </c>
      <c r="M92" s="1152" t="s">
        <v>10</v>
      </c>
      <c r="N92" s="629">
        <f>R.HN!D96</f>
        <v>0</v>
      </c>
      <c r="O92" s="301">
        <f>'R.GUI MAIL'!AF26</f>
        <v>0</v>
      </c>
      <c r="P92" s="630"/>
      <c r="Q92" s="631" t="s">
        <v>8</v>
      </c>
      <c r="R92" s="1142">
        <f>'R.GUI MAIL'!AI26</f>
        <v>0</v>
      </c>
      <c r="S92" s="632" t="s">
        <v>10</v>
      </c>
      <c r="T92" s="629"/>
      <c r="U92" s="301">
        <f>'R.GUI MAIL'!AF42</f>
        <v>10.95</v>
      </c>
      <c r="V92" s="301"/>
      <c r="W92" s="1153" t="s">
        <v>8</v>
      </c>
      <c r="X92" s="1142">
        <f>'R.GUI MAIL'!AI42</f>
        <v>126.17968750000006</v>
      </c>
      <c r="Y92" s="1152" t="s">
        <v>10</v>
      </c>
    </row>
    <row r="93" spans="1:25" ht="33.75" hidden="1" customHeight="1">
      <c r="A93" s="624">
        <v>3</v>
      </c>
      <c r="B93" s="3722" t="s">
        <v>391</v>
      </c>
      <c r="C93" s="3723"/>
      <c r="D93" s="3724"/>
      <c r="E93" s="633" t="s">
        <v>3</v>
      </c>
      <c r="F93" s="626" t="s">
        <v>426</v>
      </c>
      <c r="G93" s="627"/>
      <c r="H93" s="628"/>
      <c r="I93" s="1100">
        <f>'R.GUI MAIL'!AF7</f>
        <v>0</v>
      </c>
      <c r="J93" s="630"/>
      <c r="K93" s="631" t="s">
        <v>8</v>
      </c>
      <c r="L93" s="1142">
        <f>'R.GUI MAIL'!AI7</f>
        <v>292.1875</v>
      </c>
      <c r="M93" s="1152" t="s">
        <v>10</v>
      </c>
      <c r="N93" s="629"/>
      <c r="O93" s="634"/>
      <c r="P93" s="634"/>
      <c r="Q93" s="635"/>
      <c r="R93" s="1141"/>
      <c r="S93" s="636"/>
      <c r="T93" s="637"/>
      <c r="U93" s="1100">
        <f>'R.GUI MAIL'!AF42</f>
        <v>10.95</v>
      </c>
      <c r="V93" s="301"/>
      <c r="W93" s="1153" t="s">
        <v>8</v>
      </c>
      <c r="X93" s="1142">
        <f>'R.GUI MAIL'!AI42</f>
        <v>126.17968750000006</v>
      </c>
      <c r="Y93" s="1152" t="s">
        <v>10</v>
      </c>
    </row>
    <row r="94" spans="1:25" ht="33.75" customHeight="1">
      <c r="A94" s="624">
        <v>4</v>
      </c>
      <c r="B94" s="3728" t="s">
        <v>743</v>
      </c>
      <c r="C94" s="1144" t="s">
        <v>744</v>
      </c>
      <c r="D94" s="1145">
        <f>R.HN!$C$12</f>
        <v>3</v>
      </c>
      <c r="E94" s="3730" t="s">
        <v>431</v>
      </c>
      <c r="F94" s="626" t="s">
        <v>730</v>
      </c>
      <c r="G94" s="627">
        <v>50</v>
      </c>
      <c r="H94" s="628">
        <f>R.HN!C97</f>
        <v>0</v>
      </c>
      <c r="I94" s="301">
        <f>'R.GUI MAIL'!AF8</f>
        <v>0</v>
      </c>
      <c r="J94" s="630"/>
      <c r="K94" s="631" t="s">
        <v>8</v>
      </c>
      <c r="L94" s="1142">
        <f>'R.GUI MAIL'!AI8</f>
        <v>0</v>
      </c>
      <c r="M94" s="1152" t="s">
        <v>9</v>
      </c>
      <c r="N94" s="629">
        <f>R.HN!D97</f>
        <v>0</v>
      </c>
      <c r="O94" s="301">
        <f>'R.GUI MAIL'!AF27</f>
        <v>0</v>
      </c>
      <c r="P94" s="630"/>
      <c r="Q94" s="631" t="s">
        <v>8</v>
      </c>
      <c r="R94" s="1142">
        <f>'R.GUI MAIL'!AI27</f>
        <v>0</v>
      </c>
      <c r="S94" s="632" t="s">
        <v>9</v>
      </c>
      <c r="T94" s="629"/>
      <c r="U94" s="301">
        <f>'R.GUI MAIL'!AF43</f>
        <v>47</v>
      </c>
      <c r="V94" s="301"/>
      <c r="W94" s="1153" t="s">
        <v>8</v>
      </c>
      <c r="X94" s="1142">
        <f>'R.GUI MAIL'!AI43</f>
        <v>14.805</v>
      </c>
      <c r="Y94" s="1152" t="s">
        <v>9</v>
      </c>
    </row>
    <row r="95" spans="1:25" ht="33.75" customHeight="1">
      <c r="A95" s="624">
        <v>5</v>
      </c>
      <c r="B95" s="3729"/>
      <c r="C95" s="1146"/>
      <c r="D95" s="1147"/>
      <c r="E95" s="3730"/>
      <c r="F95" s="626" t="s">
        <v>726</v>
      </c>
      <c r="G95" s="638">
        <v>6</v>
      </c>
      <c r="H95" s="628">
        <f>R.HN!C98</f>
        <v>0</v>
      </c>
      <c r="I95" s="301">
        <f>'R.GUI MAIL'!AF9</f>
        <v>0</v>
      </c>
      <c r="J95" s="630"/>
      <c r="K95" s="631" t="s">
        <v>8</v>
      </c>
      <c r="L95" s="1142">
        <f>'R.GUI MAIL'!AI9</f>
        <v>0</v>
      </c>
      <c r="M95" s="1152" t="s">
        <v>9</v>
      </c>
      <c r="N95" s="629">
        <f>R.HN!D98</f>
        <v>0</v>
      </c>
      <c r="O95" s="301">
        <f>'R.GUI MAIL'!AF28</f>
        <v>0</v>
      </c>
      <c r="P95" s="630"/>
      <c r="Q95" s="631"/>
      <c r="R95" s="1142">
        <f>'R.GUI MAIL'!AI28</f>
        <v>0</v>
      </c>
      <c r="S95" s="632" t="s">
        <v>9</v>
      </c>
      <c r="T95" s="629"/>
      <c r="U95" s="301">
        <f>'R.GUI MAIL'!AF44</f>
        <v>8.8679245283018879</v>
      </c>
      <c r="V95" s="301"/>
      <c r="W95" s="1153"/>
      <c r="X95" s="1142">
        <f>'R.GUI MAIL'!AI44</f>
        <v>0</v>
      </c>
      <c r="Y95" s="1152" t="s">
        <v>9</v>
      </c>
    </row>
    <row r="96" spans="1:25" ht="33.75" customHeight="1">
      <c r="A96" s="624">
        <v>6</v>
      </c>
      <c r="B96" s="3729"/>
      <c r="C96" s="1146"/>
      <c r="D96" s="1147"/>
      <c r="E96" s="3730"/>
      <c r="F96" s="626" t="s">
        <v>614</v>
      </c>
      <c r="G96" s="638">
        <v>0.4</v>
      </c>
      <c r="H96" s="628">
        <f>R.HN!C99</f>
        <v>0</v>
      </c>
      <c r="I96" s="413">
        <f>'R.GUI MAIL'!AF10</f>
        <v>0</v>
      </c>
      <c r="J96" s="630"/>
      <c r="K96" s="631" t="s">
        <v>8</v>
      </c>
      <c r="L96" s="1142">
        <f>'R.GUI MAIL'!AI10</f>
        <v>0</v>
      </c>
      <c r="M96" s="1152" t="s">
        <v>9</v>
      </c>
      <c r="N96" s="629">
        <f>R.HN!D99</f>
        <v>0</v>
      </c>
      <c r="O96" s="413">
        <f>'R.GUI MAIL'!AF29</f>
        <v>0</v>
      </c>
      <c r="P96" s="630"/>
      <c r="Q96" s="631"/>
      <c r="R96" s="1142">
        <f>'R.GUI MAIL'!AI29</f>
        <v>0</v>
      </c>
      <c r="S96" s="632" t="s">
        <v>9</v>
      </c>
      <c r="T96" s="629"/>
      <c r="U96" s="413">
        <f>'R.GUI MAIL'!AF45</f>
        <v>0.1</v>
      </c>
      <c r="V96" s="301"/>
      <c r="W96" s="1153"/>
      <c r="X96" s="1142">
        <f>'R.GUI MAIL'!AI45</f>
        <v>0</v>
      </c>
      <c r="Y96" s="1152" t="s">
        <v>9</v>
      </c>
    </row>
    <row r="97" spans="1:25" ht="33.75" hidden="1" customHeight="1">
      <c r="A97" s="624">
        <v>7</v>
      </c>
      <c r="B97" s="3728" t="s">
        <v>743</v>
      </c>
      <c r="C97" s="1144" t="s">
        <v>744</v>
      </c>
      <c r="D97" s="1145">
        <f>R.HN!$C$13</f>
        <v>4</v>
      </c>
      <c r="E97" s="3730" t="s">
        <v>431</v>
      </c>
      <c r="F97" s="626" t="s">
        <v>730</v>
      </c>
      <c r="G97" s="627">
        <v>50</v>
      </c>
      <c r="H97" s="628">
        <f>R.HN!C100</f>
        <v>0</v>
      </c>
      <c r="I97" s="301">
        <f>'R.GUI MAIL'!AF11</f>
        <v>0</v>
      </c>
      <c r="J97" s="655"/>
      <c r="K97" s="631" t="s">
        <v>8</v>
      </c>
      <c r="L97" s="1142">
        <f>'R.GUI MAIL'!AI11</f>
        <v>0</v>
      </c>
      <c r="M97" s="1152" t="s">
        <v>9</v>
      </c>
      <c r="N97" s="629">
        <f>R.HN!D100</f>
        <v>0</v>
      </c>
      <c r="O97" s="634"/>
      <c r="P97" s="643"/>
      <c r="Q97" s="644"/>
      <c r="R97" s="1141"/>
      <c r="S97" s="645"/>
      <c r="T97" s="642"/>
      <c r="U97" s="634"/>
      <c r="V97" s="634"/>
      <c r="W97" s="635"/>
      <c r="X97" s="1141"/>
      <c r="Y97" s="636"/>
    </row>
    <row r="98" spans="1:25" ht="33.75" hidden="1" customHeight="1">
      <c r="A98" s="624">
        <v>8</v>
      </c>
      <c r="B98" s="3729"/>
      <c r="C98" s="1146"/>
      <c r="D98" s="1147"/>
      <c r="E98" s="3730"/>
      <c r="F98" s="626" t="s">
        <v>726</v>
      </c>
      <c r="G98" s="638">
        <v>6</v>
      </c>
      <c r="H98" s="628">
        <f>R.HN!C101</f>
        <v>0</v>
      </c>
      <c r="I98" s="301">
        <f>'R.GUI MAIL'!AF12</f>
        <v>0</v>
      </c>
      <c r="J98" s="630"/>
      <c r="K98" s="631" t="s">
        <v>8</v>
      </c>
      <c r="L98" s="1142">
        <f>'R.GUI MAIL'!AI12</f>
        <v>0</v>
      </c>
      <c r="M98" s="1152" t="s">
        <v>9</v>
      </c>
      <c r="N98" s="629">
        <f>R.HN!D101</f>
        <v>0</v>
      </c>
      <c r="O98" s="634"/>
      <c r="P98" s="643"/>
      <c r="Q98" s="644"/>
      <c r="R98" s="1141"/>
      <c r="S98" s="645"/>
      <c r="T98" s="629"/>
      <c r="U98" s="634"/>
      <c r="V98" s="634"/>
      <c r="W98" s="635"/>
      <c r="X98" s="1141"/>
      <c r="Y98" s="636"/>
    </row>
    <row r="99" spans="1:25" ht="33.75" hidden="1" customHeight="1">
      <c r="A99" s="624">
        <v>9</v>
      </c>
      <c r="B99" s="3729"/>
      <c r="C99" s="1146"/>
      <c r="D99" s="1147"/>
      <c r="E99" s="3730"/>
      <c r="F99" s="626" t="s">
        <v>614</v>
      </c>
      <c r="G99" s="638">
        <v>0.4</v>
      </c>
      <c r="H99" s="628">
        <f>R.HN!C102</f>
        <v>0</v>
      </c>
      <c r="I99" s="413">
        <f>'R.GUI MAIL'!AF13</f>
        <v>0</v>
      </c>
      <c r="J99" s="655"/>
      <c r="K99" s="631" t="s">
        <v>8</v>
      </c>
      <c r="L99" s="1142">
        <f>'R.GUI MAIL'!AI13</f>
        <v>0</v>
      </c>
      <c r="M99" s="1152" t="s">
        <v>9</v>
      </c>
      <c r="N99" s="629">
        <f>R.HN!D102</f>
        <v>0</v>
      </c>
      <c r="O99" s="643"/>
      <c r="P99" s="643"/>
      <c r="Q99" s="644"/>
      <c r="R99" s="1141"/>
      <c r="S99" s="645"/>
      <c r="T99" s="642"/>
      <c r="U99" s="643"/>
      <c r="V99" s="643"/>
      <c r="W99" s="644"/>
      <c r="X99" s="1141"/>
      <c r="Y99" s="645"/>
    </row>
    <row r="100" spans="1:25" ht="33.75" customHeight="1">
      <c r="A100" s="624">
        <v>10</v>
      </c>
      <c r="B100" s="3722" t="s">
        <v>745</v>
      </c>
      <c r="C100" s="3723"/>
      <c r="D100" s="3724"/>
      <c r="E100" s="624" t="s">
        <v>431</v>
      </c>
      <c r="F100" s="646" t="s">
        <v>441</v>
      </c>
      <c r="G100" s="638">
        <v>2</v>
      </c>
      <c r="H100" s="628">
        <f>R.HN!C109</f>
        <v>0</v>
      </c>
      <c r="I100" s="301">
        <f>'R.GUI MAIL'!AF14</f>
        <v>0</v>
      </c>
      <c r="J100" s="630"/>
      <c r="K100" s="631" t="s">
        <v>8</v>
      </c>
      <c r="L100" s="1150">
        <f>'R.GUI MAIL'!AI14</f>
        <v>0</v>
      </c>
      <c r="M100" s="1152" t="s">
        <v>9</v>
      </c>
      <c r="N100" s="629">
        <f>R.HN!D109</f>
        <v>0</v>
      </c>
      <c r="O100" s="301">
        <f>'R.GUI MAIL'!AF30</f>
        <v>0</v>
      </c>
      <c r="P100" s="630"/>
      <c r="Q100" s="631" t="s">
        <v>8</v>
      </c>
      <c r="R100" s="1142">
        <f>'R.GUI MAIL'!AI30</f>
        <v>0</v>
      </c>
      <c r="S100" s="632" t="s">
        <v>9</v>
      </c>
      <c r="T100" s="629"/>
      <c r="U100" s="301">
        <f>'R.GUI MAIL'!AF46</f>
        <v>0.95</v>
      </c>
      <c r="V100" s="301"/>
      <c r="W100" s="1153" t="s">
        <v>8</v>
      </c>
      <c r="X100" s="1142">
        <f>'R.GUI MAIL'!AI46</f>
        <v>6.1700000000000053E-2</v>
      </c>
      <c r="Y100" s="1152" t="s">
        <v>9</v>
      </c>
    </row>
    <row r="101" spans="1:25" ht="33.75" customHeight="1">
      <c r="A101" s="624">
        <v>11</v>
      </c>
      <c r="B101" s="3725"/>
      <c r="C101" s="3726"/>
      <c r="D101" s="3727"/>
      <c r="E101" s="624" t="s">
        <v>5</v>
      </c>
      <c r="F101" s="1148" t="s">
        <v>620</v>
      </c>
      <c r="G101" s="647">
        <v>9</v>
      </c>
      <c r="H101" s="628">
        <f>R.HN!C110</f>
        <v>0</v>
      </c>
      <c r="I101" s="301">
        <f>'R.GUI MAIL'!AF15</f>
        <v>0</v>
      </c>
      <c r="J101" s="630"/>
      <c r="K101" s="631"/>
      <c r="L101" s="1142"/>
      <c r="M101" s="632"/>
      <c r="N101" s="629">
        <f>R.HN!D110</f>
        <v>0</v>
      </c>
      <c r="O101" s="301">
        <f>'R.GUI MAIL'!AF31</f>
        <v>0</v>
      </c>
      <c r="P101" s="630"/>
      <c r="Q101" s="631"/>
      <c r="R101" s="1142">
        <f>'R.GUI MAIL'!AI31</f>
        <v>0</v>
      </c>
      <c r="S101" s="632"/>
      <c r="T101" s="629"/>
      <c r="U101" s="301">
        <f>'R.GUI MAIL'!AF47</f>
        <v>9.5</v>
      </c>
      <c r="V101" s="301"/>
      <c r="W101" s="1153"/>
      <c r="X101" s="1142"/>
      <c r="Y101" s="1152"/>
    </row>
    <row r="102" spans="1:25" ht="33.75" customHeight="1">
      <c r="A102" s="648"/>
      <c r="B102" s="1825"/>
      <c r="C102" s="649"/>
      <c r="D102" s="649"/>
      <c r="E102" s="649" t="s">
        <v>2</v>
      </c>
      <c r="F102" s="649"/>
      <c r="G102" s="649"/>
      <c r="H102" s="649"/>
      <c r="I102" s="649"/>
      <c r="J102" s="649"/>
      <c r="K102" s="649"/>
      <c r="L102" s="649"/>
      <c r="M102" s="649"/>
      <c r="N102" s="649"/>
      <c r="O102" s="649"/>
      <c r="P102" s="649"/>
      <c r="Q102" s="649"/>
      <c r="R102" s="649"/>
      <c r="S102" s="649"/>
      <c r="T102" s="649"/>
      <c r="U102" s="649"/>
      <c r="V102" s="649"/>
      <c r="W102" s="649"/>
      <c r="X102" s="649"/>
      <c r="Y102" s="1149"/>
    </row>
    <row r="103" spans="1:25" ht="33.75" customHeight="1">
      <c r="A103" s="650" t="s">
        <v>54</v>
      </c>
      <c r="B103" s="3715" t="s">
        <v>746</v>
      </c>
      <c r="C103" s="3716"/>
      <c r="D103" s="3717"/>
      <c r="E103" s="651" t="s">
        <v>747</v>
      </c>
      <c r="F103" s="651" t="s">
        <v>748</v>
      </c>
      <c r="G103" s="652" t="s">
        <v>739</v>
      </c>
      <c r="H103" s="653"/>
      <c r="I103" s="3718" t="s">
        <v>45</v>
      </c>
      <c r="J103" s="3720"/>
      <c r="K103" s="3720"/>
      <c r="L103" s="3720" t="s">
        <v>62</v>
      </c>
      <c r="M103" s="3721"/>
      <c r="N103" s="618"/>
      <c r="O103" s="3718" t="s">
        <v>45</v>
      </c>
      <c r="P103" s="3720"/>
      <c r="Q103" s="3720"/>
      <c r="R103" s="3720" t="s">
        <v>62</v>
      </c>
      <c r="S103" s="3721"/>
      <c r="T103" s="618"/>
      <c r="U103" s="3718" t="s">
        <v>45</v>
      </c>
      <c r="V103" s="3719"/>
      <c r="W103" s="3719"/>
      <c r="X103" s="3720" t="s">
        <v>62</v>
      </c>
      <c r="Y103" s="3721"/>
    </row>
    <row r="104" spans="1:25" ht="33.75" customHeight="1">
      <c r="A104" s="650">
        <v>1</v>
      </c>
      <c r="B104" s="3715" t="s">
        <v>749</v>
      </c>
      <c r="C104" s="3716"/>
      <c r="D104" s="3717"/>
      <c r="E104" s="654" t="s">
        <v>750</v>
      </c>
      <c r="F104" s="646" t="s">
        <v>1107</v>
      </c>
      <c r="G104" s="652"/>
      <c r="H104" s="653"/>
      <c r="I104" s="1501"/>
      <c r="J104" s="1502"/>
      <c r="K104" s="1502"/>
      <c r="L104" s="1498"/>
      <c r="M104" s="1499"/>
      <c r="N104" s="1500"/>
      <c r="O104" s="3687">
        <f>'R.GUI MAIL'!AF34</f>
        <v>0</v>
      </c>
      <c r="P104" s="3687"/>
      <c r="Q104" s="3687"/>
      <c r="R104" s="3687">
        <f>'R.GUI MAIL'!AI34</f>
        <v>0</v>
      </c>
      <c r="S104" s="3687"/>
      <c r="T104" s="3687"/>
      <c r="U104" s="3687">
        <f>'R.GUI MAIL'!AF50</f>
        <v>0</v>
      </c>
      <c r="V104" s="3687"/>
      <c r="W104" s="3687"/>
      <c r="X104" s="3687">
        <f>'R.GUI MAIL'!AI50</f>
        <v>59</v>
      </c>
      <c r="Y104" s="3687"/>
    </row>
    <row r="105" spans="1:25" ht="33.75" customHeight="1">
      <c r="A105" s="650">
        <v>2</v>
      </c>
      <c r="B105" s="3715" t="s">
        <v>751</v>
      </c>
      <c r="C105" s="3716"/>
      <c r="D105" s="3717"/>
      <c r="E105" s="654" t="s">
        <v>750</v>
      </c>
      <c r="F105" s="646" t="s">
        <v>752</v>
      </c>
      <c r="G105" s="655" t="e">
        <f>'[7]file goc'!G180</f>
        <v>#REF!</v>
      </c>
      <c r="H105" s="655"/>
      <c r="I105" s="3475">
        <f>'R.GUI MAIL'!AF18</f>
        <v>0</v>
      </c>
      <c r="J105" s="3476"/>
      <c r="K105" s="3476"/>
      <c r="L105" s="3475">
        <f>'R.GUI MAIL'!AI18</f>
        <v>0</v>
      </c>
      <c r="M105" s="3476"/>
      <c r="N105" s="1462"/>
      <c r="O105" s="3475">
        <f>'R.GUI MAIL'!AF35</f>
        <v>0</v>
      </c>
      <c r="P105" s="3476"/>
      <c r="Q105" s="3476"/>
      <c r="R105" s="3475">
        <f>'R.GUI MAIL'!AI35</f>
        <v>0</v>
      </c>
      <c r="S105" s="3477"/>
      <c r="T105" s="1500"/>
      <c r="U105" s="3475">
        <f>'R.GUI MAIL'!AF51</f>
        <v>0</v>
      </c>
      <c r="V105" s="3476"/>
      <c r="W105" s="3477"/>
      <c r="X105" s="3475">
        <f>'R.GUI MAIL'!AI51</f>
        <v>68</v>
      </c>
      <c r="Y105" s="3477"/>
    </row>
    <row r="106" spans="1:25" ht="33.75" hidden="1" customHeight="1">
      <c r="A106" s="650">
        <v>3</v>
      </c>
      <c r="B106" s="3715" t="s">
        <v>753</v>
      </c>
      <c r="C106" s="3716"/>
      <c r="D106" s="3717"/>
      <c r="E106" s="654" t="s">
        <v>750</v>
      </c>
      <c r="F106" s="646" t="s">
        <v>752</v>
      </c>
      <c r="G106" s="656" t="e">
        <f>'[7]file goc'!G181</f>
        <v>#REF!</v>
      </c>
      <c r="H106" s="655"/>
      <c r="I106" s="3475">
        <f>'R.GUI MAIL'!AF19</f>
        <v>0</v>
      </c>
      <c r="J106" s="3476"/>
      <c r="K106" s="3476"/>
      <c r="L106" s="3475">
        <f>'R.GUI MAIL'!AI19</f>
        <v>0</v>
      </c>
      <c r="M106" s="3477"/>
      <c r="N106" s="1500"/>
      <c r="O106" s="1501"/>
      <c r="P106" s="1502"/>
      <c r="Q106" s="1502"/>
      <c r="R106" s="1503"/>
      <c r="S106" s="1504"/>
      <c r="T106" s="1500"/>
      <c r="U106" s="1505"/>
      <c r="V106" s="1505"/>
      <c r="W106" s="1505"/>
      <c r="X106" s="1505"/>
      <c r="Y106" s="1505"/>
    </row>
    <row r="107" spans="1:25" ht="33.75" customHeight="1">
      <c r="A107" s="650">
        <v>6</v>
      </c>
      <c r="B107" s="3715" t="s">
        <v>754</v>
      </c>
      <c r="C107" s="3716"/>
      <c r="D107" s="3717"/>
      <c r="E107" s="654" t="s">
        <v>750</v>
      </c>
      <c r="F107" s="646" t="s">
        <v>755</v>
      </c>
      <c r="G107" s="656" t="e">
        <f>'[7]file goc'!G184</f>
        <v>#REF!</v>
      </c>
      <c r="H107" s="655"/>
      <c r="I107" s="3475">
        <f>'R.GUI MAIL'!AF20</f>
        <v>0</v>
      </c>
      <c r="J107" s="3476"/>
      <c r="K107" s="3476"/>
      <c r="L107" s="3475">
        <f>'R.GUI MAIL'!AI20</f>
        <v>0</v>
      </c>
      <c r="M107" s="3477"/>
      <c r="N107" s="1500"/>
      <c r="O107" s="3475">
        <f>'R.GUI MAIL'!AF36</f>
        <v>0</v>
      </c>
      <c r="P107" s="3476"/>
      <c r="Q107" s="3476"/>
      <c r="R107" s="3475">
        <f>'R.GUI MAIL'!AI36</f>
        <v>0</v>
      </c>
      <c r="S107" s="3477"/>
      <c r="T107" s="1500"/>
      <c r="U107" s="3475">
        <f>'R.GUI MAIL'!AF52</f>
        <v>0</v>
      </c>
      <c r="V107" s="3476"/>
      <c r="W107" s="3477"/>
      <c r="X107" s="3475">
        <f>'R.GUI MAIL'!AI52</f>
        <v>85</v>
      </c>
      <c r="Y107" s="3477"/>
    </row>
    <row r="108" spans="1:25" ht="26.25" customHeight="1">
      <c r="A108" s="3737" t="s">
        <v>1471</v>
      </c>
      <c r="B108" s="3738"/>
      <c r="C108" s="3755" t="str">
        <f>MENU!$AC$9</f>
        <v>Thứ 4,</v>
      </c>
      <c r="D108" s="3755"/>
      <c r="E108" s="3756" t="str">
        <f>MENU!$AD$9</f>
        <v>2024/05/22</v>
      </c>
      <c r="F108" s="3757"/>
      <c r="G108" s="3757"/>
      <c r="H108" s="3757"/>
      <c r="I108" s="2003" t="s">
        <v>735</v>
      </c>
      <c r="J108" s="2003"/>
      <c r="K108" s="2003"/>
      <c r="L108" s="2003"/>
      <c r="M108" s="2003"/>
      <c r="N108" s="2003"/>
      <c r="O108" s="2003"/>
      <c r="P108" s="2003"/>
      <c r="Q108" s="2003"/>
      <c r="R108" s="2003"/>
      <c r="S108" s="2003"/>
      <c r="T108" s="2003"/>
      <c r="U108" s="2003"/>
      <c r="V108" s="2003"/>
      <c r="W108" s="2003"/>
      <c r="X108" s="2003"/>
      <c r="Y108" s="2004"/>
    </row>
    <row r="109" spans="1:25" ht="27" customHeight="1">
      <c r="A109" s="3739" t="s">
        <v>7</v>
      </c>
      <c r="B109" s="3216" t="s">
        <v>736</v>
      </c>
      <c r="C109" s="3217"/>
      <c r="D109" s="3742"/>
      <c r="E109" s="3747" t="s">
        <v>737</v>
      </c>
      <c r="F109" s="3750" t="s">
        <v>738</v>
      </c>
      <c r="G109" s="616"/>
      <c r="H109" s="617"/>
      <c r="I109" s="3753" t="s">
        <v>739</v>
      </c>
      <c r="J109" s="3754"/>
      <c r="K109" s="3754"/>
      <c r="L109" s="3754"/>
      <c r="M109" s="3754"/>
      <c r="N109" s="618"/>
      <c r="O109" s="3753" t="s">
        <v>1292</v>
      </c>
      <c r="P109" s="3754"/>
      <c r="Q109" s="3754"/>
      <c r="R109" s="3754"/>
      <c r="S109" s="3754"/>
      <c r="T109" s="618"/>
      <c r="U109" s="3753" t="s">
        <v>1293</v>
      </c>
      <c r="V109" s="3754"/>
      <c r="W109" s="3754"/>
      <c r="X109" s="3754"/>
      <c r="Y109" s="3754"/>
    </row>
    <row r="110" spans="1:25" ht="17.25">
      <c r="A110" s="3740"/>
      <c r="B110" s="3743"/>
      <c r="C110" s="3744"/>
      <c r="D110" s="3745"/>
      <c r="E110" s="3748"/>
      <c r="F110" s="3751"/>
      <c r="G110" s="619" t="s">
        <v>422</v>
      </c>
      <c r="H110" s="620"/>
      <c r="I110" s="3731" t="s">
        <v>740</v>
      </c>
      <c r="J110" s="622" t="s">
        <v>741</v>
      </c>
      <c r="K110" s="3733" t="s">
        <v>1</v>
      </c>
      <c r="L110" s="3733"/>
      <c r="M110" s="3734"/>
      <c r="N110" s="621"/>
      <c r="O110" s="3731" t="s">
        <v>740</v>
      </c>
      <c r="P110" s="622" t="s">
        <v>741</v>
      </c>
      <c r="Q110" s="3733" t="s">
        <v>1</v>
      </c>
      <c r="R110" s="3733"/>
      <c r="S110" s="3734"/>
      <c r="T110" s="620"/>
      <c r="U110" s="3731" t="s">
        <v>740</v>
      </c>
      <c r="V110" s="622" t="s">
        <v>741</v>
      </c>
      <c r="W110" s="3733" t="s">
        <v>1</v>
      </c>
      <c r="X110" s="3733"/>
      <c r="Y110" s="3734"/>
    </row>
    <row r="111" spans="1:25" ht="17.25">
      <c r="A111" s="3741"/>
      <c r="B111" s="3218"/>
      <c r="C111" s="3219"/>
      <c r="D111" s="3746"/>
      <c r="E111" s="3749"/>
      <c r="F111" s="3752"/>
      <c r="G111" s="619"/>
      <c r="H111" s="620"/>
      <c r="I111" s="3732"/>
      <c r="J111" s="623"/>
      <c r="K111" s="3735"/>
      <c r="L111" s="3735"/>
      <c r="M111" s="3736"/>
      <c r="N111" s="621"/>
      <c r="O111" s="3732"/>
      <c r="P111" s="623"/>
      <c r="Q111" s="3735"/>
      <c r="R111" s="3735"/>
      <c r="S111" s="3736"/>
      <c r="T111" s="620"/>
      <c r="U111" s="3732"/>
      <c r="V111" s="623"/>
      <c r="W111" s="3735"/>
      <c r="X111" s="3735"/>
      <c r="Y111" s="3736"/>
    </row>
    <row r="112" spans="1:25" ht="33.75" customHeight="1">
      <c r="A112" s="624">
        <v>1</v>
      </c>
      <c r="B112" s="3715" t="s">
        <v>742</v>
      </c>
      <c r="C112" s="3716"/>
      <c r="D112" s="3717"/>
      <c r="E112" s="625" t="s">
        <v>431</v>
      </c>
      <c r="F112" s="626" t="s">
        <v>728</v>
      </c>
      <c r="G112" s="627">
        <v>40</v>
      </c>
      <c r="H112" s="628">
        <f>R.HN!C117</f>
        <v>0</v>
      </c>
      <c r="I112" s="634"/>
      <c r="J112" s="643"/>
      <c r="K112" s="644"/>
      <c r="L112" s="1141"/>
      <c r="M112" s="645"/>
      <c r="N112" s="629">
        <f>R.HN!D117</f>
        <v>0</v>
      </c>
      <c r="O112" s="301">
        <f>'R.GUI MAIL'!AL25</f>
        <v>0</v>
      </c>
      <c r="P112" s="630"/>
      <c r="Q112" s="631" t="s">
        <v>8</v>
      </c>
      <c r="R112" s="1142">
        <f>'R.GUI MAIL'!AO25</f>
        <v>0</v>
      </c>
      <c r="S112" s="632" t="s">
        <v>9</v>
      </c>
      <c r="T112" s="629"/>
      <c r="U112" s="301">
        <f>'R.GUI MAIL'!AL41</f>
        <v>36</v>
      </c>
      <c r="V112" s="630"/>
      <c r="W112" s="631" t="s">
        <v>8</v>
      </c>
      <c r="X112" s="1143">
        <f>'R.GUI MAIL'!AO41</f>
        <v>9.32</v>
      </c>
      <c r="Y112" s="632" t="s">
        <v>9</v>
      </c>
    </row>
    <row r="113" spans="1:25" ht="33.75" customHeight="1">
      <c r="A113" s="624">
        <v>2</v>
      </c>
      <c r="B113" s="3715" t="s">
        <v>425</v>
      </c>
      <c r="C113" s="3716"/>
      <c r="D113" s="3717"/>
      <c r="E113" s="633" t="s">
        <v>3</v>
      </c>
      <c r="F113" s="626" t="s">
        <v>426</v>
      </c>
      <c r="G113" s="627">
        <v>22</v>
      </c>
      <c r="H113" s="628">
        <f>R.HN!C118</f>
        <v>0</v>
      </c>
      <c r="I113" s="301">
        <f>'R.GUI MAIL'!AL6</f>
        <v>0</v>
      </c>
      <c r="J113" s="630"/>
      <c r="K113" s="631" t="s">
        <v>8</v>
      </c>
      <c r="L113" s="1142">
        <f>'R.GUI MAIL'!AO6</f>
        <v>0</v>
      </c>
      <c r="M113" s="1152" t="s">
        <v>10</v>
      </c>
      <c r="N113" s="629">
        <f>R.HN!D118</f>
        <v>0</v>
      </c>
      <c r="O113" s="301">
        <f>'R.GUI MAIL'!AL26</f>
        <v>0</v>
      </c>
      <c r="P113" s="630"/>
      <c r="Q113" s="631" t="s">
        <v>8</v>
      </c>
      <c r="R113" s="1142">
        <f>'R.GUI MAIL'!AO26</f>
        <v>0</v>
      </c>
      <c r="S113" s="632" t="s">
        <v>10</v>
      </c>
      <c r="T113" s="629"/>
      <c r="U113" s="301">
        <f>'R.GUI MAIL'!AL42</f>
        <v>10.584999999999999</v>
      </c>
      <c r="V113" s="301"/>
      <c r="W113" s="1153" t="s">
        <v>8</v>
      </c>
      <c r="X113" s="1142">
        <f>'R.GUI MAIL'!AO42</f>
        <v>155.89296875000008</v>
      </c>
      <c r="Y113" s="1152" t="s">
        <v>10</v>
      </c>
    </row>
    <row r="114" spans="1:25" ht="33.75" hidden="1" customHeight="1">
      <c r="A114" s="624">
        <v>3</v>
      </c>
      <c r="B114" s="3722" t="s">
        <v>391</v>
      </c>
      <c r="C114" s="3723"/>
      <c r="D114" s="3724"/>
      <c r="E114" s="633" t="s">
        <v>3</v>
      </c>
      <c r="F114" s="626" t="s">
        <v>426</v>
      </c>
      <c r="G114" s="627"/>
      <c r="H114" s="628"/>
      <c r="I114" s="1100">
        <f>'R.GUI MAIL'!AL7</f>
        <v>0</v>
      </c>
      <c r="J114" s="630"/>
      <c r="K114" s="631" t="s">
        <v>8</v>
      </c>
      <c r="L114" s="1142">
        <f>'R.GUI MAIL'!AO7</f>
        <v>292.1875</v>
      </c>
      <c r="M114" s="1152" t="s">
        <v>10</v>
      </c>
      <c r="N114" s="629"/>
      <c r="O114" s="634"/>
      <c r="P114" s="634"/>
      <c r="Q114" s="635"/>
      <c r="R114" s="1141"/>
      <c r="S114" s="636"/>
      <c r="T114" s="637"/>
      <c r="U114" s="1100">
        <f>'R.GUI MAIL'!AL42</f>
        <v>10.584999999999999</v>
      </c>
      <c r="V114" s="301"/>
      <c r="W114" s="1153" t="s">
        <v>8</v>
      </c>
      <c r="X114" s="1142">
        <f>'R.GUI MAIL'!AO42</f>
        <v>155.89296875000008</v>
      </c>
      <c r="Y114" s="1152" t="s">
        <v>10</v>
      </c>
    </row>
    <row r="115" spans="1:25" ht="33.75" customHeight="1">
      <c r="A115" s="624">
        <v>4</v>
      </c>
      <c r="B115" s="3728" t="s">
        <v>743</v>
      </c>
      <c r="C115" s="1144" t="s">
        <v>744</v>
      </c>
      <c r="D115" s="1145">
        <f>R.HN!$C$12</f>
        <v>3</v>
      </c>
      <c r="E115" s="3730" t="s">
        <v>431</v>
      </c>
      <c r="F115" s="626" t="s">
        <v>730</v>
      </c>
      <c r="G115" s="627">
        <v>50</v>
      </c>
      <c r="H115" s="628">
        <f>R.HN!C119</f>
        <v>0</v>
      </c>
      <c r="I115" s="301">
        <f>'R.GUI MAIL'!AL8</f>
        <v>0</v>
      </c>
      <c r="J115" s="630"/>
      <c r="K115" s="631" t="s">
        <v>8</v>
      </c>
      <c r="L115" s="1142">
        <f>'R.GUI MAIL'!AO8</f>
        <v>0</v>
      </c>
      <c r="M115" s="1152" t="s">
        <v>9</v>
      </c>
      <c r="N115" s="629">
        <f>R.HN!D119</f>
        <v>0</v>
      </c>
      <c r="O115" s="301">
        <f>'R.GUI MAIL'!AL27</f>
        <v>0</v>
      </c>
      <c r="P115" s="630"/>
      <c r="Q115" s="631" t="s">
        <v>8</v>
      </c>
      <c r="R115" s="1142">
        <f>'R.GUI MAIL'!AO27</f>
        <v>0</v>
      </c>
      <c r="S115" s="632" t="s">
        <v>9</v>
      </c>
      <c r="T115" s="629"/>
      <c r="U115" s="301">
        <f>'R.GUI MAIL'!AL43</f>
        <v>49</v>
      </c>
      <c r="V115" s="301"/>
      <c r="W115" s="1153" t="s">
        <v>8</v>
      </c>
      <c r="X115" s="1142">
        <f>'R.GUI MAIL'!AO43</f>
        <v>4.9349999999999996</v>
      </c>
      <c r="Y115" s="1152" t="s">
        <v>9</v>
      </c>
    </row>
    <row r="116" spans="1:25" ht="33.75" customHeight="1">
      <c r="A116" s="624">
        <v>5</v>
      </c>
      <c r="B116" s="3729"/>
      <c r="C116" s="1146"/>
      <c r="D116" s="1147"/>
      <c r="E116" s="3730"/>
      <c r="F116" s="626" t="s">
        <v>726</v>
      </c>
      <c r="G116" s="638">
        <v>6</v>
      </c>
      <c r="H116" s="628">
        <f>R.HN!C120</f>
        <v>0</v>
      </c>
      <c r="I116" s="301">
        <f>'R.GUI MAIL'!AL9</f>
        <v>0</v>
      </c>
      <c r="J116" s="630"/>
      <c r="K116" s="631" t="s">
        <v>8</v>
      </c>
      <c r="L116" s="1142">
        <f>'R.GUI MAIL'!AO9</f>
        <v>0</v>
      </c>
      <c r="M116" s="1152" t="s">
        <v>9</v>
      </c>
      <c r="N116" s="629">
        <f>R.HN!D120</f>
        <v>0</v>
      </c>
      <c r="O116" s="301">
        <f>'R.GUI MAIL'!AL28</f>
        <v>0</v>
      </c>
      <c r="P116" s="630"/>
      <c r="Q116" s="631"/>
      <c r="R116" s="1142">
        <f>'R.GUI MAIL'!AO28</f>
        <v>0</v>
      </c>
      <c r="S116" s="632" t="s">
        <v>9</v>
      </c>
      <c r="T116" s="629"/>
      <c r="U116" s="301">
        <f>'R.GUI MAIL'!AL44</f>
        <v>10</v>
      </c>
      <c r="V116" s="301"/>
      <c r="W116" s="1153"/>
      <c r="X116" s="1142">
        <f>'R.GUI MAIL'!AO44</f>
        <v>0</v>
      </c>
      <c r="Y116" s="1152" t="s">
        <v>9</v>
      </c>
    </row>
    <row r="117" spans="1:25" ht="33.75" customHeight="1">
      <c r="A117" s="624">
        <v>6</v>
      </c>
      <c r="B117" s="3729"/>
      <c r="C117" s="1146"/>
      <c r="D117" s="1147"/>
      <c r="E117" s="3730"/>
      <c r="F117" s="626" t="s">
        <v>614</v>
      </c>
      <c r="G117" s="638">
        <v>0.4</v>
      </c>
      <c r="H117" s="628">
        <f>R.HN!C121</f>
        <v>0</v>
      </c>
      <c r="I117" s="413">
        <f>'R.GUI MAIL'!AL10</f>
        <v>0</v>
      </c>
      <c r="J117" s="630"/>
      <c r="K117" s="631" t="s">
        <v>8</v>
      </c>
      <c r="L117" s="1142">
        <f>'R.GUI MAIL'!AO10</f>
        <v>0</v>
      </c>
      <c r="M117" s="1152" t="s">
        <v>9</v>
      </c>
      <c r="N117" s="629">
        <f>R.HN!D121</f>
        <v>0</v>
      </c>
      <c r="O117" s="413">
        <f>'R.GUI MAIL'!AL29</f>
        <v>0</v>
      </c>
      <c r="P117" s="630"/>
      <c r="Q117" s="631"/>
      <c r="R117" s="1142">
        <f>'R.GUI MAIL'!AO29</f>
        <v>0</v>
      </c>
      <c r="S117" s="632" t="s">
        <v>9</v>
      </c>
      <c r="T117" s="629"/>
      <c r="U117" s="413">
        <f>'R.GUI MAIL'!AL45</f>
        <v>0.12</v>
      </c>
      <c r="V117" s="301"/>
      <c r="W117" s="1153"/>
      <c r="X117" s="1142">
        <f>'R.GUI MAIL'!AO45</f>
        <v>0</v>
      </c>
      <c r="Y117" s="1152" t="s">
        <v>9</v>
      </c>
    </row>
    <row r="118" spans="1:25" ht="33.75" hidden="1" customHeight="1">
      <c r="A118" s="624">
        <v>7</v>
      </c>
      <c r="B118" s="3728" t="s">
        <v>743</v>
      </c>
      <c r="C118" s="1144" t="s">
        <v>744</v>
      </c>
      <c r="D118" s="1145">
        <f>R.HN!$C$13</f>
        <v>4</v>
      </c>
      <c r="E118" s="3730" t="s">
        <v>431</v>
      </c>
      <c r="F118" s="626" t="s">
        <v>730</v>
      </c>
      <c r="G118" s="627">
        <v>50</v>
      </c>
      <c r="H118" s="628">
        <f>R.HN!C122</f>
        <v>0</v>
      </c>
      <c r="I118" s="301">
        <f>'R.GUI MAIL'!AL11</f>
        <v>0</v>
      </c>
      <c r="J118" s="655"/>
      <c r="K118" s="631" t="s">
        <v>8</v>
      </c>
      <c r="L118" s="1142">
        <f>'R.GUI MAIL'!AO11</f>
        <v>0</v>
      </c>
      <c r="M118" s="1152" t="s">
        <v>9</v>
      </c>
      <c r="N118" s="629">
        <f>R.HN!D122</f>
        <v>0</v>
      </c>
      <c r="O118" s="634"/>
      <c r="P118" s="643"/>
      <c r="Q118" s="644"/>
      <c r="R118" s="1141"/>
      <c r="S118" s="645"/>
      <c r="T118" s="642"/>
      <c r="U118" s="634"/>
      <c r="V118" s="634"/>
      <c r="W118" s="635"/>
      <c r="X118" s="1141"/>
      <c r="Y118" s="636"/>
    </row>
    <row r="119" spans="1:25" ht="33.75" hidden="1" customHeight="1">
      <c r="A119" s="624">
        <v>8</v>
      </c>
      <c r="B119" s="3729"/>
      <c r="C119" s="1146"/>
      <c r="D119" s="1147"/>
      <c r="E119" s="3730"/>
      <c r="F119" s="626" t="s">
        <v>726</v>
      </c>
      <c r="G119" s="638">
        <v>6</v>
      </c>
      <c r="H119" s="628">
        <f>R.HN!C123</f>
        <v>0</v>
      </c>
      <c r="I119" s="301">
        <f>'R.GUI MAIL'!AL12</f>
        <v>0</v>
      </c>
      <c r="J119" s="630"/>
      <c r="K119" s="631" t="s">
        <v>8</v>
      </c>
      <c r="L119" s="1142">
        <f>'R.GUI MAIL'!AO12</f>
        <v>0</v>
      </c>
      <c r="M119" s="1152" t="s">
        <v>9</v>
      </c>
      <c r="N119" s="629">
        <f>R.HN!D123</f>
        <v>0</v>
      </c>
      <c r="O119" s="634"/>
      <c r="P119" s="643"/>
      <c r="Q119" s="644"/>
      <c r="R119" s="1141"/>
      <c r="S119" s="645"/>
      <c r="T119" s="629"/>
      <c r="U119" s="634"/>
      <c r="V119" s="634"/>
      <c r="W119" s="635"/>
      <c r="X119" s="1141"/>
      <c r="Y119" s="636"/>
    </row>
    <row r="120" spans="1:25" ht="33.75" hidden="1" customHeight="1">
      <c r="A120" s="624">
        <v>9</v>
      </c>
      <c r="B120" s="3729"/>
      <c r="C120" s="1146"/>
      <c r="D120" s="1147"/>
      <c r="E120" s="3730"/>
      <c r="F120" s="626" t="s">
        <v>614</v>
      </c>
      <c r="G120" s="638">
        <v>0.4</v>
      </c>
      <c r="H120" s="628">
        <f>R.HN!C124</f>
        <v>0</v>
      </c>
      <c r="I120" s="413">
        <f>'R.GUI MAIL'!AL13</f>
        <v>0</v>
      </c>
      <c r="J120" s="655"/>
      <c r="K120" s="631" t="s">
        <v>8</v>
      </c>
      <c r="L120" s="1142">
        <f>'R.GUI MAIL'!AO13</f>
        <v>0</v>
      </c>
      <c r="M120" s="1152" t="s">
        <v>9</v>
      </c>
      <c r="N120" s="629">
        <f>R.HN!D124</f>
        <v>0</v>
      </c>
      <c r="O120" s="643"/>
      <c r="P120" s="643"/>
      <c r="Q120" s="644"/>
      <c r="R120" s="1141"/>
      <c r="S120" s="645"/>
      <c r="T120" s="642"/>
      <c r="U120" s="643"/>
      <c r="V120" s="643"/>
      <c r="W120" s="644"/>
      <c r="X120" s="1141"/>
      <c r="Y120" s="645"/>
    </row>
    <row r="121" spans="1:25" ht="33.75" customHeight="1">
      <c r="A121" s="624">
        <v>10</v>
      </c>
      <c r="B121" s="3722" t="s">
        <v>745</v>
      </c>
      <c r="C121" s="3723"/>
      <c r="D121" s="3724"/>
      <c r="E121" s="624" t="s">
        <v>431</v>
      </c>
      <c r="F121" s="646" t="s">
        <v>441</v>
      </c>
      <c r="G121" s="638">
        <v>2</v>
      </c>
      <c r="H121" s="628">
        <f>R.HN!C131</f>
        <v>0</v>
      </c>
      <c r="I121" s="301">
        <f>'R.GUI MAIL'!AL14</f>
        <v>0</v>
      </c>
      <c r="J121" s="630"/>
      <c r="K121" s="631" t="s">
        <v>8</v>
      </c>
      <c r="L121" s="1150">
        <f>'R.GUI MAIL'!AO14</f>
        <v>0</v>
      </c>
      <c r="M121" s="1152" t="s">
        <v>9</v>
      </c>
      <c r="N121" s="629">
        <f>R.HN!D131</f>
        <v>0</v>
      </c>
      <c r="O121" s="301">
        <f>'R.GUI MAIL'!AL30</f>
        <v>0</v>
      </c>
      <c r="P121" s="630"/>
      <c r="Q121" s="631" t="s">
        <v>8</v>
      </c>
      <c r="R121" s="1142">
        <f>'R.GUI MAIL'!AO30</f>
        <v>0</v>
      </c>
      <c r="S121" s="632" t="s">
        <v>9</v>
      </c>
      <c r="T121" s="629"/>
      <c r="U121" s="301">
        <f>'R.GUI MAIL'!AL46</f>
        <v>0.95</v>
      </c>
      <c r="V121" s="301"/>
      <c r="W121" s="1153" t="s">
        <v>8</v>
      </c>
      <c r="X121" s="1142">
        <f>'R.GUI MAIL'!AO46</f>
        <v>6.1700000000000053E-2</v>
      </c>
      <c r="Y121" s="1152" t="s">
        <v>9</v>
      </c>
    </row>
    <row r="122" spans="1:25" ht="33.75" customHeight="1">
      <c r="A122" s="624">
        <v>11</v>
      </c>
      <c r="B122" s="3725"/>
      <c r="C122" s="3726"/>
      <c r="D122" s="3727"/>
      <c r="E122" s="624" t="s">
        <v>5</v>
      </c>
      <c r="F122" s="1148" t="s">
        <v>620</v>
      </c>
      <c r="G122" s="647">
        <v>9</v>
      </c>
      <c r="H122" s="628">
        <f>R.HN!C132</f>
        <v>0</v>
      </c>
      <c r="I122" s="301">
        <f>'R.GUI MAIL'!AL15</f>
        <v>0</v>
      </c>
      <c r="J122" s="630"/>
      <c r="K122" s="631"/>
      <c r="L122" s="1142"/>
      <c r="M122" s="632"/>
      <c r="N122" s="629">
        <f>R.HN!D132</f>
        <v>0</v>
      </c>
      <c r="O122" s="301">
        <f>'R.GUI MAIL'!AL31</f>
        <v>0</v>
      </c>
      <c r="P122" s="630"/>
      <c r="Q122" s="631"/>
      <c r="R122" s="1142"/>
      <c r="S122" s="632"/>
      <c r="T122" s="629"/>
      <c r="U122" s="301">
        <f>'R.GUI MAIL'!AL47</f>
        <v>10</v>
      </c>
      <c r="V122" s="301"/>
      <c r="W122" s="1153"/>
      <c r="X122" s="1142"/>
      <c r="Y122" s="1152"/>
    </row>
    <row r="123" spans="1:25" ht="33.75" customHeight="1">
      <c r="A123" s="648"/>
      <c r="B123" s="1825"/>
      <c r="C123" s="649"/>
      <c r="D123" s="649"/>
      <c r="E123" s="649" t="s">
        <v>2</v>
      </c>
      <c r="F123" s="649"/>
      <c r="G123" s="649"/>
      <c r="H123" s="649"/>
      <c r="I123" s="649"/>
      <c r="J123" s="649"/>
      <c r="K123" s="649"/>
      <c r="L123" s="649"/>
      <c r="M123" s="649"/>
      <c r="N123" s="649"/>
      <c r="O123" s="649"/>
      <c r="P123" s="649"/>
      <c r="Q123" s="649"/>
      <c r="R123" s="649"/>
      <c r="S123" s="649"/>
      <c r="T123" s="649"/>
      <c r="U123" s="649"/>
      <c r="V123" s="649"/>
      <c r="W123" s="649"/>
      <c r="X123" s="649"/>
      <c r="Y123" s="1149"/>
    </row>
    <row r="124" spans="1:25" ht="33.75" customHeight="1">
      <c r="A124" s="650" t="s">
        <v>54</v>
      </c>
      <c r="B124" s="3715" t="s">
        <v>746</v>
      </c>
      <c r="C124" s="3716"/>
      <c r="D124" s="3717"/>
      <c r="E124" s="651" t="s">
        <v>747</v>
      </c>
      <c r="F124" s="651" t="s">
        <v>748</v>
      </c>
      <c r="G124" s="652" t="s">
        <v>739</v>
      </c>
      <c r="H124" s="653"/>
      <c r="I124" s="3718" t="s">
        <v>45</v>
      </c>
      <c r="J124" s="3719"/>
      <c r="K124" s="3719"/>
      <c r="L124" s="3720" t="s">
        <v>62</v>
      </c>
      <c r="M124" s="3721"/>
      <c r="N124" s="618"/>
      <c r="O124" s="3718" t="s">
        <v>45</v>
      </c>
      <c r="P124" s="3719"/>
      <c r="Q124" s="3719"/>
      <c r="R124" s="3720" t="s">
        <v>62</v>
      </c>
      <c r="S124" s="3721"/>
      <c r="T124" s="618"/>
      <c r="U124" s="3718" t="s">
        <v>45</v>
      </c>
      <c r="V124" s="3719"/>
      <c r="W124" s="3719"/>
      <c r="X124" s="3720" t="s">
        <v>62</v>
      </c>
      <c r="Y124" s="3721"/>
    </row>
    <row r="125" spans="1:25" ht="33.75" customHeight="1">
      <c r="A125" s="650">
        <v>1</v>
      </c>
      <c r="B125" s="3715" t="s">
        <v>749</v>
      </c>
      <c r="C125" s="3716"/>
      <c r="D125" s="3717"/>
      <c r="E125" s="654" t="s">
        <v>750</v>
      </c>
      <c r="F125" s="646" t="s">
        <v>1107</v>
      </c>
      <c r="G125" s="652"/>
      <c r="H125" s="653"/>
      <c r="I125" s="1501"/>
      <c r="J125" s="1502"/>
      <c r="K125" s="1502"/>
      <c r="L125" s="1498"/>
      <c r="M125" s="1499"/>
      <c r="N125" s="1500"/>
      <c r="O125" s="3687">
        <f>'R.GUI MAIL'!AL34</f>
        <v>0</v>
      </c>
      <c r="P125" s="3687"/>
      <c r="Q125" s="3687"/>
      <c r="R125" s="3687">
        <f>'R.GUI MAIL'!AO34</f>
        <v>0</v>
      </c>
      <c r="S125" s="3687"/>
      <c r="T125" s="3687"/>
      <c r="U125" s="3687">
        <f>'R.GUI MAIL'!AL50</f>
        <v>0</v>
      </c>
      <c r="V125" s="3687"/>
      <c r="W125" s="3687"/>
      <c r="X125" s="3687">
        <f>'R.GUI MAIL'!AO50</f>
        <v>59</v>
      </c>
      <c r="Y125" s="3687"/>
    </row>
    <row r="126" spans="1:25" ht="33.75" customHeight="1">
      <c r="A126" s="650">
        <v>2</v>
      </c>
      <c r="B126" s="3715" t="s">
        <v>751</v>
      </c>
      <c r="C126" s="3716"/>
      <c r="D126" s="3717"/>
      <c r="E126" s="654" t="s">
        <v>750</v>
      </c>
      <c r="F126" s="646" t="s">
        <v>752</v>
      </c>
      <c r="G126" s="655" t="e">
        <f>'[7]file goc'!G202</f>
        <v>#REF!</v>
      </c>
      <c r="H126" s="655"/>
      <c r="I126" s="3475">
        <f>'R.GUI MAIL'!AL18</f>
        <v>0</v>
      </c>
      <c r="J126" s="3476"/>
      <c r="K126" s="3476"/>
      <c r="L126" s="3475">
        <f>'R.GUI MAIL'!AO18</f>
        <v>0</v>
      </c>
      <c r="M126" s="3476"/>
      <c r="N126" s="1462"/>
      <c r="O126" s="3475">
        <f>'R.GUI MAIL'!AL35</f>
        <v>0</v>
      </c>
      <c r="P126" s="3476"/>
      <c r="Q126" s="3476"/>
      <c r="R126" s="3475">
        <f>'R.GUI MAIL'!AO35</f>
        <v>0</v>
      </c>
      <c r="S126" s="3477"/>
      <c r="T126" s="1500"/>
      <c r="U126" s="3475">
        <f>'R.GUI MAIL'!AL51</f>
        <v>0</v>
      </c>
      <c r="V126" s="3476"/>
      <c r="W126" s="3477"/>
      <c r="X126" s="3475">
        <f>'R.GUI MAIL'!AO51</f>
        <v>68</v>
      </c>
      <c r="Y126" s="3477"/>
    </row>
    <row r="127" spans="1:25" ht="33.75" hidden="1" customHeight="1">
      <c r="A127" s="650">
        <v>3</v>
      </c>
      <c r="B127" s="3715" t="s">
        <v>753</v>
      </c>
      <c r="C127" s="3716"/>
      <c r="D127" s="3717"/>
      <c r="E127" s="654" t="s">
        <v>750</v>
      </c>
      <c r="F127" s="646" t="s">
        <v>752</v>
      </c>
      <c r="G127" s="656" t="e">
        <f>'[7]file goc'!G203</f>
        <v>#REF!</v>
      </c>
      <c r="H127" s="655"/>
      <c r="I127" s="3475">
        <f>'R.GUI MAIL'!AL19</f>
        <v>0</v>
      </c>
      <c r="J127" s="3476"/>
      <c r="K127" s="3476"/>
      <c r="L127" s="3475">
        <f>'R.GUI MAIL'!AO19</f>
        <v>0</v>
      </c>
      <c r="M127" s="3477"/>
      <c r="N127" s="1500"/>
      <c r="O127" s="1501"/>
      <c r="P127" s="1502"/>
      <c r="Q127" s="1502"/>
      <c r="R127" s="1503"/>
      <c r="S127" s="1504"/>
      <c r="T127" s="1500"/>
      <c r="U127" s="1505"/>
      <c r="V127" s="1505"/>
      <c r="W127" s="1505"/>
      <c r="X127" s="1505"/>
      <c r="Y127" s="1505"/>
    </row>
    <row r="128" spans="1:25" ht="33.75" customHeight="1">
      <c r="A128" s="650">
        <v>6</v>
      </c>
      <c r="B128" s="3715" t="s">
        <v>754</v>
      </c>
      <c r="C128" s="3716"/>
      <c r="D128" s="3717"/>
      <c r="E128" s="654" t="s">
        <v>750</v>
      </c>
      <c r="F128" s="646" t="s">
        <v>755</v>
      </c>
      <c r="G128" s="656" t="e">
        <f>'[7]file goc'!G206</f>
        <v>#REF!</v>
      </c>
      <c r="H128" s="655"/>
      <c r="I128" s="3475">
        <f>'R.GUI MAIL'!AL20</f>
        <v>0</v>
      </c>
      <c r="J128" s="3476"/>
      <c r="K128" s="3476"/>
      <c r="L128" s="3475">
        <f>'R.GUI MAIL'!AO20</f>
        <v>0</v>
      </c>
      <c r="M128" s="3477"/>
      <c r="N128" s="1500"/>
      <c r="O128" s="3475">
        <f>'R.GUI MAIL'!AL36</f>
        <v>0</v>
      </c>
      <c r="P128" s="3476"/>
      <c r="Q128" s="3476"/>
      <c r="R128" s="3475">
        <f>'R.GUI MAIL'!AO36</f>
        <v>0</v>
      </c>
      <c r="S128" s="3477"/>
      <c r="T128" s="1500"/>
      <c r="U128" s="3475">
        <f>'R.GUI MAIL'!AL52</f>
        <v>0</v>
      </c>
      <c r="V128" s="3476"/>
      <c r="W128" s="3477"/>
      <c r="X128" s="3475">
        <f>'R.GUI MAIL'!AO52</f>
        <v>85</v>
      </c>
      <c r="Y128" s="3477"/>
    </row>
  </sheetData>
  <sheetProtection formatCells="0" formatColumns="0" formatRows="0" insertColumns="0" insertRows="0" insertHyperlinks="0" deleteColumns="0" deleteRows="0" selectLockedCells="1" sort="0" autoFilter="0" pivotTables="0"/>
  <mergeCells count="320">
    <mergeCell ref="O5:O6"/>
    <mergeCell ref="Q5:S6"/>
    <mergeCell ref="U5:U6"/>
    <mergeCell ref="W5:Y6"/>
    <mergeCell ref="A1:Y1"/>
    <mergeCell ref="A3:B3"/>
    <mergeCell ref="A4:A6"/>
    <mergeCell ref="B4:D6"/>
    <mergeCell ref="E4:E6"/>
    <mergeCell ref="F4:F6"/>
    <mergeCell ref="I4:M4"/>
    <mergeCell ref="O4:S4"/>
    <mergeCell ref="U4:Y4"/>
    <mergeCell ref="C3:D3"/>
    <mergeCell ref="E3:H3"/>
    <mergeCell ref="B7:D7"/>
    <mergeCell ref="B8:D8"/>
    <mergeCell ref="B9:D9"/>
    <mergeCell ref="B10:B12"/>
    <mergeCell ref="E10:E12"/>
    <mergeCell ref="B13:B15"/>
    <mergeCell ref="E13:E15"/>
    <mergeCell ref="I5:I6"/>
    <mergeCell ref="K5:M6"/>
    <mergeCell ref="U19:W19"/>
    <mergeCell ref="X19:Y19"/>
    <mergeCell ref="B20:D20"/>
    <mergeCell ref="I20:M20"/>
    <mergeCell ref="O20:Q20"/>
    <mergeCell ref="B16:D17"/>
    <mergeCell ref="B19:D19"/>
    <mergeCell ref="I19:K19"/>
    <mergeCell ref="L19:M19"/>
    <mergeCell ref="O19:Q19"/>
    <mergeCell ref="R19:S19"/>
    <mergeCell ref="U20:W20"/>
    <mergeCell ref="X20:Y20"/>
    <mergeCell ref="R20:T20"/>
    <mergeCell ref="X21:Y21"/>
    <mergeCell ref="B22:D22"/>
    <mergeCell ref="I22:K22"/>
    <mergeCell ref="L22:M22"/>
    <mergeCell ref="B21:D21"/>
    <mergeCell ref="I21:K21"/>
    <mergeCell ref="L21:M21"/>
    <mergeCell ref="O21:Q21"/>
    <mergeCell ref="R21:S21"/>
    <mergeCell ref="U21:W21"/>
    <mergeCell ref="I26:I27"/>
    <mergeCell ref="K26:M27"/>
    <mergeCell ref="O26:O27"/>
    <mergeCell ref="Q26:S27"/>
    <mergeCell ref="U26:U27"/>
    <mergeCell ref="W26:Y27"/>
    <mergeCell ref="X23:Y23"/>
    <mergeCell ref="A24:B24"/>
    <mergeCell ref="A25:A27"/>
    <mergeCell ref="B25:D27"/>
    <mergeCell ref="E25:E27"/>
    <mergeCell ref="F25:F27"/>
    <mergeCell ref="I25:M25"/>
    <mergeCell ref="O25:S25"/>
    <mergeCell ref="U25:Y25"/>
    <mergeCell ref="B23:D23"/>
    <mergeCell ref="I23:K23"/>
    <mergeCell ref="L23:M23"/>
    <mergeCell ref="O23:Q23"/>
    <mergeCell ref="R23:S23"/>
    <mergeCell ref="U23:W23"/>
    <mergeCell ref="C24:D24"/>
    <mergeCell ref="E24:H24"/>
    <mergeCell ref="B37:D38"/>
    <mergeCell ref="B40:D40"/>
    <mergeCell ref="I40:K40"/>
    <mergeCell ref="L40:M40"/>
    <mergeCell ref="O40:Q40"/>
    <mergeCell ref="R40:S40"/>
    <mergeCell ref="B28:D28"/>
    <mergeCell ref="B29:D29"/>
    <mergeCell ref="B30:D30"/>
    <mergeCell ref="B31:B33"/>
    <mergeCell ref="E31:E33"/>
    <mergeCell ref="B34:B36"/>
    <mergeCell ref="E34:E36"/>
    <mergeCell ref="U42:W42"/>
    <mergeCell ref="X42:Y42"/>
    <mergeCell ref="B43:D43"/>
    <mergeCell ref="I43:K43"/>
    <mergeCell ref="L43:M43"/>
    <mergeCell ref="U40:W40"/>
    <mergeCell ref="X40:Y40"/>
    <mergeCell ref="B41:D41"/>
    <mergeCell ref="O41:Q41"/>
    <mergeCell ref="B42:D42"/>
    <mergeCell ref="I42:K42"/>
    <mergeCell ref="L42:M42"/>
    <mergeCell ref="O42:Q42"/>
    <mergeCell ref="R42:S42"/>
    <mergeCell ref="U41:W41"/>
    <mergeCell ref="X41:Y41"/>
    <mergeCell ref="R41:T41"/>
    <mergeCell ref="I47:I48"/>
    <mergeCell ref="K47:M48"/>
    <mergeCell ref="O47:O48"/>
    <mergeCell ref="Q47:S48"/>
    <mergeCell ref="U47:U48"/>
    <mergeCell ref="W47:Y48"/>
    <mergeCell ref="X44:Y44"/>
    <mergeCell ref="A45:B45"/>
    <mergeCell ref="A46:A48"/>
    <mergeCell ref="B46:D48"/>
    <mergeCell ref="E46:E48"/>
    <mergeCell ref="F46:F48"/>
    <mergeCell ref="I46:M46"/>
    <mergeCell ref="O46:S46"/>
    <mergeCell ref="U46:Y46"/>
    <mergeCell ref="B44:D44"/>
    <mergeCell ref="I44:K44"/>
    <mergeCell ref="L44:M44"/>
    <mergeCell ref="O44:Q44"/>
    <mergeCell ref="R44:S44"/>
    <mergeCell ref="U44:W44"/>
    <mergeCell ref="C45:D45"/>
    <mergeCell ref="E45:H45"/>
    <mergeCell ref="B58:D59"/>
    <mergeCell ref="B61:D61"/>
    <mergeCell ref="I61:K61"/>
    <mergeCell ref="L61:M61"/>
    <mergeCell ref="O61:Q61"/>
    <mergeCell ref="R61:S61"/>
    <mergeCell ref="B49:D49"/>
    <mergeCell ref="B50:D50"/>
    <mergeCell ref="B51:D51"/>
    <mergeCell ref="B52:B54"/>
    <mergeCell ref="E52:E54"/>
    <mergeCell ref="B55:B57"/>
    <mergeCell ref="E55:E57"/>
    <mergeCell ref="U63:W63"/>
    <mergeCell ref="X63:Y63"/>
    <mergeCell ref="B64:D64"/>
    <mergeCell ref="I64:K64"/>
    <mergeCell ref="L64:M64"/>
    <mergeCell ref="U61:W61"/>
    <mergeCell ref="X61:Y61"/>
    <mergeCell ref="B62:D62"/>
    <mergeCell ref="O62:Q62"/>
    <mergeCell ref="B63:D63"/>
    <mergeCell ref="I63:K63"/>
    <mergeCell ref="L63:M63"/>
    <mergeCell ref="O63:Q63"/>
    <mergeCell ref="R63:S63"/>
    <mergeCell ref="U62:W62"/>
    <mergeCell ref="X62:Y62"/>
    <mergeCell ref="R62:T62"/>
    <mergeCell ref="I68:I69"/>
    <mergeCell ref="K68:M69"/>
    <mergeCell ref="O68:O69"/>
    <mergeCell ref="Q68:S69"/>
    <mergeCell ref="U68:U69"/>
    <mergeCell ref="W68:Y69"/>
    <mergeCell ref="X65:Y65"/>
    <mergeCell ref="A66:B66"/>
    <mergeCell ref="A67:A69"/>
    <mergeCell ref="B67:D69"/>
    <mergeCell ref="E67:E69"/>
    <mergeCell ref="F67:F69"/>
    <mergeCell ref="I67:M67"/>
    <mergeCell ref="O67:S67"/>
    <mergeCell ref="U67:Y67"/>
    <mergeCell ref="B65:D65"/>
    <mergeCell ref="I65:K65"/>
    <mergeCell ref="L65:M65"/>
    <mergeCell ref="O65:Q65"/>
    <mergeCell ref="R65:S65"/>
    <mergeCell ref="U65:W65"/>
    <mergeCell ref="C66:D66"/>
    <mergeCell ref="E66:H66"/>
    <mergeCell ref="B79:D80"/>
    <mergeCell ref="B82:D82"/>
    <mergeCell ref="I82:K82"/>
    <mergeCell ref="L82:M82"/>
    <mergeCell ref="O82:Q82"/>
    <mergeCell ref="R82:S82"/>
    <mergeCell ref="B70:D70"/>
    <mergeCell ref="B71:D71"/>
    <mergeCell ref="B72:D72"/>
    <mergeCell ref="B73:B75"/>
    <mergeCell ref="E73:E75"/>
    <mergeCell ref="B76:B78"/>
    <mergeCell ref="E76:E78"/>
    <mergeCell ref="U84:W84"/>
    <mergeCell ref="X84:Y84"/>
    <mergeCell ref="B85:D85"/>
    <mergeCell ref="I85:K85"/>
    <mergeCell ref="L85:M85"/>
    <mergeCell ref="U82:W82"/>
    <mergeCell ref="X82:Y82"/>
    <mergeCell ref="B83:D83"/>
    <mergeCell ref="O83:Q83"/>
    <mergeCell ref="B84:D84"/>
    <mergeCell ref="I84:K84"/>
    <mergeCell ref="L84:M84"/>
    <mergeCell ref="O84:Q84"/>
    <mergeCell ref="R84:S84"/>
    <mergeCell ref="U83:W83"/>
    <mergeCell ref="X83:Y83"/>
    <mergeCell ref="R83:T83"/>
    <mergeCell ref="I89:I90"/>
    <mergeCell ref="K89:M90"/>
    <mergeCell ref="O89:O90"/>
    <mergeCell ref="Q89:S90"/>
    <mergeCell ref="U89:U90"/>
    <mergeCell ref="W89:Y90"/>
    <mergeCell ref="X86:Y86"/>
    <mergeCell ref="A87:B87"/>
    <mergeCell ref="A88:A90"/>
    <mergeCell ref="B88:D90"/>
    <mergeCell ref="E88:E90"/>
    <mergeCell ref="F88:F90"/>
    <mergeCell ref="I88:M88"/>
    <mergeCell ref="O88:S88"/>
    <mergeCell ref="U88:Y88"/>
    <mergeCell ref="B86:D86"/>
    <mergeCell ref="I86:K86"/>
    <mergeCell ref="L86:M86"/>
    <mergeCell ref="O86:Q86"/>
    <mergeCell ref="R86:S86"/>
    <mergeCell ref="U86:W86"/>
    <mergeCell ref="C87:D87"/>
    <mergeCell ref="E87:H87"/>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U105:W105"/>
    <mergeCell ref="X105:Y105"/>
    <mergeCell ref="B106:D106"/>
    <mergeCell ref="I106:K106"/>
    <mergeCell ref="L106:M106"/>
    <mergeCell ref="U103:W103"/>
    <mergeCell ref="X103:Y103"/>
    <mergeCell ref="B104:D104"/>
    <mergeCell ref="O104:Q104"/>
    <mergeCell ref="B105:D105"/>
    <mergeCell ref="I105:K105"/>
    <mergeCell ref="L105:M105"/>
    <mergeCell ref="O105:Q105"/>
    <mergeCell ref="R105:S105"/>
    <mergeCell ref="U104:W104"/>
    <mergeCell ref="X104:Y104"/>
    <mergeCell ref="R104:T104"/>
    <mergeCell ref="I110:I111"/>
    <mergeCell ref="K110:M111"/>
    <mergeCell ref="O110:O111"/>
    <mergeCell ref="Q110:S111"/>
    <mergeCell ref="U110:U111"/>
    <mergeCell ref="W110:Y111"/>
    <mergeCell ref="X107:Y107"/>
    <mergeCell ref="A108:B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C108:D108"/>
    <mergeCell ref="E108:H108"/>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U124:W124"/>
    <mergeCell ref="X124:Y124"/>
    <mergeCell ref="B125:D125"/>
    <mergeCell ref="O125:Q125"/>
    <mergeCell ref="B126:D126"/>
    <mergeCell ref="I126:K126"/>
    <mergeCell ref="L126:M126"/>
    <mergeCell ref="O126:Q126"/>
    <mergeCell ref="R126:S126"/>
    <mergeCell ref="U125:W125"/>
    <mergeCell ref="X125:Y125"/>
    <mergeCell ref="R125:T125"/>
    <mergeCell ref="X128:Y128"/>
    <mergeCell ref="B128:D128"/>
    <mergeCell ref="I128:K128"/>
    <mergeCell ref="L128:M128"/>
    <mergeCell ref="O128:Q128"/>
    <mergeCell ref="R128:S128"/>
    <mergeCell ref="U128:W128"/>
    <mergeCell ref="U126:W126"/>
    <mergeCell ref="X126:Y126"/>
    <mergeCell ref="B127:D127"/>
    <mergeCell ref="I127:K127"/>
    <mergeCell ref="L127:M127"/>
  </mergeCells>
  <phoneticPr fontId="7" type="noConversion"/>
  <conditionalFormatting sqref="O71 O50 O29 I8:I9 O8 O113 U113:U114 I29:I30 U29:U30 I50:I51 U50:U51 I71:I72 U71:U72 I92:I93 U92:U93 I113:I114 O92 U8:U9">
    <cfRule type="expression" dxfId="381" priority="148">
      <formula>I8&lt;10</formula>
    </cfRule>
    <cfRule type="expression" dxfId="380" priority="149">
      <formula>I8&gt;15</formula>
    </cfRule>
  </conditionalFormatting>
  <conditionalFormatting sqref="I73 I76 O73 U73 I115 I52 I55 O52 U52 I118 I31 I34 O31 U31 U115 I10 I13 O10 U10 O115 O94 I94 I97 U94">
    <cfRule type="expression" dxfId="379" priority="146">
      <formula>I10&lt;40</formula>
    </cfRule>
    <cfRule type="expression" dxfId="378" priority="147">
      <formula>I10&gt;60</formula>
    </cfRule>
  </conditionalFormatting>
  <conditionalFormatting sqref="I74 O74 U74 I77 I116 I56 I119 I53 O53 U53 I32 O32 U32 I35 U116 O116 U11 I14 I11 O11 O95 I95 I98 U95">
    <cfRule type="expression" dxfId="377" priority="144">
      <formula>I11&lt;5.2</formula>
    </cfRule>
    <cfRule type="expression" dxfId="376" priority="145">
      <formula>I11&gt;7.8</formula>
    </cfRule>
  </conditionalFormatting>
  <conditionalFormatting sqref="I75 I78 O75 U75 I117 I54 I57 O54 U54 I120 I33 I36 O33 U33 U117 I12 I15 O12 U12 O117 O96 I96 I99 U96">
    <cfRule type="expression" dxfId="375" priority="143">
      <formula>I12&gt;0.4</formula>
    </cfRule>
  </conditionalFormatting>
  <conditionalFormatting sqref="I79 O79 U79 I58 O58 U58 I37 O37 U37 I16 O16 U16 O100 I100 U100 O121 I121 U121">
    <cfRule type="expression" dxfId="374" priority="141">
      <formula>I16&lt;0.8</formula>
    </cfRule>
    <cfRule type="expression" dxfId="373" priority="142">
      <formula>I16&gt;1.2</formula>
    </cfRule>
  </conditionalFormatting>
  <conditionalFormatting sqref="I80 U80 O80 U59 I59 O59 U38 I38 O38 U17 O17 I17 O101 I101 U101 O122 I122 U122">
    <cfRule type="expression" dxfId="372" priority="139">
      <formula>I17&lt;8</formula>
    </cfRule>
    <cfRule type="expression" dxfId="371" priority="140">
      <formula>I17&gt;10</formula>
    </cfRule>
  </conditionalFormatting>
  <conditionalFormatting sqref="O20 R20 U20 X20 O41 R41 U41 X41 O62 R62 U62 X62 O83 R83 U83 X83 O104 R104 U104 X104 O125 R125 U125 X125">
    <cfRule type="expression" dxfId="370" priority="137">
      <formula>O20&lt;55</formula>
    </cfRule>
    <cfRule type="expression" dxfId="369" priority="138">
      <formula>O20&gt;65</formula>
    </cfRule>
  </conditionalFormatting>
  <conditionalFormatting sqref="I84:I85 X84 R84:S84 U105 L84:L86 I63:I64 X63 L63:L64 R63:S63 U84 I42:I43 X42 L42:L43 R42:S42 U63 I21:I22 O21 X21 U42 R21:S21 L21:L22 I105:I106 X105 L105:L106 R105:S105 U21 O42 O63 O84 O105 I126:I127 O126 X126 L126:L127 R126:S126 U126">
    <cfRule type="expression" dxfId="368" priority="135">
      <formula>I21&lt;65</formula>
    </cfRule>
    <cfRule type="expression" dxfId="367" priority="136">
      <formula>I21&gt;85</formula>
    </cfRule>
  </conditionalFormatting>
  <conditionalFormatting sqref="I86 U86 L86 R86:S86 X86 I65 U65 L65 R65:S65 X65 I44 U44 L44 R44:S44 X44 I23 O23 U23 X23 R23:S23 L23 I107 U107 L107 R107:S107 X107 O44 O65 O86 O107 I128 U128 L128 R128:S128 X128 O128">
    <cfRule type="expression" dxfId="366" priority="133">
      <formula>I23&lt;80</formula>
    </cfRule>
    <cfRule type="expression" dxfId="365" priority="134">
      <formula>I23&gt;90</formula>
    </cfRule>
  </conditionalFormatting>
  <conditionalFormatting sqref="U28 U49 U70 U91 U112 U7 O112 O91 O70 O49 O28 O7">
    <cfRule type="expression" dxfId="364" priority="110">
      <formula>O7&lt;30</formula>
    </cfRule>
    <cfRule type="expression" dxfId="363" priority="111">
      <formula>O7&gt;50</formula>
    </cfRule>
  </conditionalFormatting>
  <conditionalFormatting sqref="O41">
    <cfRule type="expression" dxfId="362" priority="46">
      <formula>U41&lt;1</formula>
    </cfRule>
  </conditionalFormatting>
  <conditionalFormatting sqref="R41 U41 X41">
    <cfRule type="expression" dxfId="361" priority="43">
      <formula>X41&lt;1</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3.xml><?xml version="1.0" encoding="utf-8"?>
<worksheet xmlns="http://schemas.openxmlformats.org/spreadsheetml/2006/main" xmlns:r="http://schemas.openxmlformats.org/officeDocument/2006/relationships">
  <sheetPr codeName="Sheet34">
    <tabColor rgb="FFFFC000"/>
  </sheetPr>
  <dimension ref="A1:I186"/>
  <sheetViews>
    <sheetView workbookViewId="0"/>
  </sheetViews>
  <sheetFormatPr defaultColWidth="4.125" defaultRowHeight="12.75" customHeight="1"/>
  <cols>
    <col min="1" max="1" width="2.75" style="666" customWidth="1"/>
    <col min="2" max="2" width="16.875" style="666" customWidth="1"/>
    <col min="3" max="4" width="9.5" style="668" customWidth="1"/>
    <col min="5" max="8" width="7" style="668" customWidth="1"/>
    <col min="9" max="9" width="4.875" style="668" customWidth="1"/>
    <col min="10" max="35" width="4.125" style="666"/>
    <col min="36" max="36" width="4.125" style="666" customWidth="1"/>
    <col min="37" max="16384" width="4.125" style="666"/>
  </cols>
  <sheetData>
    <row r="1" spans="1:9" ht="18" customHeight="1">
      <c r="B1" s="667"/>
      <c r="C1" s="2035" t="str">
        <f>MENU!$AC$9</f>
        <v>Thứ 4,</v>
      </c>
    </row>
    <row r="2" spans="1:9" ht="12.75" customHeight="1">
      <c r="B2" s="669" t="s">
        <v>739</v>
      </c>
      <c r="C2" s="670" t="str">
        <f>'1.xi den'!G3</f>
        <v>2024/05/22</v>
      </c>
    </row>
    <row r="3" spans="1:9" s="673" customFormat="1" ht="12.75" customHeight="1">
      <c r="A3" s="3784" t="s">
        <v>7</v>
      </c>
      <c r="B3" s="3786" t="s">
        <v>756</v>
      </c>
      <c r="C3" s="671"/>
      <c r="D3" s="672" t="s">
        <v>155</v>
      </c>
      <c r="E3" s="672"/>
      <c r="F3" s="672"/>
      <c r="G3" s="672"/>
      <c r="H3" s="672"/>
      <c r="I3" s="672"/>
    </row>
    <row r="4" spans="1:9" s="673" customFormat="1" ht="12.75" customHeight="1" thickBot="1">
      <c r="A4" s="3785"/>
      <c r="B4" s="3787"/>
      <c r="C4" s="674"/>
      <c r="D4" s="675" t="s">
        <v>385</v>
      </c>
      <c r="E4" s="675" t="s">
        <v>386</v>
      </c>
      <c r="F4" s="675" t="s">
        <v>387</v>
      </c>
      <c r="G4" s="675" t="s">
        <v>388</v>
      </c>
      <c r="H4" s="675" t="s">
        <v>389</v>
      </c>
      <c r="I4" s="675" t="s">
        <v>390</v>
      </c>
    </row>
    <row r="5" spans="1:9" s="679" customFormat="1" ht="12.75" customHeight="1">
      <c r="A5" s="321">
        <v>1</v>
      </c>
      <c r="B5" s="137" t="s">
        <v>757</v>
      </c>
      <c r="C5" s="392" t="s">
        <v>758</v>
      </c>
      <c r="D5" s="676">
        <f>'2.RL E'!F7</f>
        <v>0</v>
      </c>
      <c r="E5" s="677">
        <f>'2.RL E'!J7</f>
        <v>0</v>
      </c>
      <c r="F5" s="677">
        <f>'2.RL E'!N7</f>
        <v>0</v>
      </c>
      <c r="G5" s="677">
        <f>'2.RL E'!F28</f>
        <v>0</v>
      </c>
      <c r="H5" s="677">
        <f>'2.RL E'!J28</f>
        <v>0</v>
      </c>
      <c r="I5" s="678">
        <f>'2.RL E'!N28</f>
        <v>0</v>
      </c>
    </row>
    <row r="6" spans="1:9" s="679" customFormat="1" ht="12.75" hidden="1" customHeight="1">
      <c r="A6" s="321"/>
      <c r="B6" s="137" t="s">
        <v>757</v>
      </c>
      <c r="C6" s="392" t="s">
        <v>758</v>
      </c>
      <c r="D6" s="680">
        <f>'2.RL E'!F8</f>
        <v>0</v>
      </c>
      <c r="E6" s="681">
        <f>'2.RL E'!J8</f>
        <v>0</v>
      </c>
      <c r="F6" s="681">
        <f>'2.RL E'!N8</f>
        <v>0</v>
      </c>
      <c r="G6" s="681">
        <f>'2.RL E'!F29</f>
        <v>0</v>
      </c>
      <c r="H6" s="681">
        <f>'2.RL E'!J29</f>
        <v>0</v>
      </c>
      <c r="I6" s="682">
        <f>'2.RL E'!N29</f>
        <v>0</v>
      </c>
    </row>
    <row r="7" spans="1:9" s="679" customFormat="1" ht="12.75" hidden="1" customHeight="1">
      <c r="A7" s="321">
        <v>2</v>
      </c>
      <c r="B7" s="3782" t="s">
        <v>759</v>
      </c>
      <c r="C7" s="683" t="s">
        <v>608</v>
      </c>
      <c r="D7" s="680">
        <f>'2.RL E'!F9</f>
        <v>0</v>
      </c>
      <c r="E7" s="681">
        <f>'2.RL E'!J9</f>
        <v>0</v>
      </c>
      <c r="F7" s="681">
        <f>'2.RL E'!N9</f>
        <v>0</v>
      </c>
      <c r="G7" s="681">
        <f>'2.RL E'!F30</f>
        <v>0</v>
      </c>
      <c r="H7" s="681">
        <f>'2.RL E'!J30</f>
        <v>0</v>
      </c>
      <c r="I7" s="682">
        <f>'2.RL E'!N30</f>
        <v>0</v>
      </c>
    </row>
    <row r="8" spans="1:9" s="679" customFormat="1" ht="12.75" hidden="1" customHeight="1">
      <c r="A8" s="321">
        <v>3</v>
      </c>
      <c r="B8" s="3788"/>
      <c r="C8" s="683" t="s">
        <v>612</v>
      </c>
      <c r="D8" s="680">
        <f>'2.RL E'!F10</f>
        <v>0</v>
      </c>
      <c r="E8" s="681">
        <f>'2.RL E'!J10</f>
        <v>0</v>
      </c>
      <c r="F8" s="681">
        <f>'2.RL E'!N10</f>
        <v>0</v>
      </c>
      <c r="G8" s="681">
        <f>'2.RL E'!F31</f>
        <v>0</v>
      </c>
      <c r="H8" s="681">
        <f>'2.RL E'!J31</f>
        <v>0</v>
      </c>
      <c r="I8" s="682">
        <f>'2.RL E'!N31</f>
        <v>0</v>
      </c>
    </row>
    <row r="9" spans="1:9" s="679" customFormat="1" ht="12.75" hidden="1" customHeight="1">
      <c r="A9" s="321">
        <v>4</v>
      </c>
      <c r="B9" s="3783"/>
      <c r="C9" s="683" t="s">
        <v>614</v>
      </c>
      <c r="D9" s="680">
        <f>'2.RL E'!F11</f>
        <v>0</v>
      </c>
      <c r="E9" s="681">
        <f>'2.RL E'!J11</f>
        <v>0</v>
      </c>
      <c r="F9" s="681">
        <f>'2.RL E'!N11</f>
        <v>0</v>
      </c>
      <c r="G9" s="681">
        <f>'2.RL E'!F32</f>
        <v>0</v>
      </c>
      <c r="H9" s="681">
        <f>'2.RL E'!J32</f>
        <v>0</v>
      </c>
      <c r="I9" s="682">
        <f>'2.RL E'!N32</f>
        <v>0</v>
      </c>
    </row>
    <row r="10" spans="1:9" s="679" customFormat="1" ht="12.75" hidden="1" customHeight="1">
      <c r="A10" s="321">
        <v>5</v>
      </c>
      <c r="B10" s="3782" t="s">
        <v>760</v>
      </c>
      <c r="C10" s="683" t="s">
        <v>608</v>
      </c>
      <c r="D10" s="680">
        <f>'2.RL E'!F12</f>
        <v>0</v>
      </c>
      <c r="E10" s="681">
        <f>'2.RL E'!J12</f>
        <v>0</v>
      </c>
      <c r="F10" s="681">
        <f>'2.RL E'!N12</f>
        <v>0</v>
      </c>
      <c r="G10" s="681">
        <f>'2.RL E'!F33</f>
        <v>0</v>
      </c>
      <c r="H10" s="681">
        <f>'2.RL E'!J33</f>
        <v>0</v>
      </c>
      <c r="I10" s="682">
        <f>'2.RL E'!N33</f>
        <v>0</v>
      </c>
    </row>
    <row r="11" spans="1:9" s="679" customFormat="1" ht="12.75" hidden="1" customHeight="1">
      <c r="A11" s="321">
        <v>6</v>
      </c>
      <c r="B11" s="3788"/>
      <c r="C11" s="683" t="s">
        <v>612</v>
      </c>
      <c r="D11" s="680">
        <f>'2.RL E'!F13</f>
        <v>0</v>
      </c>
      <c r="E11" s="681">
        <f>'2.RL E'!J13</f>
        <v>0</v>
      </c>
      <c r="F11" s="681">
        <f>'2.RL E'!N13</f>
        <v>0</v>
      </c>
      <c r="G11" s="681">
        <f>'2.RL E'!F34</f>
        <v>0</v>
      </c>
      <c r="H11" s="681">
        <f>'2.RL E'!J34</f>
        <v>0</v>
      </c>
      <c r="I11" s="682">
        <f>'2.RL E'!N34</f>
        <v>0</v>
      </c>
    </row>
    <row r="12" spans="1:9" s="679" customFormat="1" ht="12.75" hidden="1" customHeight="1">
      <c r="A12" s="321">
        <v>7</v>
      </c>
      <c r="B12" s="3783"/>
      <c r="C12" s="683" t="s">
        <v>614</v>
      </c>
      <c r="D12" s="680">
        <f>'2.RL E'!F14</f>
        <v>0</v>
      </c>
      <c r="E12" s="681">
        <f>'2.RL E'!J14</f>
        <v>0</v>
      </c>
      <c r="F12" s="681">
        <f>'2.RL E'!N14</f>
        <v>0</v>
      </c>
      <c r="G12" s="681">
        <f>'2.RL E'!F35</f>
        <v>0</v>
      </c>
      <c r="H12" s="681">
        <f>'2.RL E'!J35</f>
        <v>0</v>
      </c>
      <c r="I12" s="682">
        <f>'2.RL E'!N35</f>
        <v>0</v>
      </c>
    </row>
    <row r="13" spans="1:9" s="684" customFormat="1" ht="12.75" hidden="1" customHeight="1">
      <c r="A13" s="321">
        <v>8</v>
      </c>
      <c r="B13" s="3782" t="s">
        <v>761</v>
      </c>
      <c r="C13" s="392" t="s">
        <v>762</v>
      </c>
      <c r="D13" s="680">
        <f>'2.RL E'!F15</f>
        <v>0</v>
      </c>
      <c r="E13" s="681">
        <f>'2.RL E'!J15</f>
        <v>0</v>
      </c>
      <c r="F13" s="681">
        <f>'2.RL E'!N15</f>
        <v>0</v>
      </c>
      <c r="G13" s="681">
        <f>'2.RL E'!F36</f>
        <v>0</v>
      </c>
      <c r="H13" s="681">
        <f>'2.RL E'!J36</f>
        <v>0</v>
      </c>
      <c r="I13" s="682">
        <f>'2.RL E'!N36</f>
        <v>0</v>
      </c>
    </row>
    <row r="14" spans="1:9" s="684" customFormat="1" ht="12.75" hidden="1" customHeight="1">
      <c r="A14" s="321">
        <v>9</v>
      </c>
      <c r="B14" s="3783"/>
      <c r="C14" s="392" t="s">
        <v>620</v>
      </c>
      <c r="D14" s="680">
        <f>'2.RL E'!F16</f>
        <v>0</v>
      </c>
      <c r="E14" s="681">
        <f>'2.RL E'!J16</f>
        <v>0</v>
      </c>
      <c r="F14" s="681">
        <f>'2.RL E'!N16</f>
        <v>0</v>
      </c>
      <c r="G14" s="681">
        <f>'2.RL E'!F37</f>
        <v>0</v>
      </c>
      <c r="H14" s="681">
        <f>'2.RL E'!J37</f>
        <v>0</v>
      </c>
      <c r="I14" s="682">
        <f>'2.RL E'!N37</f>
        <v>0</v>
      </c>
    </row>
    <row r="15" spans="1:9" s="684" customFormat="1" ht="12.75" hidden="1" customHeight="1">
      <c r="A15" s="3789" t="s">
        <v>2</v>
      </c>
      <c r="B15" s="3789"/>
      <c r="C15" s="671"/>
      <c r="D15" s="685" t="s">
        <v>157</v>
      </c>
      <c r="E15" s="672"/>
      <c r="F15" s="672"/>
      <c r="G15" s="672"/>
      <c r="H15" s="672"/>
      <c r="I15" s="686"/>
    </row>
    <row r="16" spans="1:9" s="684" customFormat="1" ht="12.75" hidden="1" customHeight="1">
      <c r="A16" s="149" t="s">
        <v>54</v>
      </c>
      <c r="B16" s="687" t="s">
        <v>763</v>
      </c>
      <c r="C16" s="671"/>
      <c r="D16" s="688" t="s">
        <v>385</v>
      </c>
      <c r="E16" s="675" t="s">
        <v>386</v>
      </c>
      <c r="F16" s="675" t="s">
        <v>387</v>
      </c>
      <c r="G16" s="675" t="s">
        <v>388</v>
      </c>
      <c r="H16" s="675" t="s">
        <v>389</v>
      </c>
      <c r="I16" s="689" t="s">
        <v>390</v>
      </c>
    </row>
    <row r="17" spans="1:9" s="684" customFormat="1" ht="12.75" hidden="1" customHeight="1">
      <c r="A17" s="321">
        <v>1</v>
      </c>
      <c r="B17" s="690" t="s">
        <v>445</v>
      </c>
      <c r="C17" s="691"/>
      <c r="D17" s="680">
        <f>'2.RL E'!F19</f>
        <v>0</v>
      </c>
      <c r="E17" s="681">
        <f>'2.RL E'!J19</f>
        <v>0</v>
      </c>
      <c r="F17" s="681">
        <f>'2.RL E'!N19</f>
        <v>0</v>
      </c>
      <c r="G17" s="681">
        <f>'2.RL E'!F40</f>
        <v>0</v>
      </c>
      <c r="H17" s="681">
        <f>'2.RL E'!J40</f>
        <v>0</v>
      </c>
      <c r="I17" s="686">
        <f>'2.RL E'!N40</f>
        <v>0</v>
      </c>
    </row>
    <row r="18" spans="1:9" s="684" customFormat="1" ht="12.75" hidden="1" customHeight="1">
      <c r="A18" s="321">
        <v>2</v>
      </c>
      <c r="B18" s="690" t="s">
        <v>447</v>
      </c>
      <c r="C18" s="691"/>
      <c r="D18" s="680">
        <f>'2.RL E'!F20</f>
        <v>0</v>
      </c>
      <c r="E18" s="681">
        <f>'2.RL E'!J20</f>
        <v>0</v>
      </c>
      <c r="F18" s="681">
        <f>'2.RL E'!N20</f>
        <v>0</v>
      </c>
      <c r="G18" s="681">
        <f>'2.RL E'!F41</f>
        <v>0</v>
      </c>
      <c r="H18" s="681">
        <f>'2.RL E'!J41</f>
        <v>0</v>
      </c>
      <c r="I18" s="686">
        <f>'2.RL E'!N41</f>
        <v>0</v>
      </c>
    </row>
    <row r="19" spans="1:9" s="684" customFormat="1" ht="12.75" hidden="1" customHeight="1">
      <c r="A19" s="321">
        <v>3</v>
      </c>
      <c r="B19" s="690" t="s">
        <v>440</v>
      </c>
      <c r="C19" s="691"/>
      <c r="D19" s="680">
        <f>'2.RL E'!F21</f>
        <v>0</v>
      </c>
      <c r="E19" s="681">
        <f>'2.RL E'!J21</f>
        <v>0</v>
      </c>
      <c r="F19" s="681">
        <f>'2.RL E'!N21</f>
        <v>0</v>
      </c>
      <c r="G19" s="681">
        <f>'2.RL E'!F42</f>
        <v>0</v>
      </c>
      <c r="H19" s="681">
        <f>'2.RL E'!J42</f>
        <v>0</v>
      </c>
      <c r="I19" s="686">
        <f>'2.RL E'!N42</f>
        <v>0</v>
      </c>
    </row>
    <row r="20" spans="1:9" s="684" customFormat="1" ht="12.75" hidden="1" customHeight="1">
      <c r="A20" s="321">
        <v>4</v>
      </c>
      <c r="B20" s="690" t="s">
        <v>764</v>
      </c>
      <c r="C20" s="691"/>
      <c r="D20" s="680">
        <f>'2.RL E'!F22</f>
        <v>0</v>
      </c>
      <c r="E20" s="681">
        <f>'2.RL E'!J22</f>
        <v>0</v>
      </c>
      <c r="F20" s="681">
        <f>'2.RL E'!N22</f>
        <v>0</v>
      </c>
      <c r="G20" s="681">
        <f>'2.RL E'!F43</f>
        <v>0</v>
      </c>
      <c r="H20" s="681">
        <f>'2.RL E'!J43</f>
        <v>0</v>
      </c>
      <c r="I20" s="686">
        <f>'2.RL E'!N43</f>
        <v>0</v>
      </c>
    </row>
    <row r="21" spans="1:9" ht="12.75" hidden="1" customHeight="1">
      <c r="A21" s="3784" t="s">
        <v>7</v>
      </c>
      <c r="B21" s="3786" t="s">
        <v>756</v>
      </c>
      <c r="C21" s="671"/>
      <c r="D21" s="685" t="s">
        <v>156</v>
      </c>
      <c r="E21" s="672"/>
      <c r="F21" s="672"/>
      <c r="G21" s="672"/>
      <c r="H21" s="672"/>
      <c r="I21" s="692"/>
    </row>
    <row r="22" spans="1:9" ht="12.75" hidden="1" customHeight="1">
      <c r="A22" s="3785"/>
      <c r="B22" s="3787"/>
      <c r="C22" s="674"/>
      <c r="D22" s="688" t="s">
        <v>385</v>
      </c>
      <c r="E22" s="675" t="s">
        <v>386</v>
      </c>
      <c r="F22" s="675" t="s">
        <v>387</v>
      </c>
      <c r="G22" s="675" t="s">
        <v>388</v>
      </c>
      <c r="H22" s="675" t="s">
        <v>389</v>
      </c>
      <c r="I22" s="689" t="s">
        <v>390</v>
      </c>
    </row>
    <row r="23" spans="1:9" ht="12.75" hidden="1" customHeight="1">
      <c r="A23" s="321">
        <v>1</v>
      </c>
      <c r="B23" s="137" t="s">
        <v>757</v>
      </c>
      <c r="C23" s="392"/>
      <c r="D23" s="693">
        <f>'2.RL E'!H7</f>
        <v>292.1875</v>
      </c>
      <c r="E23" s="694">
        <f>'2.RL E'!L7</f>
        <v>292.1875</v>
      </c>
      <c r="F23" s="694">
        <f>'2.RL E'!P7</f>
        <v>292.1875</v>
      </c>
      <c r="G23" s="694">
        <f>'2.RL E'!H28</f>
        <v>292.1875</v>
      </c>
      <c r="H23" s="694">
        <f>'2.RL E'!L28</f>
        <v>292.1875</v>
      </c>
      <c r="I23" s="695">
        <f>'2.RL E'!P28</f>
        <v>292.1875</v>
      </c>
    </row>
    <row r="24" spans="1:9" ht="12.75" hidden="1" customHeight="1">
      <c r="A24" s="321"/>
      <c r="B24" s="137" t="s">
        <v>757</v>
      </c>
      <c r="C24" s="392"/>
      <c r="D24" s="693">
        <f>'2.RL E'!H8</f>
        <v>292.1875</v>
      </c>
      <c r="E24" s="694">
        <f>'2.RL E'!L8</f>
        <v>292.1875</v>
      </c>
      <c r="F24" s="694">
        <f>'2.RL E'!P8</f>
        <v>292.1875</v>
      </c>
      <c r="G24" s="694">
        <f>'2.RL E'!H29</f>
        <v>292.1875</v>
      </c>
      <c r="H24" s="694">
        <f>'2.RL E'!L29</f>
        <v>292.1875</v>
      </c>
      <c r="I24" s="695">
        <f>'2.RL E'!P29</f>
        <v>292.1875</v>
      </c>
    </row>
    <row r="25" spans="1:9" ht="12.75" hidden="1" customHeight="1">
      <c r="A25" s="321">
        <v>2</v>
      </c>
      <c r="B25" s="3782" t="s">
        <v>759</v>
      </c>
      <c r="C25" s="392"/>
      <c r="D25" s="693">
        <f>'2.RL E'!H9</f>
        <v>69.400000000000006</v>
      </c>
      <c r="E25" s="694">
        <f>'2.RL E'!L9</f>
        <v>69.400000000000006</v>
      </c>
      <c r="F25" s="694">
        <f>'2.RL E'!P9</f>
        <v>69.400000000000006</v>
      </c>
      <c r="G25" s="694">
        <f>'2.RL E'!H30</f>
        <v>69.400000000000006</v>
      </c>
      <c r="H25" s="694">
        <f>'2.RL E'!L30</f>
        <v>69.400000000000006</v>
      </c>
      <c r="I25" s="695">
        <f>'2.RL E'!P30</f>
        <v>69.400000000000006</v>
      </c>
    </row>
    <row r="26" spans="1:9" ht="12.75" hidden="1" customHeight="1">
      <c r="A26" s="321">
        <v>3</v>
      </c>
      <c r="B26" s="3788"/>
      <c r="C26" s="392"/>
      <c r="D26" s="693">
        <f>'2.RL E'!H10</f>
        <v>4.5110000000000001</v>
      </c>
      <c r="E26" s="694">
        <f>'2.RL E'!L10</f>
        <v>4.5110000000000001</v>
      </c>
      <c r="F26" s="694">
        <f>'2.RL E'!P10</f>
        <v>4.5110000000000001</v>
      </c>
      <c r="G26" s="694">
        <f>'2.RL E'!H31</f>
        <v>4.5110000000000001</v>
      </c>
      <c r="H26" s="694">
        <f>'2.RL E'!L31</f>
        <v>4.5110000000000001</v>
      </c>
      <c r="I26" s="695">
        <f>'2.RL E'!P31</f>
        <v>4.5110000000000001</v>
      </c>
    </row>
    <row r="27" spans="1:9" ht="12.75" hidden="1" customHeight="1">
      <c r="A27" s="321">
        <v>4</v>
      </c>
      <c r="B27" s="3783"/>
      <c r="C27" s="392"/>
      <c r="D27" s="693">
        <f>'2.RL E'!H11</f>
        <v>0</v>
      </c>
      <c r="E27" s="694">
        <f>'2.RL E'!L11</f>
        <v>0</v>
      </c>
      <c r="F27" s="694">
        <f>'2.RL E'!P11</f>
        <v>0</v>
      </c>
      <c r="G27" s="694">
        <f>'2.RL E'!H32</f>
        <v>0</v>
      </c>
      <c r="H27" s="694">
        <f>'2.RL E'!L32</f>
        <v>0</v>
      </c>
      <c r="I27" s="695" t="str">
        <f>'2.RL E'!P32</f>
        <v>N/A</v>
      </c>
    </row>
    <row r="28" spans="1:9" ht="12.75" hidden="1" customHeight="1">
      <c r="A28" s="321">
        <v>5</v>
      </c>
      <c r="B28" s="3782" t="s">
        <v>760</v>
      </c>
      <c r="C28" s="392"/>
      <c r="D28" s="693">
        <f>'2.RL E'!H12</f>
        <v>69.400000000000006</v>
      </c>
      <c r="E28" s="694">
        <f>'2.RL E'!L12</f>
        <v>69.400000000000006</v>
      </c>
      <c r="F28" s="694">
        <f>'2.RL E'!P12</f>
        <v>69.400000000000006</v>
      </c>
      <c r="G28" s="694">
        <f>'2.RL E'!H33</f>
        <v>69.400000000000006</v>
      </c>
      <c r="H28" s="694">
        <f>'2.RL E'!L33</f>
        <v>69.400000000000006</v>
      </c>
      <c r="I28" s="695">
        <f>'2.RL E'!P33</f>
        <v>69.400000000000006</v>
      </c>
    </row>
    <row r="29" spans="1:9" ht="12.75" hidden="1" customHeight="1">
      <c r="A29" s="321">
        <v>6</v>
      </c>
      <c r="B29" s="3788"/>
      <c r="C29" s="392"/>
      <c r="D29" s="693">
        <f>'2.RL E'!H13</f>
        <v>4.5110000000000001</v>
      </c>
      <c r="E29" s="694">
        <f>'2.RL E'!L13</f>
        <v>4.5110000000000001</v>
      </c>
      <c r="F29" s="694">
        <f>'2.RL E'!P13</f>
        <v>4.5110000000000001</v>
      </c>
      <c r="G29" s="694">
        <f>'2.RL E'!H34</f>
        <v>4.5110000000000001</v>
      </c>
      <c r="H29" s="694">
        <f>'2.RL E'!L34</f>
        <v>4.5110000000000001</v>
      </c>
      <c r="I29" s="695">
        <f>'2.RL E'!P34</f>
        <v>4.5110000000000001</v>
      </c>
    </row>
    <row r="30" spans="1:9" ht="12.75" hidden="1" customHeight="1">
      <c r="A30" s="321">
        <v>7</v>
      </c>
      <c r="B30" s="3783"/>
      <c r="C30" s="392"/>
      <c r="D30" s="693">
        <f>'2.RL E'!H14</f>
        <v>0</v>
      </c>
      <c r="E30" s="694">
        <f>'2.RL E'!L14</f>
        <v>0</v>
      </c>
      <c r="F30" s="694">
        <f>'2.RL E'!P14</f>
        <v>0</v>
      </c>
      <c r="G30" s="694">
        <f>'2.RL E'!H35</f>
        <v>0</v>
      </c>
      <c r="H30" s="694">
        <f>'2.RL E'!L35</f>
        <v>0</v>
      </c>
      <c r="I30" s="695" t="str">
        <f>'2.RL E'!P35</f>
        <v>N/A</v>
      </c>
    </row>
    <row r="31" spans="1:9" ht="12.75" hidden="1" customHeight="1">
      <c r="A31" s="321">
        <v>8</v>
      </c>
      <c r="B31" s="3782" t="s">
        <v>761</v>
      </c>
      <c r="C31" s="392"/>
      <c r="D31" s="693">
        <f>'2.RL E'!H15</f>
        <v>4.3680000000000003</v>
      </c>
      <c r="E31" s="694">
        <f>'2.RL E'!L15</f>
        <v>4.3680000000000003</v>
      </c>
      <c r="F31" s="694">
        <f>'2.RL E'!P15</f>
        <v>4.3680000000000003</v>
      </c>
      <c r="G31" s="694">
        <f>'2.RL E'!H36</f>
        <v>4.3680000000000003</v>
      </c>
      <c r="H31" s="694">
        <f>'2.RL E'!L36</f>
        <v>4.3680000000000003</v>
      </c>
      <c r="I31" s="695">
        <f>'2.RL E'!P36</f>
        <v>4.3680000000000003</v>
      </c>
    </row>
    <row r="32" spans="1:9" ht="12.75" hidden="1" customHeight="1">
      <c r="A32" s="321">
        <v>9</v>
      </c>
      <c r="B32" s="3783"/>
      <c r="C32" s="392"/>
      <c r="D32" s="693">
        <f>'2.RL E'!H16</f>
        <v>0</v>
      </c>
      <c r="E32" s="694">
        <f>'2.RL E'!L16</f>
        <v>0</v>
      </c>
      <c r="F32" s="694">
        <f>'2.RL E'!P16</f>
        <v>0</v>
      </c>
      <c r="G32" s="694">
        <f>'2.RL E'!H37</f>
        <v>0</v>
      </c>
      <c r="H32" s="694">
        <f>'2.RL E'!L37</f>
        <v>0</v>
      </c>
      <c r="I32" s="695">
        <f>'2.RL E'!P37</f>
        <v>0</v>
      </c>
    </row>
    <row r="33" spans="1:9" ht="12.75" hidden="1" customHeight="1">
      <c r="D33" s="696"/>
      <c r="I33" s="692"/>
    </row>
    <row r="34" spans="1:9" ht="12.75" hidden="1" customHeight="1">
      <c r="B34" s="669" t="s">
        <v>912</v>
      </c>
      <c r="C34" s="697"/>
      <c r="D34" s="696"/>
      <c r="I34" s="692"/>
    </row>
    <row r="35" spans="1:9" ht="12.75" hidden="1" customHeight="1">
      <c r="A35" s="3784" t="s">
        <v>7</v>
      </c>
      <c r="B35" s="3786" t="s">
        <v>756</v>
      </c>
      <c r="C35" s="671"/>
      <c r="D35" s="685" t="s">
        <v>155</v>
      </c>
      <c r="E35" s="672"/>
      <c r="F35" s="672"/>
      <c r="G35" s="672"/>
      <c r="H35" s="672"/>
      <c r="I35" s="692"/>
    </row>
    <row r="36" spans="1:9" ht="12.75" hidden="1" customHeight="1">
      <c r="A36" s="3785"/>
      <c r="B36" s="3787"/>
      <c r="C36" s="674"/>
      <c r="D36" s="688" t="s">
        <v>385</v>
      </c>
      <c r="E36" s="675" t="s">
        <v>386</v>
      </c>
      <c r="F36" s="675" t="s">
        <v>387</v>
      </c>
      <c r="G36" s="675" t="s">
        <v>388</v>
      </c>
      <c r="H36" s="675" t="s">
        <v>389</v>
      </c>
      <c r="I36" s="689" t="s">
        <v>390</v>
      </c>
    </row>
    <row r="37" spans="1:9" ht="12.75" hidden="1" customHeight="1">
      <c r="A37" s="321">
        <v>1</v>
      </c>
      <c r="B37" s="698" t="s">
        <v>449</v>
      </c>
      <c r="C37" s="392"/>
      <c r="D37" s="680">
        <f>'3.RL G'!E7</f>
        <v>0</v>
      </c>
      <c r="E37" s="681">
        <f>'3.RL G'!I7</f>
        <v>0</v>
      </c>
      <c r="F37" s="681">
        <f>'3.RL G'!M7</f>
        <v>0</v>
      </c>
      <c r="G37" s="681">
        <f>'3.RL G'!E24</f>
        <v>0</v>
      </c>
      <c r="H37" s="681">
        <f>'3.RL G'!I24</f>
        <v>0</v>
      </c>
      <c r="I37" s="692">
        <f>'3.RL G'!M24</f>
        <v>0</v>
      </c>
    </row>
    <row r="38" spans="1:9" ht="12.75" hidden="1" customHeight="1">
      <c r="A38" s="321">
        <v>2</v>
      </c>
      <c r="B38" s="698" t="s">
        <v>452</v>
      </c>
      <c r="C38" s="392"/>
      <c r="D38" s="680">
        <f>'3.RL G'!E8</f>
        <v>0</v>
      </c>
      <c r="E38" s="681">
        <f>'3.RL G'!I8</f>
        <v>0</v>
      </c>
      <c r="F38" s="681">
        <f>'3.RL G'!M8</f>
        <v>0</v>
      </c>
      <c r="G38" s="681">
        <f>'3.RL G'!E25</f>
        <v>0</v>
      </c>
      <c r="H38" s="681">
        <f>'3.RL G'!I25</f>
        <v>0</v>
      </c>
      <c r="I38" s="692">
        <f>'3.RL G'!M25</f>
        <v>0</v>
      </c>
    </row>
    <row r="39" spans="1:9" ht="12.75" hidden="1" customHeight="1">
      <c r="A39" s="321">
        <v>3</v>
      </c>
      <c r="B39" s="3782" t="s">
        <v>765</v>
      </c>
      <c r="C39" s="683" t="s">
        <v>608</v>
      </c>
      <c r="D39" s="680">
        <f>'3.RL G'!E9</f>
        <v>0</v>
      </c>
      <c r="E39" s="681">
        <f>'3.RL G'!I9</f>
        <v>0</v>
      </c>
      <c r="F39" s="681">
        <f>'3.RL G'!M9</f>
        <v>0</v>
      </c>
      <c r="G39" s="681">
        <f>'3.RL G'!E26</f>
        <v>0</v>
      </c>
      <c r="H39" s="681">
        <f>'3.RL G'!I26</f>
        <v>0</v>
      </c>
      <c r="I39" s="692">
        <f>'3.RL G'!M26</f>
        <v>0</v>
      </c>
    </row>
    <row r="40" spans="1:9" ht="12.75" hidden="1" customHeight="1">
      <c r="A40" s="321">
        <v>4</v>
      </c>
      <c r="B40" s="3788"/>
      <c r="C40" s="683" t="s">
        <v>612</v>
      </c>
      <c r="D40" s="680">
        <f>'3.RL G'!E10</f>
        <v>0</v>
      </c>
      <c r="E40" s="681">
        <f>'3.RL G'!I10</f>
        <v>0</v>
      </c>
      <c r="F40" s="681">
        <f>'3.RL G'!M10</f>
        <v>0</v>
      </c>
      <c r="G40" s="681">
        <f>'3.RL G'!E27</f>
        <v>0</v>
      </c>
      <c r="H40" s="681">
        <f>'3.RL G'!I27</f>
        <v>0</v>
      </c>
      <c r="I40" s="692">
        <f>'3.RL G'!M27</f>
        <v>0</v>
      </c>
    </row>
    <row r="41" spans="1:9" ht="12.75" hidden="1" customHeight="1">
      <c r="A41" s="321">
        <v>5</v>
      </c>
      <c r="B41" s="3783"/>
      <c r="C41" s="683" t="s">
        <v>614</v>
      </c>
      <c r="D41" s="680">
        <f>'3.RL G'!E11</f>
        <v>0</v>
      </c>
      <c r="E41" s="681">
        <f>'3.RL G'!I11</f>
        <v>0</v>
      </c>
      <c r="F41" s="681">
        <f>'3.RL G'!M11</f>
        <v>0</v>
      </c>
      <c r="G41" s="681">
        <f>'3.RL G'!E28</f>
        <v>0</v>
      </c>
      <c r="H41" s="681">
        <f>'3.RL G'!I28</f>
        <v>0</v>
      </c>
      <c r="I41" s="692">
        <f>'3.RL G'!M28</f>
        <v>0</v>
      </c>
    </row>
    <row r="42" spans="1:9" ht="12.75" hidden="1" customHeight="1">
      <c r="A42" s="321">
        <v>6</v>
      </c>
      <c r="B42" s="3782" t="s">
        <v>766</v>
      </c>
      <c r="C42" s="392"/>
      <c r="D42" s="680">
        <f>'3.RL G'!E12</f>
        <v>0</v>
      </c>
      <c r="E42" s="681">
        <f>'3.RL G'!I12</f>
        <v>0</v>
      </c>
      <c r="F42" s="681">
        <f>'3.RL G'!M12</f>
        <v>0</v>
      </c>
      <c r="G42" s="681">
        <f>'3.RL G'!E29</f>
        <v>0</v>
      </c>
      <c r="H42" s="681">
        <f>'3.RL G'!I29</f>
        <v>0</v>
      </c>
      <c r="I42" s="692">
        <f>'3.RL G'!M29</f>
        <v>0</v>
      </c>
    </row>
    <row r="43" spans="1:9" ht="12.75" hidden="1" customHeight="1">
      <c r="A43" s="321">
        <v>7</v>
      </c>
      <c r="B43" s="3783"/>
      <c r="C43" s="392"/>
      <c r="D43" s="680">
        <f>'3.RL G'!E13</f>
        <v>0</v>
      </c>
      <c r="E43" s="681">
        <f>'3.RL G'!I13</f>
        <v>0</v>
      </c>
      <c r="F43" s="681">
        <f>'3.RL G'!M13</f>
        <v>0</v>
      </c>
      <c r="G43" s="681">
        <f>'3.RL G'!E30</f>
        <v>0</v>
      </c>
      <c r="H43" s="681">
        <f>'3.RL G'!I30</f>
        <v>0</v>
      </c>
      <c r="I43" s="692">
        <f>'3.RL G'!M30</f>
        <v>0</v>
      </c>
    </row>
    <row r="44" spans="1:9" ht="12.75" hidden="1" customHeight="1">
      <c r="A44" s="3789" t="s">
        <v>2</v>
      </c>
      <c r="B44" s="3789"/>
      <c r="C44" s="671"/>
      <c r="D44" s="685" t="s">
        <v>157</v>
      </c>
      <c r="E44" s="672"/>
      <c r="F44" s="672"/>
      <c r="G44" s="672"/>
      <c r="H44" s="672"/>
      <c r="I44" s="692"/>
    </row>
    <row r="45" spans="1:9" ht="12.75" hidden="1" customHeight="1">
      <c r="A45" s="149" t="s">
        <v>54</v>
      </c>
      <c r="B45" s="687" t="s">
        <v>763</v>
      </c>
      <c r="C45" s="671"/>
      <c r="D45" s="688" t="s">
        <v>385</v>
      </c>
      <c r="E45" s="675" t="s">
        <v>386</v>
      </c>
      <c r="F45" s="675" t="s">
        <v>387</v>
      </c>
      <c r="G45" s="675" t="s">
        <v>388</v>
      </c>
      <c r="H45" s="675" t="s">
        <v>389</v>
      </c>
      <c r="I45" s="689" t="s">
        <v>390</v>
      </c>
    </row>
    <row r="46" spans="1:9" ht="12.75" hidden="1" customHeight="1">
      <c r="A46" s="321">
        <v>1</v>
      </c>
      <c r="B46" s="323" t="s">
        <v>454</v>
      </c>
      <c r="C46" s="699"/>
      <c r="D46" s="680">
        <f>'3.RL G'!E16</f>
        <v>0</v>
      </c>
      <c r="E46" s="681">
        <f>'3.RL G'!I16</f>
        <v>0</v>
      </c>
      <c r="F46" s="681">
        <f>'3.RL G'!M16</f>
        <v>0</v>
      </c>
      <c r="G46" s="681">
        <f>'3.RL G'!E33</f>
        <v>0</v>
      </c>
      <c r="H46" s="681">
        <f>'3.RL G'!I33</f>
        <v>0</v>
      </c>
      <c r="I46" s="692">
        <f>'3.RL G'!M33</f>
        <v>0</v>
      </c>
    </row>
    <row r="47" spans="1:9" ht="12.75" hidden="1" customHeight="1">
      <c r="A47" s="321">
        <v>2</v>
      </c>
      <c r="B47" s="323" t="s">
        <v>767</v>
      </c>
      <c r="C47" s="699"/>
      <c r="D47" s="680">
        <f>'3.RL G'!E17</f>
        <v>0</v>
      </c>
      <c r="E47" s="681">
        <f>'3.RL G'!I17</f>
        <v>0</v>
      </c>
      <c r="F47" s="681">
        <f>'3.RL G'!M17</f>
        <v>0</v>
      </c>
      <c r="G47" s="681">
        <f>'3.RL G'!E34</f>
        <v>0</v>
      </c>
      <c r="H47" s="681">
        <f>'3.RL G'!I34</f>
        <v>0</v>
      </c>
      <c r="I47" s="692">
        <f>'3.RL G'!M34</f>
        <v>0</v>
      </c>
    </row>
    <row r="48" spans="1:9" ht="12.75" hidden="1" customHeight="1">
      <c r="A48" s="321">
        <v>3</v>
      </c>
      <c r="B48" s="323" t="s">
        <v>733</v>
      </c>
      <c r="C48" s="699"/>
      <c r="D48" s="680">
        <f>'3.RL G'!E18</f>
        <v>0</v>
      </c>
      <c r="E48" s="681">
        <f>'3.RL G'!I18</f>
        <v>0</v>
      </c>
      <c r="F48" s="681">
        <f>'3.RL G'!M18</f>
        <v>0</v>
      </c>
      <c r="G48" s="681">
        <f>'3.RL G'!E35</f>
        <v>0</v>
      </c>
      <c r="H48" s="681">
        <f>'3.RL G'!I35</f>
        <v>0</v>
      </c>
      <c r="I48" s="692">
        <f>'3.RL G'!M35</f>
        <v>0</v>
      </c>
    </row>
    <row r="49" spans="1:9" ht="12.75" hidden="1" customHeight="1">
      <c r="A49" s="3784" t="s">
        <v>7</v>
      </c>
      <c r="B49" s="3786" t="s">
        <v>756</v>
      </c>
      <c r="C49" s="671"/>
      <c r="D49" s="685" t="s">
        <v>156</v>
      </c>
      <c r="E49" s="672"/>
      <c r="F49" s="672"/>
      <c r="G49" s="672"/>
      <c r="H49" s="672"/>
      <c r="I49" s="692"/>
    </row>
    <row r="50" spans="1:9" ht="12.75" hidden="1" customHeight="1">
      <c r="A50" s="3785"/>
      <c r="B50" s="3787"/>
      <c r="C50" s="674"/>
      <c r="D50" s="688" t="s">
        <v>385</v>
      </c>
      <c r="E50" s="675" t="s">
        <v>386</v>
      </c>
      <c r="F50" s="675" t="s">
        <v>387</v>
      </c>
      <c r="G50" s="675" t="s">
        <v>388</v>
      </c>
      <c r="H50" s="675" t="s">
        <v>389</v>
      </c>
      <c r="I50" s="689" t="s">
        <v>390</v>
      </c>
    </row>
    <row r="51" spans="1:9" ht="12.75" hidden="1" customHeight="1">
      <c r="A51" s="321">
        <v>1</v>
      </c>
      <c r="B51" s="698" t="s">
        <v>449</v>
      </c>
      <c r="C51" s="392"/>
      <c r="D51" s="693">
        <f>'3.RL G'!G7</f>
        <v>93.2</v>
      </c>
      <c r="E51" s="694">
        <f>'3.RL G'!K7</f>
        <v>93.2</v>
      </c>
      <c r="F51" s="694">
        <f>'3.RL G'!O7</f>
        <v>93.2</v>
      </c>
      <c r="G51" s="694">
        <f>'3.RL G'!G24</f>
        <v>93.2</v>
      </c>
      <c r="H51" s="694">
        <f>'3.RL G'!K24</f>
        <v>93.2</v>
      </c>
      <c r="I51" s="700">
        <f>'3.RL G'!O24</f>
        <v>93.2</v>
      </c>
    </row>
    <row r="52" spans="1:9" ht="12.75" hidden="1" customHeight="1">
      <c r="A52" s="321">
        <v>2</v>
      </c>
      <c r="B52" s="698" t="s">
        <v>452</v>
      </c>
      <c r="C52" s="392"/>
      <c r="D52" s="693">
        <f>'3.RL G'!G8</f>
        <v>1017.578125</v>
      </c>
      <c r="E52" s="694">
        <f>'3.RL G'!K8</f>
        <v>1017.578125</v>
      </c>
      <c r="F52" s="694">
        <f>'3.RL G'!O8</f>
        <v>1017.578125</v>
      </c>
      <c r="G52" s="694">
        <f>'3.RL G'!G25</f>
        <v>1017.578125</v>
      </c>
      <c r="H52" s="694">
        <f>'3.RL G'!K25</f>
        <v>1017.578125</v>
      </c>
      <c r="I52" s="700">
        <f>'3.RL G'!O25</f>
        <v>1017.578125</v>
      </c>
    </row>
    <row r="53" spans="1:9" ht="12.75" hidden="1" customHeight="1">
      <c r="A53" s="321">
        <v>3</v>
      </c>
      <c r="B53" s="3782" t="s">
        <v>765</v>
      </c>
      <c r="C53" s="392"/>
      <c r="D53" s="693">
        <f>'3.RL G'!G9</f>
        <v>246.75</v>
      </c>
      <c r="E53" s="694">
        <f>'3.RL G'!K9</f>
        <v>246.75</v>
      </c>
      <c r="F53" s="694">
        <f>'3.RL G'!O9</f>
        <v>246.75</v>
      </c>
      <c r="G53" s="694">
        <f>'3.RL G'!G26</f>
        <v>246.75</v>
      </c>
      <c r="H53" s="694">
        <f>'3.RL G'!K26</f>
        <v>246.75</v>
      </c>
      <c r="I53" s="700">
        <f>'3.RL G'!O26</f>
        <v>246.75</v>
      </c>
    </row>
    <row r="54" spans="1:9" ht="12.75" hidden="1" customHeight="1">
      <c r="A54" s="321">
        <v>4</v>
      </c>
      <c r="B54" s="3788"/>
      <c r="C54" s="392"/>
      <c r="D54" s="693">
        <f>'3.RL G'!G10</f>
        <v>32.077500000000001</v>
      </c>
      <c r="E54" s="694">
        <f>'3.RL G'!K10</f>
        <v>32.077500000000001</v>
      </c>
      <c r="F54" s="694">
        <f>'3.RL G'!O10</f>
        <v>32.077500000000001</v>
      </c>
      <c r="G54" s="694">
        <f>'3.RL G'!G27</f>
        <v>32.077500000000001</v>
      </c>
      <c r="H54" s="694">
        <f>'3.RL G'!K27</f>
        <v>32.077500000000001</v>
      </c>
      <c r="I54" s="700">
        <f>'3.RL G'!O27</f>
        <v>32.077500000000001</v>
      </c>
    </row>
    <row r="55" spans="1:9" ht="12.75" hidden="1" customHeight="1">
      <c r="A55" s="321">
        <v>5</v>
      </c>
      <c r="B55" s="3783"/>
      <c r="C55" s="392"/>
      <c r="D55" s="693">
        <f>'3.RL G'!G11</f>
        <v>0</v>
      </c>
      <c r="E55" s="694">
        <f>'3.RL G'!K11</f>
        <v>0</v>
      </c>
      <c r="F55" s="694">
        <f>'3.RL G'!O11</f>
        <v>0</v>
      </c>
      <c r="G55" s="694">
        <f>'3.RL G'!G28</f>
        <v>0</v>
      </c>
      <c r="H55" s="694">
        <f>'3.RL G'!K28</f>
        <v>0</v>
      </c>
      <c r="I55" s="700" t="str">
        <f>'3.RL G'!O28</f>
        <v>N/A</v>
      </c>
    </row>
    <row r="56" spans="1:9" ht="12.75" hidden="1" customHeight="1">
      <c r="A56" s="321">
        <v>6</v>
      </c>
      <c r="B56" s="3782" t="s">
        <v>766</v>
      </c>
      <c r="C56" s="392"/>
      <c r="D56" s="693">
        <f>'3.RL G'!G12</f>
        <v>1.234</v>
      </c>
      <c r="E56" s="694">
        <f>'3.RL G'!K12</f>
        <v>1.234</v>
      </c>
      <c r="F56" s="694">
        <f>'3.RL G'!O12</f>
        <v>1.234</v>
      </c>
      <c r="G56" s="694">
        <f>'3.RL G'!G29</f>
        <v>1.234</v>
      </c>
      <c r="H56" s="694">
        <f>'3.RL G'!K29</f>
        <v>1.234</v>
      </c>
      <c r="I56" s="700">
        <f>'3.RL G'!O29</f>
        <v>1.234</v>
      </c>
    </row>
    <row r="57" spans="1:9" ht="12.75" hidden="1" customHeight="1">
      <c r="A57" s="321">
        <v>7</v>
      </c>
      <c r="B57" s="3783"/>
      <c r="C57" s="392"/>
      <c r="D57" s="693">
        <f>'3.RL G'!G13</f>
        <v>0</v>
      </c>
      <c r="E57" s="694">
        <f>'3.RL G'!K13</f>
        <v>0</v>
      </c>
      <c r="F57" s="694">
        <f>'3.RL G'!O13</f>
        <v>0</v>
      </c>
      <c r="G57" s="694">
        <f>'3.RL G'!G30</f>
        <v>0</v>
      </c>
      <c r="H57" s="694">
        <f>'3.RL G'!K30</f>
        <v>0</v>
      </c>
      <c r="I57" s="700">
        <f>'3.RL G'!O30</f>
        <v>0</v>
      </c>
    </row>
    <row r="58" spans="1:9" ht="12.75" hidden="1" customHeight="1">
      <c r="D58" s="696"/>
      <c r="I58" s="692"/>
    </row>
    <row r="59" spans="1:9" ht="12.75" hidden="1" customHeight="1">
      <c r="B59" s="669" t="s">
        <v>913</v>
      </c>
      <c r="C59" s="697"/>
      <c r="D59" s="696"/>
      <c r="I59" s="692"/>
    </row>
    <row r="60" spans="1:9" ht="12.75" hidden="1" customHeight="1">
      <c r="A60" s="3784" t="s">
        <v>7</v>
      </c>
      <c r="B60" s="3786" t="s">
        <v>756</v>
      </c>
      <c r="C60" s="671"/>
      <c r="D60" s="685" t="s">
        <v>155</v>
      </c>
      <c r="E60" s="672"/>
      <c r="F60" s="672"/>
      <c r="G60" s="672"/>
      <c r="H60" s="672"/>
      <c r="I60" s="692"/>
    </row>
    <row r="61" spans="1:9" ht="12.75" hidden="1" customHeight="1">
      <c r="A61" s="3785"/>
      <c r="B61" s="3787"/>
      <c r="C61" s="674"/>
      <c r="D61" s="688" t="s">
        <v>385</v>
      </c>
      <c r="E61" s="675" t="s">
        <v>386</v>
      </c>
      <c r="F61" s="675" t="s">
        <v>387</v>
      </c>
      <c r="G61" s="675" t="s">
        <v>388</v>
      </c>
      <c r="H61" s="675" t="s">
        <v>389</v>
      </c>
      <c r="I61" s="689" t="s">
        <v>390</v>
      </c>
    </row>
    <row r="62" spans="1:9" ht="12.75" hidden="1" customHeight="1">
      <c r="A62" s="149">
        <v>1</v>
      </c>
      <c r="B62" s="137" t="s">
        <v>914</v>
      </c>
      <c r="C62" s="392" t="s">
        <v>758</v>
      </c>
      <c r="D62" s="680">
        <f>'4.RL F'!F7</f>
        <v>40</v>
      </c>
      <c r="E62" s="681">
        <f>'4.RL F'!J7</f>
        <v>50</v>
      </c>
      <c r="F62" s="681">
        <f>'4.RL F'!N7</f>
        <v>45</v>
      </c>
      <c r="G62" s="681">
        <f>'4.RL F'!F28</f>
        <v>44</v>
      </c>
      <c r="H62" s="681">
        <f>'4.RL F'!J28</f>
        <v>41</v>
      </c>
      <c r="I62" s="692">
        <f>'4.RL F'!N28</f>
        <v>40</v>
      </c>
    </row>
    <row r="63" spans="1:9" ht="12.75" hidden="1" customHeight="1">
      <c r="A63" s="149"/>
      <c r="B63" s="137" t="s">
        <v>757</v>
      </c>
      <c r="C63" s="392" t="s">
        <v>758</v>
      </c>
      <c r="D63" s="680">
        <f>'4.RL F'!F8</f>
        <v>11.132499999999999</v>
      </c>
      <c r="E63" s="681">
        <f>'4.RL F'!J8</f>
        <v>10.584999999999999</v>
      </c>
      <c r="F63" s="681">
        <f>'4.RL F'!N8</f>
        <v>10.95</v>
      </c>
      <c r="G63" s="681">
        <f>'4.RL F'!F29</f>
        <v>10.95</v>
      </c>
      <c r="H63" s="681">
        <f>'4.RL F'!J29</f>
        <v>10.95</v>
      </c>
      <c r="I63" s="692">
        <f>'4.RL F'!N29</f>
        <v>12.3</v>
      </c>
    </row>
    <row r="64" spans="1:9" ht="12.75" hidden="1" customHeight="1">
      <c r="A64" s="321">
        <v>2</v>
      </c>
      <c r="B64" s="3782" t="s">
        <v>759</v>
      </c>
      <c r="C64" s="683" t="s">
        <v>608</v>
      </c>
      <c r="D64" s="680">
        <f>'4.RL F'!F9</f>
        <v>43</v>
      </c>
      <c r="E64" s="681">
        <f>'4.RL F'!J9</f>
        <v>44</v>
      </c>
      <c r="F64" s="681">
        <f>'4.RL F'!N9</f>
        <v>45</v>
      </c>
      <c r="G64" s="681">
        <f>'4.RL F'!F30</f>
        <v>54</v>
      </c>
      <c r="H64" s="681">
        <f>'4.RL F'!J30</f>
        <v>47</v>
      </c>
      <c r="I64" s="692">
        <f>'4.RL F'!N30</f>
        <v>50</v>
      </c>
    </row>
    <row r="65" spans="1:9" ht="12.75" hidden="1" customHeight="1">
      <c r="A65" s="321">
        <v>3</v>
      </c>
      <c r="B65" s="3788"/>
      <c r="C65" s="683" t="s">
        <v>612</v>
      </c>
      <c r="D65" s="680">
        <f>'4.RL F'!F10</f>
        <v>7.5</v>
      </c>
      <c r="E65" s="681">
        <f>'4.RL F'!J10</f>
        <v>7</v>
      </c>
      <c r="F65" s="681">
        <f>'4.RL F'!N10</f>
        <v>7.2</v>
      </c>
      <c r="G65" s="681">
        <f>'4.RL F'!F31</f>
        <v>7</v>
      </c>
      <c r="H65" s="681">
        <f>'4.RL F'!J31</f>
        <v>7.3</v>
      </c>
      <c r="I65" s="692">
        <f>'4.RL F'!N31</f>
        <v>7.6</v>
      </c>
    </row>
    <row r="66" spans="1:9" ht="12.75" hidden="1" customHeight="1">
      <c r="A66" s="321">
        <v>4</v>
      </c>
      <c r="B66" s="3783"/>
      <c r="C66" s="683" t="s">
        <v>614</v>
      </c>
      <c r="D66" s="680">
        <f>'4.RL F'!F11</f>
        <v>0.1</v>
      </c>
      <c r="E66" s="681">
        <f>'4.RL F'!J11</f>
        <v>0.08</v>
      </c>
      <c r="F66" s="681">
        <f>'4.RL F'!N11</f>
        <v>0.12</v>
      </c>
      <c r="G66" s="681">
        <f>'4.RL F'!F32</f>
        <v>0.12</v>
      </c>
      <c r="H66" s="681">
        <f>'4.RL F'!J32</f>
        <v>0.1</v>
      </c>
      <c r="I66" s="692">
        <f>'4.RL F'!N32</f>
        <v>0.12</v>
      </c>
    </row>
    <row r="67" spans="1:9" ht="12.75" hidden="1" customHeight="1">
      <c r="A67" s="321">
        <v>5</v>
      </c>
      <c r="B67" s="3782" t="s">
        <v>760</v>
      </c>
      <c r="C67" s="683" t="s">
        <v>608</v>
      </c>
      <c r="D67" s="680" t="e">
        <f>'4.RL F'!F12</f>
        <v>#REF!</v>
      </c>
      <c r="E67" s="681" t="e">
        <f>'4.RL F'!J12</f>
        <v>#REF!</v>
      </c>
      <c r="F67" s="681" t="e">
        <f>'4.RL F'!N12</f>
        <v>#REF!</v>
      </c>
      <c r="G67" s="681" t="e">
        <f>'4.RL F'!F33</f>
        <v>#REF!</v>
      </c>
      <c r="H67" s="681" t="e">
        <f>'4.RL F'!J33</f>
        <v>#REF!</v>
      </c>
      <c r="I67" s="692" t="e">
        <f>'4.RL F'!N33</f>
        <v>#REF!</v>
      </c>
    </row>
    <row r="68" spans="1:9" ht="12.75" hidden="1" customHeight="1">
      <c r="A68" s="321">
        <v>6</v>
      </c>
      <c r="B68" s="3788"/>
      <c r="C68" s="683" t="s">
        <v>612</v>
      </c>
      <c r="D68" s="680" t="e">
        <f>'4.RL F'!F13</f>
        <v>#REF!</v>
      </c>
      <c r="E68" s="681" t="e">
        <f>'4.RL F'!J13</f>
        <v>#REF!</v>
      </c>
      <c r="F68" s="681" t="e">
        <f>'4.RL F'!N13</f>
        <v>#REF!</v>
      </c>
      <c r="G68" s="681" t="e">
        <f>'4.RL F'!F34</f>
        <v>#REF!</v>
      </c>
      <c r="H68" s="681" t="e">
        <f>'4.RL F'!J34</f>
        <v>#REF!</v>
      </c>
      <c r="I68" s="692" t="e">
        <f>'4.RL F'!N34</f>
        <v>#REF!</v>
      </c>
    </row>
    <row r="69" spans="1:9" ht="12.75" hidden="1" customHeight="1">
      <c r="A69" s="321">
        <v>7</v>
      </c>
      <c r="B69" s="3783"/>
      <c r="C69" s="683" t="s">
        <v>614</v>
      </c>
      <c r="D69" s="680" t="e">
        <f>'4.RL F'!F14</f>
        <v>#REF!</v>
      </c>
      <c r="E69" s="681" t="e">
        <f>'4.RL F'!J14</f>
        <v>#REF!</v>
      </c>
      <c r="F69" s="681" t="e">
        <f>'4.RL F'!N14</f>
        <v>#REF!</v>
      </c>
      <c r="G69" s="681" t="e">
        <f>'4.RL F'!F35</f>
        <v>#REF!</v>
      </c>
      <c r="H69" s="681" t="e">
        <f>'4.RL F'!J35</f>
        <v>#REF!</v>
      </c>
      <c r="I69" s="692" t="e">
        <f>'4.RL F'!N35</f>
        <v>#REF!</v>
      </c>
    </row>
    <row r="70" spans="1:9" ht="12.75" hidden="1" customHeight="1">
      <c r="A70" s="321">
        <v>8</v>
      </c>
      <c r="B70" s="3782" t="s">
        <v>761</v>
      </c>
      <c r="C70" s="392" t="s">
        <v>762</v>
      </c>
      <c r="D70" s="680">
        <f>'4.RL F'!F15</f>
        <v>0.95</v>
      </c>
      <c r="E70" s="681">
        <f>'4.RL F'!J15</f>
        <v>0.9</v>
      </c>
      <c r="F70" s="681">
        <f>'4.RL F'!N15</f>
        <v>0.95</v>
      </c>
      <c r="G70" s="681">
        <f>'4.RL F'!F36</f>
        <v>0.9</v>
      </c>
      <c r="H70" s="681">
        <f>'4.RL F'!J36</f>
        <v>0.95</v>
      </c>
      <c r="I70" s="692">
        <f>'4.RL F'!N36</f>
        <v>0.9</v>
      </c>
    </row>
    <row r="71" spans="1:9" ht="12.75" hidden="1" customHeight="1">
      <c r="A71" s="321">
        <v>9</v>
      </c>
      <c r="B71" s="3783"/>
      <c r="C71" s="392" t="s">
        <v>620</v>
      </c>
      <c r="D71" s="680">
        <f>'4.RL F'!F16</f>
        <v>10</v>
      </c>
      <c r="E71" s="681">
        <f>'4.RL F'!J16</f>
        <v>10</v>
      </c>
      <c r="F71" s="681">
        <f>'4.RL F'!N16</f>
        <v>10</v>
      </c>
      <c r="G71" s="681">
        <f>'4.RL F'!F37</f>
        <v>9</v>
      </c>
      <c r="H71" s="681">
        <f>'4.RL F'!J37</f>
        <v>9.5</v>
      </c>
      <c r="I71" s="692">
        <f>'4.RL F'!N37</f>
        <v>9</v>
      </c>
    </row>
    <row r="72" spans="1:9" ht="12.75" hidden="1" customHeight="1">
      <c r="A72" s="3789" t="s">
        <v>2</v>
      </c>
      <c r="B72" s="3789"/>
      <c r="C72" s="671"/>
      <c r="D72" s="685" t="s">
        <v>157</v>
      </c>
      <c r="E72" s="672"/>
      <c r="F72" s="672"/>
      <c r="G72" s="672"/>
      <c r="H72" s="672"/>
      <c r="I72" s="692"/>
    </row>
    <row r="73" spans="1:9" ht="12.75" hidden="1" customHeight="1">
      <c r="A73" s="149" t="s">
        <v>54</v>
      </c>
      <c r="B73" s="687" t="s">
        <v>763</v>
      </c>
      <c r="C73" s="671"/>
      <c r="D73" s="688" t="s">
        <v>385</v>
      </c>
      <c r="E73" s="675" t="s">
        <v>386</v>
      </c>
      <c r="F73" s="675" t="s">
        <v>387</v>
      </c>
      <c r="G73" s="675" t="s">
        <v>388</v>
      </c>
      <c r="H73" s="675" t="s">
        <v>389</v>
      </c>
      <c r="I73" s="689" t="s">
        <v>390</v>
      </c>
    </row>
    <row r="74" spans="1:9" ht="12.75" hidden="1" customHeight="1">
      <c r="A74" s="321">
        <v>1</v>
      </c>
      <c r="B74" s="893" t="s">
        <v>915</v>
      </c>
      <c r="C74" s="691"/>
      <c r="D74" s="680">
        <f>'4.RL F'!F19</f>
        <v>59</v>
      </c>
      <c r="E74" s="681">
        <f>'4.RL F'!J19</f>
        <v>59</v>
      </c>
      <c r="F74" s="681">
        <f>'4.RL F'!N19</f>
        <v>58</v>
      </c>
      <c r="G74" s="681">
        <f>'4.RL F'!F40</f>
        <v>58</v>
      </c>
      <c r="H74" s="681">
        <f>'4.RL F'!J40</f>
        <v>59</v>
      </c>
      <c r="I74" s="692">
        <f>'4.RL F'!N40</f>
        <v>58</v>
      </c>
    </row>
    <row r="75" spans="1:9" ht="12.75" hidden="1" customHeight="1">
      <c r="A75" s="321">
        <v>2</v>
      </c>
      <c r="B75" s="690" t="s">
        <v>447</v>
      </c>
      <c r="C75" s="691"/>
      <c r="D75" s="680">
        <f>'4.RL F'!F20</f>
        <v>68</v>
      </c>
      <c r="E75" s="681">
        <f>'4.RL F'!J20</f>
        <v>68</v>
      </c>
      <c r="F75" s="681">
        <f>'4.RL F'!N20</f>
        <v>68</v>
      </c>
      <c r="G75" s="681">
        <f>'4.RL F'!F41</f>
        <v>68</v>
      </c>
      <c r="H75" s="681">
        <f>'4.RL F'!J41</f>
        <v>68</v>
      </c>
      <c r="I75" s="692">
        <f>'4.RL F'!N41</f>
        <v>69</v>
      </c>
    </row>
    <row r="76" spans="1:9" ht="12.75" hidden="1" customHeight="1">
      <c r="A76" s="321">
        <v>3</v>
      </c>
      <c r="B76" s="690" t="s">
        <v>440</v>
      </c>
      <c r="C76" s="691"/>
      <c r="D76" s="680">
        <f>'4.RL F'!F21</f>
        <v>85</v>
      </c>
      <c r="E76" s="681">
        <f>'4.RL F'!J21</f>
        <v>89</v>
      </c>
      <c r="F76" s="681">
        <f>'4.RL F'!N21</f>
        <v>83</v>
      </c>
      <c r="G76" s="681">
        <f>'4.RL F'!F42</f>
        <v>86</v>
      </c>
      <c r="H76" s="681">
        <f>'4.RL F'!J42</f>
        <v>85</v>
      </c>
      <c r="I76" s="692">
        <f>'4.RL F'!N42</f>
        <v>84</v>
      </c>
    </row>
    <row r="77" spans="1:9" ht="12.75" hidden="1" customHeight="1">
      <c r="A77" s="321">
        <v>4</v>
      </c>
      <c r="B77" s="690" t="s">
        <v>764</v>
      </c>
      <c r="C77" s="691"/>
      <c r="D77" s="680" t="e">
        <f>'4.RL F'!#REF!</f>
        <v>#REF!</v>
      </c>
      <c r="E77" s="681" t="e">
        <f>'4.RL F'!#REF!</f>
        <v>#REF!</v>
      </c>
      <c r="F77" s="681">
        <f>'4.RL F'!N22</f>
        <v>0</v>
      </c>
      <c r="G77" s="681" t="e">
        <f>'4.RL F'!#REF!</f>
        <v>#REF!</v>
      </c>
      <c r="H77" s="681" t="e">
        <f>'4.RL F'!#REF!</f>
        <v>#REF!</v>
      </c>
      <c r="I77" s="692"/>
    </row>
    <row r="78" spans="1:9" ht="12.75" hidden="1" customHeight="1">
      <c r="A78" s="3784" t="s">
        <v>7</v>
      </c>
      <c r="B78" s="3786" t="s">
        <v>756</v>
      </c>
      <c r="C78" s="671"/>
      <c r="D78" s="685" t="s">
        <v>156</v>
      </c>
      <c r="E78" s="672"/>
      <c r="F78" s="672"/>
      <c r="G78" s="672"/>
      <c r="H78" s="672"/>
      <c r="I78" s="692"/>
    </row>
    <row r="79" spans="1:9" ht="12.75" hidden="1" customHeight="1">
      <c r="A79" s="3785"/>
      <c r="B79" s="3787"/>
      <c r="C79" s="674"/>
      <c r="D79" s="688" t="s">
        <v>385</v>
      </c>
      <c r="E79" s="675" t="s">
        <v>386</v>
      </c>
      <c r="F79" s="675" t="s">
        <v>387</v>
      </c>
      <c r="G79" s="675" t="s">
        <v>388</v>
      </c>
      <c r="H79" s="675" t="s">
        <v>389</v>
      </c>
      <c r="I79" s="689" t="s">
        <v>390</v>
      </c>
    </row>
    <row r="80" spans="1:9" ht="12.75" hidden="1" customHeight="1">
      <c r="A80" s="321">
        <v>1</v>
      </c>
      <c r="B80" s="137" t="s">
        <v>915</v>
      </c>
      <c r="C80" s="392"/>
      <c r="D80" s="693">
        <f>'4.RL F'!H7</f>
        <v>0</v>
      </c>
      <c r="E80" s="694">
        <f>'4.RL F'!L7</f>
        <v>0</v>
      </c>
      <c r="F80" s="694">
        <f>'4.RL F'!P7</f>
        <v>0</v>
      </c>
      <c r="G80" s="694">
        <f>'4.RL F'!H28</f>
        <v>0</v>
      </c>
      <c r="H80" s="694">
        <f>'4.RL F'!L28</f>
        <v>0</v>
      </c>
      <c r="I80" s="692">
        <f>'4.RL F'!P28</f>
        <v>0</v>
      </c>
    </row>
    <row r="81" spans="1:9" ht="12.75" hidden="1" customHeight="1">
      <c r="A81" s="321"/>
      <c r="B81" s="137" t="s">
        <v>757</v>
      </c>
      <c r="C81" s="392"/>
      <c r="D81" s="693">
        <f>'4.RL F'!H8</f>
        <v>111.32304687500012</v>
      </c>
      <c r="E81" s="694">
        <f>'4.RL F'!L8</f>
        <v>155.89296875000008</v>
      </c>
      <c r="F81" s="694">
        <f>'4.RL F'!P8</f>
        <v>126.17968750000006</v>
      </c>
      <c r="G81" s="694">
        <f>'4.RL F'!H29</f>
        <v>126.17968750000006</v>
      </c>
      <c r="H81" s="694">
        <f>'4.RL F'!L29</f>
        <v>126.17968750000006</v>
      </c>
      <c r="I81" s="692">
        <f>'4.RL F'!P29</f>
        <v>16.281249999999943</v>
      </c>
    </row>
    <row r="82" spans="1:9" ht="12.75" hidden="1" customHeight="1">
      <c r="A82" s="321">
        <v>2</v>
      </c>
      <c r="B82" s="3782" t="s">
        <v>759</v>
      </c>
      <c r="C82" s="392"/>
      <c r="D82" s="693">
        <f>'4.RL F'!H9</f>
        <v>34.545000000000002</v>
      </c>
      <c r="E82" s="694">
        <f>'4.RL F'!L9</f>
        <v>29.61</v>
      </c>
      <c r="F82" s="694">
        <f>'4.RL F'!P9</f>
        <v>24.675000000000001</v>
      </c>
      <c r="G82" s="694">
        <f>'4.RL F'!H30</f>
        <v>0</v>
      </c>
      <c r="H82" s="694">
        <f>'4.RL F'!L30</f>
        <v>14.805</v>
      </c>
      <c r="I82" s="692">
        <f>'4.RL F'!P30</f>
        <v>0</v>
      </c>
    </row>
    <row r="83" spans="1:9" ht="12.75" hidden="1" customHeight="1">
      <c r="A83" s="321">
        <v>3</v>
      </c>
      <c r="B83" s="3788"/>
      <c r="C83" s="392"/>
      <c r="D83" s="693">
        <f>'4.RL F'!H10</f>
        <v>0</v>
      </c>
      <c r="E83" s="694">
        <f>'4.RL F'!L10</f>
        <v>0</v>
      </c>
      <c r="F83" s="694">
        <f>'4.RL F'!P10</f>
        <v>0</v>
      </c>
      <c r="G83" s="694">
        <f>'4.RL F'!H31</f>
        <v>0</v>
      </c>
      <c r="H83" s="694">
        <f>'4.RL F'!L31</f>
        <v>0</v>
      </c>
      <c r="I83" s="692">
        <f>'4.RL F'!P31</f>
        <v>0</v>
      </c>
    </row>
    <row r="84" spans="1:9" ht="12.75" hidden="1" customHeight="1">
      <c r="A84" s="321">
        <v>4</v>
      </c>
      <c r="B84" s="3783"/>
      <c r="C84" s="392"/>
      <c r="D84" s="693">
        <f>'4.RL F'!H11</f>
        <v>0</v>
      </c>
      <c r="E84" s="694">
        <f>'4.RL F'!L11</f>
        <v>0</v>
      </c>
      <c r="F84" s="694">
        <f>'4.RL F'!P11</f>
        <v>0</v>
      </c>
      <c r="G84" s="694">
        <f>'4.RL F'!H32</f>
        <v>0</v>
      </c>
      <c r="H84" s="694">
        <f>'4.RL F'!L32</f>
        <v>0</v>
      </c>
      <c r="I84" s="692">
        <f>'4.RL F'!P32</f>
        <v>0</v>
      </c>
    </row>
    <row r="85" spans="1:9" ht="12.75" hidden="1" customHeight="1">
      <c r="A85" s="321">
        <v>5</v>
      </c>
      <c r="B85" s="3782" t="s">
        <v>760</v>
      </c>
      <c r="C85" s="392"/>
      <c r="D85" s="693" t="e">
        <f>'4.RL F'!H12</f>
        <v>#REF!</v>
      </c>
      <c r="E85" s="694" t="e">
        <f>'4.RL F'!L12</f>
        <v>#REF!</v>
      </c>
      <c r="F85" s="694" t="e">
        <f>'4.RL F'!P12</f>
        <v>#REF!</v>
      </c>
      <c r="G85" s="694" t="e">
        <f>'4.RL F'!H33</f>
        <v>#REF!</v>
      </c>
      <c r="H85" s="694" t="e">
        <f>'4.RL F'!L33</f>
        <v>#REF!</v>
      </c>
      <c r="I85" s="692" t="e">
        <f>'4.RL F'!P33</f>
        <v>#REF!</v>
      </c>
    </row>
    <row r="86" spans="1:9" ht="12.75" hidden="1" customHeight="1">
      <c r="A86" s="321">
        <v>6</v>
      </c>
      <c r="B86" s="3788"/>
      <c r="C86" s="392"/>
      <c r="D86" s="693" t="e">
        <f>'4.RL F'!H13</f>
        <v>#REF!</v>
      </c>
      <c r="E86" s="694" t="e">
        <f>'4.RL F'!L13</f>
        <v>#REF!</v>
      </c>
      <c r="F86" s="694" t="e">
        <f>'4.RL F'!P13</f>
        <v>#REF!</v>
      </c>
      <c r="G86" s="694" t="e">
        <f>'4.RL F'!H34</f>
        <v>#REF!</v>
      </c>
      <c r="H86" s="694" t="e">
        <f>'4.RL F'!L34</f>
        <v>#REF!</v>
      </c>
      <c r="I86" s="692" t="e">
        <f>'4.RL F'!P34</f>
        <v>#REF!</v>
      </c>
    </row>
    <row r="87" spans="1:9" ht="12.75" hidden="1" customHeight="1">
      <c r="A87" s="321">
        <v>7</v>
      </c>
      <c r="B87" s="3783"/>
      <c r="C87" s="392"/>
      <c r="D87" s="693" t="e">
        <f>'4.RL F'!H14</f>
        <v>#REF!</v>
      </c>
      <c r="E87" s="694" t="e">
        <f>'4.RL F'!L14</f>
        <v>#REF!</v>
      </c>
      <c r="F87" s="694" t="e">
        <f>'4.RL F'!P14</f>
        <v>#REF!</v>
      </c>
      <c r="G87" s="694" t="e">
        <f>'4.RL F'!H35</f>
        <v>#REF!</v>
      </c>
      <c r="H87" s="694" t="e">
        <f>'4.RL F'!L35</f>
        <v>#REF!</v>
      </c>
      <c r="I87" s="692" t="e">
        <f>'4.RL F'!P35</f>
        <v>#REF!</v>
      </c>
    </row>
    <row r="88" spans="1:9" ht="12.75" hidden="1" customHeight="1">
      <c r="A88" s="321">
        <v>8</v>
      </c>
      <c r="B88" s="3782" t="s">
        <v>761</v>
      </c>
      <c r="C88" s="392"/>
      <c r="D88" s="693">
        <f>'4.RL F'!H15</f>
        <v>6.1700000000000053E-2</v>
      </c>
      <c r="E88" s="694">
        <f>'4.RL F'!L15</f>
        <v>0.12339999999999998</v>
      </c>
      <c r="F88" s="694">
        <f>'4.RL F'!P15</f>
        <v>6.1700000000000053E-2</v>
      </c>
      <c r="G88" s="694">
        <f>'4.RL F'!H36</f>
        <v>0.12339999999999998</v>
      </c>
      <c r="H88" s="694">
        <f>'4.RL F'!L36</f>
        <v>6.1700000000000053E-2</v>
      </c>
      <c r="I88" s="692">
        <f>'4.RL F'!P36</f>
        <v>0.12339999999999998</v>
      </c>
    </row>
    <row r="89" spans="1:9" ht="12.75" hidden="1" customHeight="1">
      <c r="A89" s="321">
        <v>9</v>
      </c>
      <c r="B89" s="3783"/>
      <c r="C89" s="392"/>
      <c r="D89" s="693">
        <f>'4.RL F'!H16</f>
        <v>0</v>
      </c>
      <c r="E89" s="694">
        <f>'4.RL F'!L16</f>
        <v>0</v>
      </c>
      <c r="F89" s="694">
        <f>'4.RL F'!P16</f>
        <v>0</v>
      </c>
      <c r="G89" s="694">
        <f>'4.RL F'!H37</f>
        <v>0</v>
      </c>
      <c r="H89" s="694">
        <f>'4.RL F'!L37</f>
        <v>0</v>
      </c>
      <c r="I89" s="692">
        <f>'4.RL F'!P37</f>
        <v>0</v>
      </c>
    </row>
    <row r="90" spans="1:9" s="706" customFormat="1" ht="12.75" hidden="1" customHeight="1">
      <c r="A90" s="701"/>
      <c r="B90" s="702"/>
      <c r="C90" s="702"/>
      <c r="D90" s="703"/>
      <c r="E90" s="704"/>
      <c r="F90" s="704"/>
      <c r="G90" s="704"/>
      <c r="H90" s="704"/>
      <c r="I90" s="705"/>
    </row>
    <row r="91" spans="1:9" s="706" customFormat="1" ht="16.5" hidden="1" customHeight="1">
      <c r="A91" s="701"/>
      <c r="B91" s="707" t="s">
        <v>768</v>
      </c>
      <c r="C91" s="708"/>
      <c r="D91" s="709">
        <f>R.HN!C12</f>
        <v>3</v>
      </c>
      <c r="E91" s="710">
        <f>R.HN!D12</f>
        <v>3</v>
      </c>
      <c r="F91" s="710">
        <f>R.HN!E12</f>
        <v>3</v>
      </c>
      <c r="G91" s="710">
        <f>R.HN!F12</f>
        <v>3</v>
      </c>
      <c r="H91" s="710">
        <f>R.HN!G12</f>
        <v>3</v>
      </c>
      <c r="I91" s="711">
        <f>R.HN!H12</f>
        <v>3</v>
      </c>
    </row>
    <row r="92" spans="1:9" s="706" customFormat="1" ht="18" hidden="1" customHeight="1">
      <c r="A92" s="701"/>
      <c r="B92" s="707" t="s">
        <v>769</v>
      </c>
      <c r="C92" s="708"/>
      <c r="D92" s="703">
        <f>R.HN!C13</f>
        <v>4</v>
      </c>
      <c r="E92" s="704">
        <f>R.HN!D13</f>
        <v>4</v>
      </c>
      <c r="F92" s="704">
        <f>R.HN!E13</f>
        <v>4</v>
      </c>
      <c r="G92" s="704">
        <f>R.HN!F13</f>
        <v>4</v>
      </c>
      <c r="H92" s="704">
        <f>R.HN!G13</f>
        <v>4</v>
      </c>
      <c r="I92" s="712">
        <f>R.HN!H13</f>
        <v>4</v>
      </c>
    </row>
    <row r="93" spans="1:9" s="706" customFormat="1" ht="18" hidden="1" customHeight="1">
      <c r="A93" s="701"/>
      <c r="B93" s="707" t="s">
        <v>770</v>
      </c>
      <c r="C93" s="708"/>
      <c r="D93" s="709">
        <f>R.HN!C35</f>
        <v>0</v>
      </c>
      <c r="E93" s="710">
        <f>R.HN!D35</f>
        <v>0</v>
      </c>
      <c r="F93" s="710">
        <f>R.HN!E35</f>
        <v>0</v>
      </c>
      <c r="G93" s="710">
        <f>R.HN!F35</f>
        <v>0</v>
      </c>
      <c r="H93" s="710">
        <f>R.HN!G35</f>
        <v>0</v>
      </c>
      <c r="I93" s="711">
        <f>R.HN!H35</f>
        <v>0</v>
      </c>
    </row>
    <row r="94" spans="1:9" s="706" customFormat="1" ht="18" hidden="1" customHeight="1">
      <c r="A94" s="701"/>
      <c r="B94" s="707" t="s">
        <v>771</v>
      </c>
      <c r="C94" s="708"/>
      <c r="D94" s="703">
        <f>R.HN!C36</f>
        <v>0</v>
      </c>
      <c r="E94" s="704">
        <f>R.HN!D36</f>
        <v>0</v>
      </c>
      <c r="F94" s="704">
        <f>R.HN!E36</f>
        <v>0</v>
      </c>
      <c r="G94" s="704">
        <f>R.HN!F36</f>
        <v>0</v>
      </c>
      <c r="H94" s="704">
        <f>R.HN!G36</f>
        <v>0</v>
      </c>
      <c r="I94" s="712">
        <f>R.HN!H36</f>
        <v>0</v>
      </c>
    </row>
    <row r="95" spans="1:9" ht="12.75" customHeight="1" thickBot="1">
      <c r="A95" s="681"/>
      <c r="B95" s="392"/>
      <c r="C95" s="392"/>
      <c r="D95" s="713"/>
      <c r="E95" s="714"/>
      <c r="F95" s="714"/>
      <c r="G95" s="714"/>
      <c r="H95" s="714"/>
      <c r="I95" s="715"/>
    </row>
    <row r="96" spans="1:9" ht="12.75" customHeight="1">
      <c r="A96" s="681"/>
      <c r="B96" s="392"/>
      <c r="C96" s="392"/>
      <c r="D96" s="694"/>
      <c r="E96" s="694"/>
      <c r="F96" s="694"/>
      <c r="G96" s="694"/>
      <c r="H96" s="694"/>
    </row>
    <row r="98" spans="1:9" ht="12.75" customHeight="1">
      <c r="B98" s="669" t="s">
        <v>772</v>
      </c>
    </row>
    <row r="99" spans="1:9" ht="12.75" customHeight="1">
      <c r="A99" s="3772" t="s">
        <v>7</v>
      </c>
      <c r="B99" s="3774" t="s">
        <v>76</v>
      </c>
      <c r="C99" s="672" t="s">
        <v>155</v>
      </c>
      <c r="D99" s="672"/>
    </row>
    <row r="100" spans="1:9" ht="12.75" customHeight="1" thickBot="1">
      <c r="A100" s="3773"/>
      <c r="B100" s="3775"/>
      <c r="C100" s="675">
        <v>0.375</v>
      </c>
      <c r="D100" s="675">
        <v>0.54166666666666663</v>
      </c>
    </row>
    <row r="101" spans="1:9" ht="12.75" customHeight="1">
      <c r="A101" s="716">
        <v>1</v>
      </c>
      <c r="B101" s="323" t="s">
        <v>571</v>
      </c>
      <c r="C101" s="717">
        <f>'1.xi den'!H7</f>
        <v>15.4</v>
      </c>
      <c r="D101" s="718">
        <f>'1.xi den'!L7</f>
        <v>0</v>
      </c>
      <c r="E101" s="666"/>
      <c r="F101" s="666"/>
      <c r="G101" s="666"/>
      <c r="H101" s="666"/>
      <c r="I101" s="666"/>
    </row>
    <row r="102" spans="1:9" ht="12.75" hidden="1" customHeight="1">
      <c r="A102" s="716">
        <v>2</v>
      </c>
      <c r="B102" s="323" t="s">
        <v>572</v>
      </c>
      <c r="C102" s="719">
        <f>'1.xi den'!H8</f>
        <v>15.3</v>
      </c>
      <c r="D102" s="720">
        <f>'1.xi den'!L8</f>
        <v>0</v>
      </c>
      <c r="E102" s="666"/>
      <c r="F102" s="666"/>
      <c r="G102" s="666"/>
      <c r="H102" s="666"/>
      <c r="I102" s="666"/>
    </row>
    <row r="103" spans="1:9" ht="12.75" hidden="1" customHeight="1">
      <c r="A103" s="716">
        <v>3</v>
      </c>
      <c r="B103" s="323" t="s">
        <v>573</v>
      </c>
      <c r="C103" s="719">
        <f>'1.xi den'!H9</f>
        <v>15</v>
      </c>
      <c r="D103" s="720">
        <f>'1.xi den'!L9</f>
        <v>0</v>
      </c>
      <c r="E103" s="666"/>
      <c r="F103" s="666"/>
      <c r="G103" s="666"/>
      <c r="H103" s="666"/>
      <c r="I103" s="666"/>
    </row>
    <row r="104" spans="1:9" ht="12.75" hidden="1" customHeight="1">
      <c r="A104" s="716">
        <v>4</v>
      </c>
      <c r="B104" s="323" t="s">
        <v>575</v>
      </c>
      <c r="C104" s="719">
        <f>'1.xi den'!H10</f>
        <v>10</v>
      </c>
      <c r="D104" s="720">
        <f>'1.xi den'!L10</f>
        <v>0</v>
      </c>
      <c r="E104" s="666"/>
      <c r="F104" s="666"/>
      <c r="G104" s="666"/>
      <c r="H104" s="666"/>
      <c r="I104" s="666"/>
    </row>
    <row r="105" spans="1:9" ht="12.75" hidden="1" customHeight="1">
      <c r="A105" s="716">
        <v>5</v>
      </c>
      <c r="B105" s="721" t="s">
        <v>577</v>
      </c>
      <c r="C105" s="719">
        <f>'1.xi den'!H11</f>
        <v>1.1399999999999999</v>
      </c>
      <c r="D105" s="720">
        <f>'1.xi den'!L11</f>
        <v>0</v>
      </c>
      <c r="E105" s="666"/>
      <c r="F105" s="666"/>
      <c r="G105" s="666"/>
      <c r="H105" s="666"/>
      <c r="I105" s="666"/>
    </row>
    <row r="106" spans="1:9" ht="12.75" hidden="1" customHeight="1">
      <c r="A106" s="716">
        <v>6</v>
      </c>
      <c r="B106" s="721" t="s">
        <v>579</v>
      </c>
      <c r="C106" s="719">
        <f>'1.xi den'!H12</f>
        <v>23.5</v>
      </c>
      <c r="D106" s="720">
        <f>'1.xi den'!L12</f>
        <v>0</v>
      </c>
      <c r="E106" s="666"/>
      <c r="F106" s="666"/>
      <c r="G106" s="666"/>
      <c r="H106" s="666"/>
      <c r="I106" s="666"/>
    </row>
    <row r="107" spans="1:9" ht="12.75" hidden="1" customHeight="1">
      <c r="A107" s="716">
        <v>7</v>
      </c>
      <c r="B107" s="721" t="s">
        <v>581</v>
      </c>
      <c r="C107" s="719">
        <f>'1.xi den'!H13</f>
        <v>8.3000000000000007</v>
      </c>
      <c r="D107" s="720">
        <f>'1.xi den'!L13</f>
        <v>0</v>
      </c>
      <c r="E107" s="666"/>
      <c r="F107" s="666"/>
      <c r="G107" s="666"/>
      <c r="H107" s="666"/>
      <c r="I107" s="666"/>
    </row>
    <row r="108" spans="1:9" ht="12.75" hidden="1" customHeight="1">
      <c r="A108" s="716">
        <v>8</v>
      </c>
      <c r="B108" s="323" t="s">
        <v>583</v>
      </c>
      <c r="C108" s="719">
        <f>'1.xi den'!H14</f>
        <v>7.3</v>
      </c>
      <c r="D108" s="720">
        <f>'1.xi den'!L14</f>
        <v>0</v>
      </c>
      <c r="E108" s="666"/>
      <c r="F108" s="666"/>
      <c r="G108" s="666"/>
      <c r="H108" s="666"/>
      <c r="I108" s="666"/>
    </row>
    <row r="109" spans="1:9" ht="12.75" hidden="1" customHeight="1">
      <c r="A109" s="716">
        <v>9</v>
      </c>
      <c r="B109" s="721" t="s">
        <v>773</v>
      </c>
      <c r="C109" s="719">
        <f>'1.xi den'!H15</f>
        <v>5.4</v>
      </c>
      <c r="D109" s="720">
        <f>'1.xi den'!L15</f>
        <v>0</v>
      </c>
      <c r="E109" s="666"/>
      <c r="F109" s="666"/>
      <c r="G109" s="666"/>
      <c r="H109" s="666"/>
      <c r="I109" s="666"/>
    </row>
    <row r="110" spans="1:9" ht="12.75" hidden="1" customHeight="1">
      <c r="A110" s="722">
        <v>10</v>
      </c>
      <c r="B110" s="723" t="s">
        <v>774</v>
      </c>
      <c r="C110" s="719">
        <f>'1.xi den'!H17</f>
        <v>15.457983884229568</v>
      </c>
      <c r="D110" s="720">
        <f>'1.xi den'!L17</f>
        <v>0</v>
      </c>
      <c r="E110" s="666"/>
      <c r="F110" s="666"/>
      <c r="G110" s="666"/>
      <c r="H110" s="666"/>
      <c r="I110" s="666"/>
    </row>
    <row r="111" spans="1:9" ht="12.75" hidden="1" customHeight="1">
      <c r="A111" s="722">
        <v>11</v>
      </c>
      <c r="B111" s="723" t="s">
        <v>775</v>
      </c>
      <c r="C111" s="719">
        <f>'1.xi den'!H18</f>
        <v>12</v>
      </c>
      <c r="D111" s="720">
        <f>'1.xi den'!L18</f>
        <v>0</v>
      </c>
      <c r="E111" s="666"/>
      <c r="F111" s="666"/>
      <c r="G111" s="666"/>
      <c r="H111" s="666"/>
      <c r="I111" s="666"/>
    </row>
    <row r="112" spans="1:9" ht="12.75" hidden="1" customHeight="1">
      <c r="A112" s="722">
        <v>12</v>
      </c>
      <c r="B112" s="723" t="s">
        <v>379</v>
      </c>
      <c r="C112" s="719">
        <f>'1.xi den'!H21</f>
        <v>0.84937712344280936</v>
      </c>
      <c r="D112" s="720">
        <f>'1.xi den'!L21</f>
        <v>0</v>
      </c>
      <c r="E112" s="666"/>
      <c r="F112" s="666"/>
      <c r="G112" s="666"/>
      <c r="H112" s="666"/>
      <c r="I112" s="666"/>
    </row>
    <row r="113" spans="1:9" ht="12.75" hidden="1" customHeight="1">
      <c r="A113" s="722">
        <v>13</v>
      </c>
      <c r="B113" s="723" t="s">
        <v>382</v>
      </c>
      <c r="C113" s="719">
        <f>'1.xi den'!H22</f>
        <v>0.50395968322534201</v>
      </c>
      <c r="D113" s="720">
        <f>'1.xi den'!L22</f>
        <v>0</v>
      </c>
      <c r="E113" s="666"/>
      <c r="F113" s="666"/>
      <c r="G113" s="666"/>
      <c r="H113" s="666"/>
      <c r="I113" s="666"/>
    </row>
    <row r="114" spans="1:9" ht="12.75" hidden="1" customHeight="1">
      <c r="A114" s="321"/>
      <c r="B114" s="724" t="s">
        <v>109</v>
      </c>
      <c r="C114" s="725" t="s">
        <v>157</v>
      </c>
      <c r="D114" s="726"/>
      <c r="E114" s="666"/>
      <c r="F114" s="666"/>
      <c r="G114" s="666"/>
      <c r="H114" s="666"/>
      <c r="I114" s="666"/>
    </row>
    <row r="115" spans="1:9" ht="12.75" hidden="1" customHeight="1">
      <c r="A115" s="466" t="s">
        <v>7</v>
      </c>
      <c r="B115" s="724" t="s">
        <v>61</v>
      </c>
      <c r="C115" s="727">
        <v>0.375</v>
      </c>
      <c r="D115" s="728">
        <v>0.54166666666666663</v>
      </c>
      <c r="E115" s="666"/>
      <c r="F115" s="666"/>
      <c r="G115" s="666"/>
      <c r="H115" s="666"/>
      <c r="I115" s="666"/>
    </row>
    <row r="116" spans="1:9" ht="12.75" hidden="1" customHeight="1">
      <c r="A116" s="466">
        <v>1</v>
      </c>
      <c r="B116" s="137" t="s">
        <v>474</v>
      </c>
      <c r="C116" s="719">
        <f>'1.xi den'!H25</f>
        <v>58</v>
      </c>
      <c r="D116" s="720">
        <f>'1.xi den'!L25</f>
        <v>0</v>
      </c>
      <c r="E116" s="666"/>
      <c r="F116" s="666"/>
      <c r="G116" s="666"/>
      <c r="H116" s="666"/>
      <c r="I116" s="666"/>
    </row>
    <row r="117" spans="1:9" ht="12.75" hidden="1" customHeight="1">
      <c r="A117" s="466">
        <v>2</v>
      </c>
      <c r="B117" s="137" t="s">
        <v>478</v>
      </c>
      <c r="C117" s="719">
        <f>'1.xi den'!H26</f>
        <v>58</v>
      </c>
      <c r="D117" s="720">
        <f>'1.xi den'!L26</f>
        <v>0</v>
      </c>
      <c r="E117" s="666"/>
      <c r="F117" s="666"/>
      <c r="G117" s="666"/>
      <c r="H117" s="666"/>
      <c r="I117" s="666"/>
    </row>
    <row r="118" spans="1:9" ht="12.75" hidden="1" customHeight="1">
      <c r="A118" s="466">
        <v>3</v>
      </c>
      <c r="B118" s="137" t="s">
        <v>480</v>
      </c>
      <c r="C118" s="719">
        <f>'1.xi den'!H27</f>
        <v>58</v>
      </c>
      <c r="D118" s="720">
        <f>'1.xi den'!L27</f>
        <v>0</v>
      </c>
      <c r="E118" s="666"/>
      <c r="F118" s="666"/>
      <c r="G118" s="666"/>
      <c r="H118" s="666"/>
      <c r="I118" s="666"/>
    </row>
    <row r="119" spans="1:9" ht="12.75" hidden="1" customHeight="1">
      <c r="A119" s="466">
        <v>4</v>
      </c>
      <c r="B119" s="137" t="s">
        <v>511</v>
      </c>
      <c r="C119" s="719">
        <f>'1.xi den'!H28</f>
        <v>33</v>
      </c>
      <c r="D119" s="720">
        <f>'1.xi den'!L28</f>
        <v>0</v>
      </c>
      <c r="E119" s="666"/>
      <c r="F119" s="666"/>
      <c r="G119" s="666"/>
      <c r="H119" s="666"/>
      <c r="I119" s="666"/>
    </row>
    <row r="120" spans="1:9" ht="12.75" hidden="1" customHeight="1">
      <c r="A120" s="466">
        <v>5</v>
      </c>
      <c r="B120" s="137" t="s">
        <v>776</v>
      </c>
      <c r="C120" s="719">
        <f>'1.xi den'!H29</f>
        <v>30</v>
      </c>
      <c r="D120" s="720">
        <f>'1.xi den'!L29</f>
        <v>0</v>
      </c>
      <c r="E120" s="666"/>
      <c r="F120" s="666"/>
      <c r="G120" s="666"/>
      <c r="H120" s="666"/>
      <c r="I120" s="666"/>
    </row>
    <row r="121" spans="1:9" ht="12.75" hidden="1" customHeight="1">
      <c r="A121" s="466">
        <v>6</v>
      </c>
      <c r="B121" s="137" t="s">
        <v>519</v>
      </c>
      <c r="C121" s="719">
        <f>'1.xi den'!I31</f>
        <v>190</v>
      </c>
      <c r="D121" s="720">
        <f>'1.xi den'!M31</f>
        <v>0</v>
      </c>
      <c r="E121" s="666"/>
      <c r="F121" s="666"/>
      <c r="G121" s="666"/>
      <c r="H121" s="666"/>
      <c r="I121" s="666"/>
    </row>
    <row r="122" spans="1:9" ht="12.75" hidden="1" customHeight="1">
      <c r="A122" s="466">
        <v>1</v>
      </c>
      <c r="B122" s="729" t="s">
        <v>777</v>
      </c>
      <c r="C122" s="727">
        <v>0.375</v>
      </c>
      <c r="D122" s="728">
        <v>0.54166666666666663</v>
      </c>
      <c r="E122" s="666"/>
      <c r="F122" s="666"/>
      <c r="G122" s="666"/>
      <c r="H122" s="666"/>
      <c r="I122" s="666"/>
    </row>
    <row r="123" spans="1:9" ht="12.75" hidden="1" customHeight="1">
      <c r="A123" s="466">
        <v>2</v>
      </c>
      <c r="B123" s="730" t="s">
        <v>521</v>
      </c>
      <c r="C123" s="719">
        <f>'1.xi den'!H33</f>
        <v>906</v>
      </c>
      <c r="D123" s="720">
        <f>'1.xi den'!L33</f>
        <v>0</v>
      </c>
      <c r="E123" s="666"/>
      <c r="F123" s="666"/>
      <c r="G123" s="666"/>
      <c r="H123" s="666"/>
      <c r="I123" s="666"/>
    </row>
    <row r="124" spans="1:9" ht="12.75" hidden="1" customHeight="1">
      <c r="A124" s="731"/>
      <c r="B124" s="732" t="s">
        <v>524</v>
      </c>
      <c r="C124" s="719">
        <f>'1.xi den'!H34</f>
        <v>0</v>
      </c>
      <c r="D124" s="720">
        <f>'1.xi den'!L34</f>
        <v>0</v>
      </c>
      <c r="E124" s="666"/>
      <c r="F124" s="666"/>
      <c r="G124" s="666"/>
      <c r="H124" s="666"/>
      <c r="I124" s="666"/>
    </row>
    <row r="125" spans="1:9" ht="12.75" hidden="1" customHeight="1">
      <c r="A125" s="733"/>
      <c r="B125" s="734"/>
      <c r="C125" s="735" t="s">
        <v>156</v>
      </c>
      <c r="D125" s="726"/>
      <c r="E125" s="666"/>
      <c r="F125" s="666"/>
      <c r="G125" s="666"/>
      <c r="H125" s="666"/>
      <c r="I125" s="666"/>
    </row>
    <row r="126" spans="1:9" ht="12.75" hidden="1" customHeight="1">
      <c r="A126" s="736"/>
      <c r="B126" s="737"/>
      <c r="C126" s="727">
        <v>0.375</v>
      </c>
      <c r="D126" s="728">
        <v>0.54166666666666663</v>
      </c>
      <c r="E126" s="666"/>
      <c r="F126" s="666"/>
      <c r="G126" s="666"/>
      <c r="H126" s="666"/>
      <c r="I126" s="666"/>
    </row>
    <row r="127" spans="1:9" ht="12.75" hidden="1" customHeight="1">
      <c r="A127" s="716">
        <v>1</v>
      </c>
      <c r="B127" s="323" t="s">
        <v>571</v>
      </c>
      <c r="C127" s="738">
        <f>'1.xi den'!J7</f>
        <v>0</v>
      </c>
      <c r="D127" s="739">
        <f>'1.xi den'!N7</f>
        <v>0</v>
      </c>
      <c r="E127" s="666"/>
      <c r="F127" s="666"/>
      <c r="G127" s="666"/>
      <c r="H127" s="666"/>
      <c r="I127" s="666"/>
    </row>
    <row r="128" spans="1:9" ht="12.75" hidden="1" customHeight="1">
      <c r="A128" s="716">
        <v>2</v>
      </c>
      <c r="B128" s="323" t="s">
        <v>572</v>
      </c>
      <c r="C128" s="738">
        <f>'1.xi den'!J8</f>
        <v>0</v>
      </c>
      <c r="D128" s="739">
        <f>'1.xi den'!N8</f>
        <v>0</v>
      </c>
      <c r="E128" s="666"/>
      <c r="F128" s="666"/>
      <c r="G128" s="666"/>
      <c r="H128" s="666"/>
      <c r="I128" s="666"/>
    </row>
    <row r="129" spans="1:9" ht="12.75" hidden="1" customHeight="1">
      <c r="A129" s="716">
        <v>3</v>
      </c>
      <c r="B129" s="323" t="s">
        <v>573</v>
      </c>
      <c r="C129" s="738">
        <f>'1.xi den'!J9</f>
        <v>0</v>
      </c>
      <c r="D129" s="739">
        <f>'1.xi den'!N9</f>
        <v>0</v>
      </c>
      <c r="E129" s="666"/>
      <c r="F129" s="666"/>
      <c r="G129" s="666"/>
      <c r="H129" s="666"/>
      <c r="I129" s="666"/>
    </row>
    <row r="130" spans="1:9" ht="12.75" hidden="1" customHeight="1">
      <c r="A130" s="716">
        <v>4</v>
      </c>
      <c r="B130" s="323" t="s">
        <v>575</v>
      </c>
      <c r="C130" s="738">
        <f>'1.xi den'!J10</f>
        <v>0</v>
      </c>
      <c r="D130" s="739">
        <f>'1.xi den'!N10</f>
        <v>0</v>
      </c>
      <c r="E130" s="666"/>
      <c r="F130" s="666"/>
      <c r="G130" s="666"/>
      <c r="H130" s="666"/>
      <c r="I130" s="666"/>
    </row>
    <row r="131" spans="1:9" ht="12.75" hidden="1" customHeight="1">
      <c r="A131" s="716">
        <v>5</v>
      </c>
      <c r="B131" s="721" t="s">
        <v>577</v>
      </c>
      <c r="C131" s="738">
        <f>'1.xi den'!J11</f>
        <v>0</v>
      </c>
      <c r="D131" s="739">
        <f>'1.xi den'!N11</f>
        <v>0</v>
      </c>
      <c r="E131" s="666"/>
      <c r="F131" s="666"/>
      <c r="G131" s="666"/>
      <c r="H131" s="666"/>
      <c r="I131" s="666"/>
    </row>
    <row r="132" spans="1:9" ht="12.75" hidden="1" customHeight="1">
      <c r="A132" s="716">
        <v>6</v>
      </c>
      <c r="B132" s="721" t="s">
        <v>579</v>
      </c>
      <c r="C132" s="738">
        <f>'1.xi den'!J12</f>
        <v>0</v>
      </c>
      <c r="D132" s="739">
        <f>'1.xi den'!N12</f>
        <v>0</v>
      </c>
      <c r="E132" s="666"/>
      <c r="F132" s="666"/>
      <c r="G132" s="666"/>
      <c r="H132" s="666"/>
      <c r="I132" s="666"/>
    </row>
    <row r="133" spans="1:9" ht="12.75" hidden="1" customHeight="1">
      <c r="A133" s="716">
        <v>7</v>
      </c>
      <c r="B133" s="721" t="s">
        <v>581</v>
      </c>
      <c r="C133" s="738">
        <f>'1.xi den'!J13</f>
        <v>0</v>
      </c>
      <c r="D133" s="739">
        <f>'1.xi den'!N13</f>
        <v>0</v>
      </c>
      <c r="E133" s="666"/>
      <c r="F133" s="666"/>
      <c r="G133" s="666"/>
      <c r="H133" s="666"/>
      <c r="I133" s="666"/>
    </row>
    <row r="134" spans="1:9" ht="12.75" hidden="1" customHeight="1">
      <c r="A134" s="716">
        <v>8</v>
      </c>
      <c r="B134" s="323" t="s">
        <v>583</v>
      </c>
      <c r="C134" s="738">
        <f>'1.xi den'!J14</f>
        <v>0</v>
      </c>
      <c r="D134" s="739">
        <f>'1.xi den'!N14</f>
        <v>0</v>
      </c>
      <c r="E134" s="666"/>
      <c r="F134" s="666"/>
      <c r="G134" s="666"/>
      <c r="H134" s="666"/>
      <c r="I134" s="666"/>
    </row>
    <row r="135" spans="1:9" ht="12.75" hidden="1" customHeight="1">
      <c r="A135" s="716">
        <v>9</v>
      </c>
      <c r="B135" s="721" t="s">
        <v>773</v>
      </c>
      <c r="C135" s="738">
        <f>'1.xi den'!J15</f>
        <v>0</v>
      </c>
      <c r="D135" s="739">
        <f>'1.xi den'!N15</f>
        <v>0</v>
      </c>
      <c r="E135" s="666"/>
      <c r="F135" s="666"/>
      <c r="G135" s="666"/>
      <c r="H135" s="666"/>
      <c r="I135" s="666"/>
    </row>
    <row r="136" spans="1:9" ht="12.75" hidden="1" customHeight="1">
      <c r="A136" s="722">
        <v>10</v>
      </c>
      <c r="B136" s="723" t="s">
        <v>774</v>
      </c>
      <c r="C136" s="738">
        <f>'1.xi den'!J17</f>
        <v>0</v>
      </c>
      <c r="D136" s="739">
        <f>'1.xi den'!N17</f>
        <v>0</v>
      </c>
      <c r="E136" s="666"/>
      <c r="F136" s="666"/>
      <c r="G136" s="666"/>
      <c r="H136" s="666"/>
      <c r="I136" s="666"/>
    </row>
    <row r="137" spans="1:9" ht="12.75" hidden="1" customHeight="1">
      <c r="A137" s="722">
        <v>11</v>
      </c>
      <c r="B137" s="723" t="s">
        <v>775</v>
      </c>
      <c r="C137" s="738">
        <f>'1.xi den'!J18</f>
        <v>0</v>
      </c>
      <c r="D137" s="739">
        <f>'1.xi den'!N18</f>
        <v>0</v>
      </c>
      <c r="E137" s="666"/>
      <c r="F137" s="666"/>
      <c r="G137" s="666"/>
      <c r="H137" s="666"/>
      <c r="I137" s="666"/>
    </row>
    <row r="138" spans="1:9" ht="12.75" hidden="1" customHeight="1">
      <c r="A138" s="722">
        <v>12</v>
      </c>
      <c r="B138" s="723" t="s">
        <v>379</v>
      </c>
      <c r="C138" s="738">
        <f>'1.xi den'!J21</f>
        <v>0</v>
      </c>
      <c r="D138" s="739">
        <f>'1.xi den'!N21</f>
        <v>0</v>
      </c>
      <c r="E138" s="666"/>
      <c r="F138" s="666"/>
      <c r="G138" s="666"/>
      <c r="H138" s="666"/>
      <c r="I138" s="666"/>
    </row>
    <row r="139" spans="1:9" ht="12.75" hidden="1" customHeight="1">
      <c r="A139" s="722">
        <v>13</v>
      </c>
      <c r="B139" s="723" t="s">
        <v>382</v>
      </c>
      <c r="C139" s="738">
        <f>'1.xi den'!J22</f>
        <v>0</v>
      </c>
      <c r="D139" s="739">
        <f>'1.xi den'!N22</f>
        <v>0</v>
      </c>
      <c r="E139" s="666"/>
      <c r="F139" s="666"/>
      <c r="G139" s="666"/>
      <c r="H139" s="666"/>
      <c r="I139" s="666"/>
    </row>
    <row r="140" spans="1:9" ht="12.75" customHeight="1" thickBot="1">
      <c r="A140" s="673"/>
      <c r="B140" s="392"/>
      <c r="C140" s="740"/>
      <c r="D140" s="741"/>
      <c r="E140" s="666"/>
      <c r="F140" s="666"/>
      <c r="G140" s="666"/>
      <c r="H140" s="666"/>
      <c r="I140" s="666"/>
    </row>
    <row r="141" spans="1:9" ht="12.75" customHeight="1">
      <c r="A141" s="673"/>
      <c r="B141" s="392"/>
      <c r="E141" s="666"/>
      <c r="F141" s="666"/>
      <c r="G141" s="666"/>
      <c r="H141" s="666"/>
      <c r="I141" s="666"/>
    </row>
    <row r="143" spans="1:9" ht="12.75" customHeight="1">
      <c r="A143" s="3776" t="s">
        <v>778</v>
      </c>
      <c r="B143" s="3777"/>
      <c r="E143" s="666"/>
      <c r="F143" s="666"/>
      <c r="G143" s="666"/>
      <c r="H143" s="666"/>
      <c r="I143" s="666"/>
    </row>
    <row r="144" spans="1:9" ht="12.75" customHeight="1">
      <c r="A144" s="3778" t="s">
        <v>7</v>
      </c>
      <c r="B144" s="3780" t="s">
        <v>76</v>
      </c>
      <c r="C144" s="672" t="s">
        <v>155</v>
      </c>
      <c r="D144" s="672"/>
      <c r="E144" s="666"/>
      <c r="F144" s="666"/>
      <c r="G144" s="666"/>
      <c r="H144" s="666"/>
      <c r="I144" s="666"/>
    </row>
    <row r="145" spans="1:9" ht="12.75" customHeight="1" thickBot="1">
      <c r="A145" s="3779"/>
      <c r="B145" s="3781"/>
      <c r="C145" s="675">
        <v>0.33333333333333331</v>
      </c>
      <c r="D145" s="675">
        <v>0.83333333333333337</v>
      </c>
      <c r="E145" s="666"/>
      <c r="F145" s="666"/>
      <c r="G145" s="666"/>
      <c r="H145" s="666"/>
      <c r="I145" s="666"/>
    </row>
    <row r="146" spans="1:9" ht="12.75" customHeight="1">
      <c r="A146" s="742">
        <v>1</v>
      </c>
      <c r="B146" s="743" t="s">
        <v>528</v>
      </c>
      <c r="C146" s="717">
        <f>'R.FILE GOC'!H89</f>
        <v>24.016000000000002</v>
      </c>
      <c r="D146" s="718">
        <f>'R.FILE GOC'!N89</f>
        <v>25.3</v>
      </c>
      <c r="E146" s="666"/>
      <c r="F146" s="666"/>
      <c r="G146" s="666"/>
      <c r="H146" s="666"/>
      <c r="I146" s="666"/>
    </row>
    <row r="147" spans="1:9" ht="12.75" hidden="1" customHeight="1">
      <c r="A147" s="742">
        <v>2</v>
      </c>
      <c r="B147" s="743" t="s">
        <v>532</v>
      </c>
      <c r="C147" s="719">
        <f>'R.FILE GOC'!H90</f>
        <v>25.596000000000004</v>
      </c>
      <c r="D147" s="720">
        <f>'R.FILE GOC'!N90</f>
        <v>25.3</v>
      </c>
      <c r="E147" s="666"/>
      <c r="F147" s="666"/>
      <c r="G147" s="666"/>
      <c r="H147" s="666"/>
      <c r="I147" s="666"/>
    </row>
    <row r="148" spans="1:9" ht="12.75" hidden="1" customHeight="1">
      <c r="A148" s="742">
        <v>3</v>
      </c>
      <c r="B148" s="743" t="s">
        <v>534</v>
      </c>
      <c r="C148" s="719">
        <f>'R.FILE GOC'!H91</f>
        <v>248.5</v>
      </c>
      <c r="D148" s="720">
        <f>'R.FILE GOC'!N91</f>
        <v>250</v>
      </c>
      <c r="E148" s="666"/>
      <c r="F148" s="666"/>
      <c r="G148" s="666"/>
      <c r="H148" s="666"/>
      <c r="I148" s="666"/>
    </row>
    <row r="149" spans="1:9" ht="12.75" hidden="1" customHeight="1">
      <c r="A149" s="742">
        <v>4</v>
      </c>
      <c r="B149" s="324" t="s">
        <v>415</v>
      </c>
      <c r="C149" s="719">
        <f>'R.FILE GOC'!H92</f>
        <v>125</v>
      </c>
      <c r="D149" s="720">
        <f>'R.FILE GOC'!N92</f>
        <v>127.3</v>
      </c>
      <c r="E149" s="666"/>
      <c r="F149" s="666"/>
      <c r="G149" s="666"/>
      <c r="H149" s="666"/>
      <c r="I149" s="666"/>
    </row>
    <row r="150" spans="1:9" ht="12.75" hidden="1" customHeight="1">
      <c r="A150" s="742">
        <v>5</v>
      </c>
      <c r="B150" s="324" t="s">
        <v>416</v>
      </c>
      <c r="C150" s="719">
        <f>'R.FILE GOC'!H93</f>
        <v>1.1250000000000004</v>
      </c>
      <c r="D150" s="720">
        <f>'R.FILE GOC'!N93</f>
        <v>1.3749999999999996</v>
      </c>
      <c r="E150" s="666"/>
      <c r="F150" s="666"/>
      <c r="G150" s="666"/>
      <c r="H150" s="666"/>
      <c r="I150" s="666"/>
    </row>
    <row r="151" spans="1:9" ht="12.75" hidden="1" customHeight="1">
      <c r="A151" s="742">
        <v>6</v>
      </c>
      <c r="B151" s="329" t="s">
        <v>417</v>
      </c>
      <c r="C151" s="719">
        <f>'R.FILE GOC'!H94</f>
        <v>126.25</v>
      </c>
      <c r="D151" s="720">
        <f>'R.FILE GOC'!N94</f>
        <v>128.19999999999999</v>
      </c>
      <c r="E151" s="666"/>
      <c r="F151" s="666"/>
      <c r="G151" s="666"/>
      <c r="H151" s="666"/>
      <c r="I151" s="666"/>
    </row>
    <row r="152" spans="1:9" ht="12.75" hidden="1" customHeight="1">
      <c r="A152" s="742">
        <v>7</v>
      </c>
      <c r="B152" s="329" t="s">
        <v>418</v>
      </c>
      <c r="C152" s="719">
        <f>'R.FILE GOC'!H95</f>
        <v>1.25</v>
      </c>
      <c r="D152" s="720">
        <f>'R.FILE GOC'!N95</f>
        <v>1.3749999999999996</v>
      </c>
      <c r="E152" s="666"/>
      <c r="F152" s="666"/>
      <c r="G152" s="666"/>
      <c r="H152" s="666"/>
      <c r="I152" s="666"/>
    </row>
    <row r="153" spans="1:9" ht="12.75" hidden="1" customHeight="1">
      <c r="A153" s="742">
        <v>8</v>
      </c>
      <c r="B153" s="329" t="s">
        <v>419</v>
      </c>
      <c r="C153" s="719">
        <f>'R.FILE GOC'!H96</f>
        <v>123.75</v>
      </c>
      <c r="D153" s="720">
        <f>'R.FILE GOC'!N96</f>
        <v>125.3</v>
      </c>
      <c r="E153" s="666"/>
      <c r="F153" s="666"/>
      <c r="G153" s="666"/>
      <c r="H153" s="666"/>
      <c r="I153" s="666"/>
    </row>
    <row r="154" spans="1:9" ht="12.75" hidden="1" customHeight="1">
      <c r="A154" s="742">
        <v>9</v>
      </c>
      <c r="B154" s="329" t="s">
        <v>420</v>
      </c>
      <c r="C154" s="719">
        <f>'R.FILE GOC'!H97</f>
        <v>1.2</v>
      </c>
      <c r="D154" s="720">
        <f>'R.FILE GOC'!N97</f>
        <v>1.3749999999999996</v>
      </c>
      <c r="E154" s="666"/>
      <c r="F154" s="666"/>
      <c r="G154" s="666"/>
      <c r="H154" s="666"/>
      <c r="I154" s="666"/>
    </row>
    <row r="155" spans="1:9" ht="12.75" hidden="1" customHeight="1">
      <c r="A155" s="3769">
        <v>10</v>
      </c>
      <c r="B155" s="3384" t="s">
        <v>779</v>
      </c>
      <c r="C155" s="719">
        <f>'R.FILE GOC'!H98</f>
        <v>11.232000000000001</v>
      </c>
      <c r="D155" s="720">
        <f>'R.FILE GOC'!N98</f>
        <v>11.023999999999999</v>
      </c>
      <c r="E155" s="666"/>
      <c r="F155" s="666"/>
      <c r="G155" s="666"/>
      <c r="H155" s="666"/>
      <c r="I155" s="666"/>
    </row>
    <row r="156" spans="1:9" ht="12.75" hidden="1" customHeight="1">
      <c r="A156" s="3770"/>
      <c r="B156" s="3771"/>
      <c r="C156" s="719">
        <f>'R.FILE GOC'!H99</f>
        <v>6.6</v>
      </c>
      <c r="D156" s="720">
        <f>'R.FILE GOC'!N99</f>
        <v>6.6</v>
      </c>
      <c r="E156" s="666"/>
      <c r="F156" s="666"/>
      <c r="G156" s="666"/>
      <c r="H156" s="666"/>
      <c r="I156" s="666"/>
    </row>
    <row r="157" spans="1:9" ht="12.75" hidden="1" customHeight="1">
      <c r="A157" s="742">
        <v>12</v>
      </c>
      <c r="B157" s="744" t="s">
        <v>550</v>
      </c>
      <c r="C157" s="719">
        <f>'R.FILE GOC'!H100</f>
        <v>0</v>
      </c>
      <c r="D157" s="720">
        <f>'R.FILE GOC'!N100</f>
        <v>0</v>
      </c>
      <c r="E157" s="666"/>
      <c r="F157" s="666"/>
      <c r="G157" s="666"/>
      <c r="H157" s="666"/>
      <c r="I157" s="666"/>
    </row>
    <row r="158" spans="1:9" ht="12.75" hidden="1" customHeight="1">
      <c r="A158" s="742">
        <v>13</v>
      </c>
      <c r="B158" s="745" t="s">
        <v>552</v>
      </c>
      <c r="C158" s="719">
        <f>'R.FILE GOC'!H101</f>
        <v>0</v>
      </c>
      <c r="D158" s="720">
        <f>'R.FILE GOC'!N101</f>
        <v>0</v>
      </c>
      <c r="E158" s="666"/>
      <c r="F158" s="666"/>
      <c r="G158" s="666"/>
      <c r="H158" s="666"/>
      <c r="I158" s="666"/>
    </row>
    <row r="159" spans="1:9" ht="12.75" hidden="1" customHeight="1">
      <c r="A159" s="742">
        <v>14</v>
      </c>
      <c r="B159" s="746" t="s">
        <v>554</v>
      </c>
      <c r="C159" s="719">
        <f>'R.FILE GOC'!H102</f>
        <v>5.8</v>
      </c>
      <c r="D159" s="720">
        <f>'R.FILE GOC'!N102</f>
        <v>5.7</v>
      </c>
      <c r="E159" s="666"/>
      <c r="F159" s="666"/>
      <c r="G159" s="666"/>
      <c r="H159" s="666"/>
      <c r="I159" s="666"/>
    </row>
    <row r="160" spans="1:9" ht="12.75" hidden="1" customHeight="1">
      <c r="A160" s="742"/>
      <c r="B160" s="747" t="s">
        <v>73</v>
      </c>
      <c r="C160" s="725" t="s">
        <v>157</v>
      </c>
      <c r="D160" s="748" t="s">
        <v>157</v>
      </c>
      <c r="E160" s="666"/>
      <c r="F160" s="666"/>
      <c r="G160" s="666"/>
      <c r="H160" s="666"/>
      <c r="I160" s="666"/>
    </row>
    <row r="161" spans="1:9" ht="12.75" hidden="1" customHeight="1">
      <c r="A161" s="742" t="s">
        <v>7</v>
      </c>
      <c r="B161" s="749" t="s">
        <v>61</v>
      </c>
      <c r="C161" s="727">
        <v>0.33333333333333331</v>
      </c>
      <c r="D161" s="728"/>
      <c r="E161" s="666"/>
      <c r="F161" s="666"/>
      <c r="G161" s="666"/>
      <c r="H161" s="666"/>
      <c r="I161" s="666"/>
    </row>
    <row r="162" spans="1:9" ht="12.75" hidden="1" customHeight="1">
      <c r="A162" s="742">
        <v>1</v>
      </c>
      <c r="B162" s="743" t="s">
        <v>528</v>
      </c>
      <c r="C162" s="719">
        <f>'R.FILE GOC'!H105</f>
        <v>61</v>
      </c>
      <c r="D162" s="720">
        <f>'R.FILE GOC'!N105</f>
        <v>60</v>
      </c>
      <c r="E162" s="666"/>
      <c r="F162" s="666"/>
      <c r="G162" s="666"/>
      <c r="H162" s="666"/>
      <c r="I162" s="666"/>
    </row>
    <row r="163" spans="1:9" ht="12.75" hidden="1" customHeight="1">
      <c r="A163" s="742">
        <v>2</v>
      </c>
      <c r="B163" s="743" t="s">
        <v>532</v>
      </c>
      <c r="C163" s="719">
        <f>'R.FILE GOC'!H106</f>
        <v>55</v>
      </c>
      <c r="D163" s="720">
        <f>'R.FILE GOC'!N106</f>
        <v>54</v>
      </c>
      <c r="E163" s="666"/>
      <c r="F163" s="666"/>
      <c r="G163" s="666"/>
      <c r="H163" s="666"/>
      <c r="I163" s="666"/>
    </row>
    <row r="164" spans="1:9" ht="12.75" hidden="1" customHeight="1">
      <c r="A164" s="742">
        <v>3</v>
      </c>
      <c r="B164" s="324" t="s">
        <v>780</v>
      </c>
      <c r="C164" s="719">
        <f>'R.FILE GOC'!H107</f>
        <v>23</v>
      </c>
      <c r="D164" s="720">
        <f>'R.FILE GOC'!N107</f>
        <v>25</v>
      </c>
      <c r="E164" s="666"/>
      <c r="F164" s="666"/>
      <c r="G164" s="666"/>
      <c r="H164" s="666"/>
      <c r="I164" s="666"/>
    </row>
    <row r="165" spans="1:9" ht="12.75" hidden="1" customHeight="1">
      <c r="A165" s="742">
        <v>4</v>
      </c>
      <c r="B165" s="324" t="s">
        <v>781</v>
      </c>
      <c r="C165" s="719">
        <f>'R.FILE GOC'!H108</f>
        <v>23</v>
      </c>
      <c r="D165" s="720">
        <f>'R.FILE GOC'!N108</f>
        <v>23</v>
      </c>
      <c r="E165" s="666"/>
      <c r="F165" s="666"/>
      <c r="G165" s="666"/>
      <c r="H165" s="666"/>
      <c r="I165" s="666"/>
    </row>
    <row r="166" spans="1:9" ht="12.75" hidden="1" customHeight="1">
      <c r="A166" s="742">
        <v>5</v>
      </c>
      <c r="B166" s="324" t="s">
        <v>782</v>
      </c>
      <c r="C166" s="719">
        <f>'R.FILE GOC'!H109</f>
        <v>22</v>
      </c>
      <c r="D166" s="720">
        <f>'R.FILE GOC'!N109</f>
        <v>22</v>
      </c>
      <c r="E166" s="666"/>
      <c r="F166" s="666"/>
      <c r="G166" s="666"/>
      <c r="H166" s="666"/>
      <c r="I166" s="666"/>
    </row>
    <row r="167" spans="1:9" ht="12.75" hidden="1" customHeight="1">
      <c r="A167" s="742">
        <v>6</v>
      </c>
      <c r="B167" s="324" t="s">
        <v>779</v>
      </c>
      <c r="C167" s="719">
        <f>'R.FILE GOC'!H110</f>
        <v>30</v>
      </c>
      <c r="D167" s="720">
        <f>'R.FILE GOC'!N110</f>
        <v>31</v>
      </c>
      <c r="E167" s="666"/>
      <c r="F167" s="666"/>
      <c r="G167" s="666"/>
      <c r="H167" s="666"/>
      <c r="I167" s="666"/>
    </row>
    <row r="168" spans="1:9" ht="12.75" hidden="1" customHeight="1">
      <c r="A168" s="742">
        <v>8</v>
      </c>
      <c r="B168" s="744" t="s">
        <v>550</v>
      </c>
      <c r="C168" s="719">
        <f>'R.FILE GOC'!H111</f>
        <v>0</v>
      </c>
      <c r="D168" s="720">
        <f>'R.FILE GOC'!N111</f>
        <v>0</v>
      </c>
      <c r="E168" s="666"/>
      <c r="F168" s="666"/>
      <c r="G168" s="666"/>
      <c r="H168" s="666"/>
      <c r="I168" s="666"/>
    </row>
    <row r="169" spans="1:9" ht="12.75" hidden="1" customHeight="1">
      <c r="A169" s="742">
        <v>9</v>
      </c>
      <c r="B169" s="745" t="s">
        <v>552</v>
      </c>
      <c r="C169" s="719">
        <f>'R.FILE GOC'!H112</f>
        <v>0</v>
      </c>
      <c r="D169" s="720">
        <f>'R.FILE GOC'!N112</f>
        <v>0</v>
      </c>
      <c r="E169" s="666"/>
      <c r="F169" s="666"/>
      <c r="G169" s="666"/>
      <c r="H169" s="666"/>
      <c r="I169" s="666"/>
    </row>
    <row r="170" spans="1:9" ht="12.75" hidden="1" customHeight="1">
      <c r="A170" s="742">
        <v>10</v>
      </c>
      <c r="B170" s="746" t="s">
        <v>554</v>
      </c>
      <c r="C170" s="719">
        <f>'R.FILE GOC'!H113</f>
        <v>62</v>
      </c>
      <c r="D170" s="720">
        <f>'R.FILE GOC'!N113</f>
        <v>64</v>
      </c>
      <c r="E170" s="666"/>
      <c r="F170" s="666"/>
      <c r="G170" s="666"/>
      <c r="H170" s="666"/>
      <c r="I170" s="666"/>
    </row>
    <row r="171" spans="1:9" ht="12.75" hidden="1" customHeight="1">
      <c r="A171" s="742">
        <v>11</v>
      </c>
      <c r="B171" s="743" t="s">
        <v>783</v>
      </c>
      <c r="C171" s="719" t="e">
        <f>'R.FILE GOC'!#REF!</f>
        <v>#REF!</v>
      </c>
      <c r="D171" s="720" t="e">
        <f>'R.FILE GOC'!#REF!</f>
        <v>#REF!</v>
      </c>
      <c r="E171" s="666"/>
      <c r="F171" s="666"/>
      <c r="G171" s="666"/>
      <c r="H171" s="666"/>
      <c r="I171" s="666"/>
    </row>
    <row r="172" spans="1:9" ht="12.75" hidden="1" customHeight="1">
      <c r="A172" s="742">
        <v>12</v>
      </c>
      <c r="B172" s="324" t="s">
        <v>566</v>
      </c>
      <c r="C172" s="796">
        <f>'5.ML'!G33</f>
        <v>109</v>
      </c>
      <c r="D172" s="797">
        <f>'5.ML'!K33</f>
        <v>109</v>
      </c>
      <c r="E172" s="666"/>
      <c r="F172" s="666"/>
      <c r="G172" s="666"/>
      <c r="H172" s="666"/>
      <c r="I172" s="666"/>
    </row>
    <row r="173" spans="1:9" ht="12.75" hidden="1" customHeight="1">
      <c r="A173" s="733"/>
      <c r="B173" s="734"/>
      <c r="C173" s="735" t="s">
        <v>156</v>
      </c>
      <c r="D173" s="726" t="s">
        <v>156</v>
      </c>
      <c r="E173" s="666"/>
      <c r="F173" s="666"/>
      <c r="G173" s="666"/>
      <c r="H173" s="666"/>
      <c r="I173" s="666"/>
    </row>
    <row r="174" spans="1:9" ht="12.75" hidden="1" customHeight="1">
      <c r="A174" s="733"/>
      <c r="B174" s="734"/>
      <c r="C174" s="727">
        <v>0.33333333333333331</v>
      </c>
      <c r="D174" s="728"/>
      <c r="E174" s="666"/>
      <c r="F174" s="666"/>
      <c r="G174" s="666"/>
      <c r="H174" s="666"/>
      <c r="I174" s="666"/>
    </row>
    <row r="175" spans="1:9" ht="12.75" hidden="1" customHeight="1">
      <c r="A175" s="742">
        <v>1</v>
      </c>
      <c r="B175" s="743" t="s">
        <v>528</v>
      </c>
      <c r="C175" s="738">
        <f>'R.FILE GOC'!K89</f>
        <v>1.6058879999999971</v>
      </c>
      <c r="D175" s="739">
        <f>'R.FILE GOC'!Q89</f>
        <v>0</v>
      </c>
      <c r="E175" s="666"/>
      <c r="F175" s="666"/>
      <c r="G175" s="666"/>
      <c r="H175" s="666"/>
      <c r="I175" s="666"/>
    </row>
    <row r="176" spans="1:9" ht="12.75" hidden="1" customHeight="1">
      <c r="A176" s="742">
        <v>2</v>
      </c>
      <c r="B176" s="743" t="s">
        <v>532</v>
      </c>
      <c r="C176" s="738">
        <f>'R.FILE GOC'!K90</f>
        <v>0</v>
      </c>
      <c r="D176" s="739">
        <f>'R.FILE GOC'!Q90</f>
        <v>0</v>
      </c>
      <c r="E176" s="666"/>
      <c r="F176" s="666"/>
      <c r="G176" s="666"/>
      <c r="H176" s="666"/>
      <c r="I176" s="666"/>
    </row>
    <row r="177" spans="1:9" ht="12.75" hidden="1" customHeight="1">
      <c r="A177" s="742">
        <v>3</v>
      </c>
      <c r="B177" s="743" t="s">
        <v>534</v>
      </c>
      <c r="C177" s="738">
        <f>'R.FILE GOC'!K91</f>
        <v>2.448</v>
      </c>
      <c r="D177" s="739">
        <f>'R.FILE GOC'!Q91</f>
        <v>0</v>
      </c>
      <c r="E177" s="666"/>
      <c r="F177" s="666"/>
      <c r="G177" s="666"/>
      <c r="H177" s="666"/>
      <c r="I177" s="666"/>
    </row>
    <row r="178" spans="1:9" ht="12.75" hidden="1" customHeight="1">
      <c r="A178" s="742">
        <v>4</v>
      </c>
      <c r="B178" s="324" t="s">
        <v>415</v>
      </c>
      <c r="C178" s="738">
        <f>'R.FILE GOC'!K92</f>
        <v>8.64</v>
      </c>
      <c r="D178" s="739">
        <f>'R.FILE GOC'!Q92</f>
        <v>4.6656000000000049</v>
      </c>
      <c r="E178" s="666"/>
      <c r="F178" s="666"/>
      <c r="G178" s="666"/>
      <c r="H178" s="666"/>
      <c r="I178" s="666"/>
    </row>
    <row r="179" spans="1:9" ht="12.75" hidden="1" customHeight="1">
      <c r="A179" s="742">
        <v>5</v>
      </c>
      <c r="B179" s="324" t="s">
        <v>416</v>
      </c>
      <c r="C179" s="738" t="str">
        <f>'R.FILE GOC'!K93</f>
        <v>N/A</v>
      </c>
      <c r="D179" s="739" t="str">
        <f>'R.FILE GOC'!Q93</f>
        <v>N/A</v>
      </c>
      <c r="E179" s="666"/>
      <c r="F179" s="666"/>
      <c r="G179" s="666"/>
      <c r="H179" s="666"/>
      <c r="I179" s="666"/>
    </row>
    <row r="180" spans="1:9" ht="12.75" hidden="1" customHeight="1">
      <c r="A180" s="742">
        <v>6</v>
      </c>
      <c r="B180" s="329" t="s">
        <v>417</v>
      </c>
      <c r="C180" s="738">
        <f>'R.FILE GOC'!K94</f>
        <v>6.48</v>
      </c>
      <c r="D180" s="739">
        <f>'R.FILE GOC'!Q94</f>
        <v>3.1104000000000198</v>
      </c>
      <c r="E180" s="666"/>
      <c r="F180" s="666"/>
      <c r="G180" s="666"/>
      <c r="H180" s="666"/>
      <c r="I180" s="666"/>
    </row>
    <row r="181" spans="1:9" ht="12.75" hidden="1" customHeight="1">
      <c r="A181" s="742">
        <v>7</v>
      </c>
      <c r="B181" s="329" t="s">
        <v>418</v>
      </c>
      <c r="C181" s="738" t="str">
        <f>'R.FILE GOC'!K95</f>
        <v>N/A</v>
      </c>
      <c r="D181" s="739" t="str">
        <f>'R.FILE GOC'!Q95</f>
        <v>N/A</v>
      </c>
      <c r="E181" s="666"/>
      <c r="F181" s="666"/>
      <c r="G181" s="666"/>
      <c r="H181" s="666"/>
      <c r="I181" s="666"/>
    </row>
    <row r="182" spans="1:9" ht="12.75" hidden="1" customHeight="1">
      <c r="A182" s="742">
        <v>8</v>
      </c>
      <c r="B182" s="329" t="s">
        <v>419</v>
      </c>
      <c r="C182" s="738">
        <f>'R.FILE GOC'!K96</f>
        <v>10.8</v>
      </c>
      <c r="D182" s="739">
        <f>'R.FILE GOC'!Q96</f>
        <v>8.1216000000000044</v>
      </c>
      <c r="E182" s="666"/>
      <c r="F182" s="666"/>
      <c r="G182" s="666"/>
      <c r="H182" s="666"/>
      <c r="I182" s="666"/>
    </row>
    <row r="183" spans="1:9" ht="12.75" hidden="1" customHeight="1">
      <c r="A183" s="742">
        <v>9</v>
      </c>
      <c r="B183" s="329" t="s">
        <v>420</v>
      </c>
      <c r="C183" s="738" t="str">
        <f>'R.FILE GOC'!K97</f>
        <v>N/A</v>
      </c>
      <c r="D183" s="739" t="str">
        <f>'R.FILE GOC'!Q97</f>
        <v>N/A</v>
      </c>
      <c r="E183" s="666"/>
      <c r="F183" s="666"/>
      <c r="G183" s="666"/>
      <c r="H183" s="666"/>
      <c r="I183" s="666"/>
    </row>
    <row r="184" spans="1:9" ht="12.75" hidden="1" customHeight="1">
      <c r="A184" s="3769">
        <v>10</v>
      </c>
      <c r="B184" s="3384" t="s">
        <v>779</v>
      </c>
      <c r="C184" s="738">
        <f>'R.FILE GOC'!K98</f>
        <v>0</v>
      </c>
      <c r="D184" s="739">
        <f>'R.FILE GOC'!Q98</f>
        <v>0</v>
      </c>
      <c r="E184" s="666"/>
      <c r="F184" s="666"/>
      <c r="G184" s="666"/>
      <c r="H184" s="666"/>
      <c r="I184" s="666"/>
    </row>
    <row r="185" spans="1:9" ht="12.75" hidden="1" customHeight="1">
      <c r="A185" s="3770"/>
      <c r="B185" s="3771"/>
      <c r="C185" s="738">
        <f>'R.FILE GOC'!K99</f>
        <v>0</v>
      </c>
      <c r="D185" s="739">
        <f>'R.FILE GOC'!Q99</f>
        <v>0</v>
      </c>
      <c r="E185" s="666"/>
      <c r="F185" s="666"/>
      <c r="G185" s="666"/>
      <c r="H185" s="666"/>
      <c r="I185" s="666"/>
    </row>
    <row r="186" spans="1:9" ht="12.75" customHeight="1" thickBot="1">
      <c r="C186" s="740"/>
      <c r="D186" s="741"/>
      <c r="E186" s="666"/>
      <c r="F186" s="666"/>
      <c r="G186" s="666"/>
      <c r="H186" s="666"/>
      <c r="I186" s="666"/>
    </row>
  </sheetData>
  <mergeCells count="40">
    <mergeCell ref="A15:B15"/>
    <mergeCell ref="A3:A4"/>
    <mergeCell ref="B3:B4"/>
    <mergeCell ref="B7:B9"/>
    <mergeCell ref="B10:B12"/>
    <mergeCell ref="B13:B14"/>
    <mergeCell ref="B53:B55"/>
    <mergeCell ref="A21:A22"/>
    <mergeCell ref="B21:B22"/>
    <mergeCell ref="B25:B27"/>
    <mergeCell ref="B28:B30"/>
    <mergeCell ref="B31:B32"/>
    <mergeCell ref="A35:A36"/>
    <mergeCell ref="B35:B36"/>
    <mergeCell ref="B39:B41"/>
    <mergeCell ref="B42:B43"/>
    <mergeCell ref="A44:B44"/>
    <mergeCell ref="A49:A50"/>
    <mergeCell ref="B49:B50"/>
    <mergeCell ref="B88:B89"/>
    <mergeCell ref="B56:B57"/>
    <mergeCell ref="A60:A61"/>
    <mergeCell ref="B60:B61"/>
    <mergeCell ref="B64:B66"/>
    <mergeCell ref="B67:B69"/>
    <mergeCell ref="B70:B71"/>
    <mergeCell ref="A72:B72"/>
    <mergeCell ref="A78:A79"/>
    <mergeCell ref="B78:B79"/>
    <mergeCell ref="B82:B84"/>
    <mergeCell ref="B85:B87"/>
    <mergeCell ref="A184:A185"/>
    <mergeCell ref="B184:B185"/>
    <mergeCell ref="A99:A100"/>
    <mergeCell ref="B99:B100"/>
    <mergeCell ref="A143:B143"/>
    <mergeCell ref="A144:A145"/>
    <mergeCell ref="B144:B145"/>
    <mergeCell ref="A155:A156"/>
    <mergeCell ref="B155:B156"/>
  </mergeCells>
  <phoneticPr fontId="7" type="noConversion"/>
  <pageMargins left="0.7" right="0.7" top="0.75" bottom="0.75" header="0.3" footer="0.3"/>
  <pageSetup paperSize="9" orientation="portrait" verticalDpi="0" r:id="rId1"/>
  <drawing r:id="rId2"/>
</worksheet>
</file>

<file path=xl/worksheets/sheet44.xml><?xml version="1.0" encoding="utf-8"?>
<worksheet xmlns="http://schemas.openxmlformats.org/spreadsheetml/2006/main" xmlns:r="http://schemas.openxmlformats.org/officeDocument/2006/relationships">
  <sheetPr codeName="Sheet35">
    <tabColor rgb="FFFF0000"/>
  </sheetPr>
  <dimension ref="A1:I187"/>
  <sheetViews>
    <sheetView workbookViewId="0"/>
  </sheetViews>
  <sheetFormatPr defaultColWidth="4.125" defaultRowHeight="12.75" customHeight="1"/>
  <cols>
    <col min="1" max="1" width="2.75" style="666" customWidth="1"/>
    <col min="2" max="2" width="16.875" style="666" customWidth="1"/>
    <col min="3" max="4" width="9.5" style="668" customWidth="1"/>
    <col min="5" max="8" width="7" style="668" customWidth="1"/>
    <col min="9" max="9" width="7.625" style="666" customWidth="1"/>
    <col min="10" max="34" width="4.125" style="666"/>
    <col min="35" max="35" width="4.125" style="666" customWidth="1"/>
    <col min="36" max="16384" width="4.125" style="666"/>
  </cols>
  <sheetData>
    <row r="1" spans="1:9" ht="18" customHeight="1">
      <c r="B1" s="667"/>
      <c r="C1" s="2035" t="str">
        <f>MENU!$AC$9</f>
        <v>Thứ 4,</v>
      </c>
    </row>
    <row r="2" spans="1:9" ht="12.75" customHeight="1">
      <c r="B2" s="669" t="s">
        <v>739</v>
      </c>
      <c r="C2" s="670" t="str">
        <f>'1.xi den'!G3</f>
        <v>2024/05/22</v>
      </c>
    </row>
    <row r="3" spans="1:9" s="673" customFormat="1" ht="12.75" customHeight="1">
      <c r="A3" s="3784" t="s">
        <v>7</v>
      </c>
      <c r="B3" s="3786" t="s">
        <v>756</v>
      </c>
      <c r="C3" s="671"/>
      <c r="D3" s="672" t="s">
        <v>155</v>
      </c>
      <c r="E3" s="672"/>
      <c r="F3" s="672"/>
      <c r="G3" s="672"/>
      <c r="H3" s="672"/>
      <c r="I3" s="672"/>
    </row>
    <row r="4" spans="1:9" s="673" customFormat="1" ht="12.75" customHeight="1" thickBot="1">
      <c r="A4" s="3785"/>
      <c r="B4" s="3787"/>
      <c r="C4" s="674"/>
      <c r="D4" s="675" t="s">
        <v>385</v>
      </c>
      <c r="E4" s="675" t="s">
        <v>386</v>
      </c>
      <c r="F4" s="675" t="s">
        <v>387</v>
      </c>
      <c r="G4" s="675" t="s">
        <v>388</v>
      </c>
      <c r="H4" s="675" t="s">
        <v>389</v>
      </c>
      <c r="I4" s="675" t="s">
        <v>390</v>
      </c>
    </row>
    <row r="5" spans="1:9" s="679" customFormat="1" ht="12.75" customHeight="1">
      <c r="A5" s="321">
        <v>1</v>
      </c>
      <c r="B5" s="137" t="s">
        <v>757</v>
      </c>
      <c r="C5" s="392" t="s">
        <v>758</v>
      </c>
      <c r="D5" s="676">
        <f>'2.RL E tt'!F7</f>
        <v>0</v>
      </c>
      <c r="E5" s="677">
        <f>'2.RL E tt'!J7</f>
        <v>0</v>
      </c>
      <c r="F5" s="677">
        <f>'2.RL E tt'!N7</f>
        <v>0</v>
      </c>
      <c r="G5" s="677">
        <f>'2.RL E tt'!F29</f>
        <v>0</v>
      </c>
      <c r="H5" s="677">
        <f>'2.RL E tt'!J29</f>
        <v>0</v>
      </c>
      <c r="I5" s="678">
        <f>'2.RL E tt'!N29</f>
        <v>0</v>
      </c>
    </row>
    <row r="6" spans="1:9" s="679" customFormat="1" ht="12.75" hidden="1" customHeight="1">
      <c r="A6" s="321"/>
      <c r="B6" s="137" t="s">
        <v>757</v>
      </c>
      <c r="C6" s="392" t="s">
        <v>758</v>
      </c>
      <c r="D6" s="680">
        <f>'2.RL E tt'!F8</f>
        <v>0</v>
      </c>
      <c r="E6" s="681">
        <f>'2.RL E tt'!J8</f>
        <v>0</v>
      </c>
      <c r="F6" s="681">
        <f>'2.RL E tt'!N8</f>
        <v>0</v>
      </c>
      <c r="G6" s="681">
        <f>'2.RL E tt'!F30</f>
        <v>0</v>
      </c>
      <c r="H6" s="681">
        <f>'2.RL E tt'!J30</f>
        <v>0</v>
      </c>
      <c r="I6" s="682">
        <f>'2.RL E tt'!N30</f>
        <v>0</v>
      </c>
    </row>
    <row r="7" spans="1:9" s="679" customFormat="1" ht="12.75" hidden="1" customHeight="1">
      <c r="A7" s="321">
        <v>2</v>
      </c>
      <c r="B7" s="3782" t="s">
        <v>759</v>
      </c>
      <c r="C7" s="683" t="s">
        <v>608</v>
      </c>
      <c r="D7" s="680">
        <f>'2.RL E tt'!F9</f>
        <v>0</v>
      </c>
      <c r="E7" s="681">
        <f>'2.RL E tt'!J9</f>
        <v>0</v>
      </c>
      <c r="F7" s="681">
        <f>'2.RL E tt'!N9</f>
        <v>0</v>
      </c>
      <c r="G7" s="681">
        <f>'2.RL E tt'!F31</f>
        <v>0</v>
      </c>
      <c r="H7" s="681">
        <f>'2.RL E tt'!J31</f>
        <v>0</v>
      </c>
      <c r="I7" s="682">
        <f>'2.RL E tt'!N31</f>
        <v>0</v>
      </c>
    </row>
    <row r="8" spans="1:9" s="679" customFormat="1" ht="12.75" hidden="1" customHeight="1">
      <c r="A8" s="321">
        <v>3</v>
      </c>
      <c r="B8" s="3788"/>
      <c r="C8" s="683" t="s">
        <v>612</v>
      </c>
      <c r="D8" s="680">
        <f>'2.RL E tt'!F10</f>
        <v>0</v>
      </c>
      <c r="E8" s="681">
        <f>'2.RL E tt'!J10</f>
        <v>0</v>
      </c>
      <c r="F8" s="681">
        <f>'2.RL E tt'!N10</f>
        <v>0</v>
      </c>
      <c r="G8" s="681">
        <f>'2.RL E tt'!F32</f>
        <v>0</v>
      </c>
      <c r="H8" s="681">
        <f>'2.RL E tt'!J32</f>
        <v>0</v>
      </c>
      <c r="I8" s="682">
        <f>'2.RL E tt'!N32</f>
        <v>0</v>
      </c>
    </row>
    <row r="9" spans="1:9" s="679" customFormat="1" ht="12.75" hidden="1" customHeight="1">
      <c r="A9" s="321">
        <v>4</v>
      </c>
      <c r="B9" s="3783"/>
      <c r="C9" s="683" t="s">
        <v>614</v>
      </c>
      <c r="D9" s="680">
        <f>'2.RL E tt'!F11</f>
        <v>0</v>
      </c>
      <c r="E9" s="681">
        <f>'2.RL E tt'!J11</f>
        <v>0</v>
      </c>
      <c r="F9" s="681">
        <f>'2.RL E tt'!N11</f>
        <v>0</v>
      </c>
      <c r="G9" s="681">
        <f>'2.RL E tt'!F33</f>
        <v>0</v>
      </c>
      <c r="H9" s="681">
        <f>'2.RL E tt'!J33</f>
        <v>0</v>
      </c>
      <c r="I9" s="682">
        <f>'2.RL E tt'!N33</f>
        <v>0</v>
      </c>
    </row>
    <row r="10" spans="1:9" s="679" customFormat="1" ht="12.75" hidden="1" customHeight="1">
      <c r="A10" s="321">
        <v>5</v>
      </c>
      <c r="B10" s="3782" t="s">
        <v>760</v>
      </c>
      <c r="C10" s="683" t="s">
        <v>608</v>
      </c>
      <c r="D10" s="680">
        <f>'2.RL E tt'!F12</f>
        <v>0</v>
      </c>
      <c r="E10" s="681">
        <f>'2.RL E tt'!J12</f>
        <v>0</v>
      </c>
      <c r="F10" s="681">
        <f>'2.RL E tt'!N12</f>
        <v>0</v>
      </c>
      <c r="G10" s="681">
        <f>'2.RL E tt'!F34</f>
        <v>0</v>
      </c>
      <c r="H10" s="681">
        <f>'2.RL E tt'!J34</f>
        <v>0</v>
      </c>
      <c r="I10" s="682">
        <f>'2.RL E tt'!N34</f>
        <v>0</v>
      </c>
    </row>
    <row r="11" spans="1:9" s="679" customFormat="1" ht="12.75" hidden="1" customHeight="1">
      <c r="A11" s="321">
        <v>6</v>
      </c>
      <c r="B11" s="3788"/>
      <c r="C11" s="683" t="s">
        <v>612</v>
      </c>
      <c r="D11" s="680">
        <f>'2.RL E tt'!F13</f>
        <v>0</v>
      </c>
      <c r="E11" s="681">
        <f>'2.RL E tt'!J13</f>
        <v>0</v>
      </c>
      <c r="F11" s="681">
        <f>'2.RL E tt'!N13</f>
        <v>0</v>
      </c>
      <c r="G11" s="681">
        <f>'2.RL E tt'!F35</f>
        <v>0</v>
      </c>
      <c r="H11" s="681">
        <f>'2.RL E tt'!J35</f>
        <v>0</v>
      </c>
      <c r="I11" s="682">
        <f>'2.RL E tt'!N35</f>
        <v>0</v>
      </c>
    </row>
    <row r="12" spans="1:9" s="679" customFormat="1" ht="12.75" hidden="1" customHeight="1">
      <c r="A12" s="321">
        <v>7</v>
      </c>
      <c r="B12" s="3783"/>
      <c r="C12" s="683" t="s">
        <v>614</v>
      </c>
      <c r="D12" s="680">
        <f>'2.RL E tt'!F14</f>
        <v>0</v>
      </c>
      <c r="E12" s="681">
        <f>'2.RL E tt'!J14</f>
        <v>0</v>
      </c>
      <c r="F12" s="681">
        <f>'2.RL E tt'!N14</f>
        <v>0</v>
      </c>
      <c r="G12" s="681">
        <f>'2.RL E tt'!F36</f>
        <v>0</v>
      </c>
      <c r="H12" s="681">
        <f>'2.RL E tt'!J36</f>
        <v>0</v>
      </c>
      <c r="I12" s="682">
        <f>'2.RL E tt'!N36</f>
        <v>0</v>
      </c>
    </row>
    <row r="13" spans="1:9" s="684" customFormat="1" ht="12.75" hidden="1" customHeight="1">
      <c r="A13" s="321">
        <v>8</v>
      </c>
      <c r="B13" s="3782" t="s">
        <v>761</v>
      </c>
      <c r="C13" s="392" t="s">
        <v>762</v>
      </c>
      <c r="D13" s="680">
        <f>'2.RL E tt'!F15</f>
        <v>0</v>
      </c>
      <c r="E13" s="681">
        <f>'2.RL E tt'!J15</f>
        <v>0</v>
      </c>
      <c r="F13" s="681">
        <f>'2.RL E tt'!N15</f>
        <v>0</v>
      </c>
      <c r="G13" s="681">
        <f>'2.RL E tt'!F37</f>
        <v>0</v>
      </c>
      <c r="H13" s="681">
        <f>'2.RL E tt'!J37</f>
        <v>0</v>
      </c>
      <c r="I13" s="682">
        <f>'2.RL E tt'!N37</f>
        <v>0</v>
      </c>
    </row>
    <row r="14" spans="1:9" s="684" customFormat="1" ht="12.75" hidden="1" customHeight="1">
      <c r="A14" s="321">
        <v>9</v>
      </c>
      <c r="B14" s="3783"/>
      <c r="C14" s="392" t="s">
        <v>620</v>
      </c>
      <c r="D14" s="680">
        <f>'2.RL E tt'!F16</f>
        <v>0</v>
      </c>
      <c r="E14" s="681">
        <f>'2.RL E tt'!J16</f>
        <v>0</v>
      </c>
      <c r="F14" s="681">
        <f>'2.RL E tt'!N16</f>
        <v>0</v>
      </c>
      <c r="G14" s="681">
        <f>'2.RL E tt'!F38</f>
        <v>0</v>
      </c>
      <c r="H14" s="681">
        <f>'2.RL E tt'!J38</f>
        <v>0</v>
      </c>
      <c r="I14" s="682">
        <f>'2.RL E tt'!N38</f>
        <v>0</v>
      </c>
    </row>
    <row r="15" spans="1:9" s="684" customFormat="1" ht="12.75" hidden="1" customHeight="1">
      <c r="A15" s="3789" t="s">
        <v>2</v>
      </c>
      <c r="B15" s="3789"/>
      <c r="C15" s="671"/>
      <c r="D15" s="685" t="s">
        <v>157</v>
      </c>
      <c r="E15" s="672"/>
      <c r="F15" s="672"/>
      <c r="G15" s="672"/>
      <c r="H15" s="672"/>
      <c r="I15" s="686"/>
    </row>
    <row r="16" spans="1:9" s="684" customFormat="1" ht="12.75" hidden="1" customHeight="1">
      <c r="A16" s="149" t="s">
        <v>54</v>
      </c>
      <c r="B16" s="687" t="s">
        <v>763</v>
      </c>
      <c r="C16" s="671"/>
      <c r="D16" s="688" t="s">
        <v>385</v>
      </c>
      <c r="E16" s="675" t="s">
        <v>386</v>
      </c>
      <c r="F16" s="675" t="s">
        <v>387</v>
      </c>
      <c r="G16" s="675" t="s">
        <v>388</v>
      </c>
      <c r="H16" s="675" t="s">
        <v>389</v>
      </c>
      <c r="I16" s="689" t="s">
        <v>390</v>
      </c>
    </row>
    <row r="17" spans="1:9" s="684" customFormat="1" ht="12.75" hidden="1" customHeight="1">
      <c r="A17" s="321">
        <v>1</v>
      </c>
      <c r="B17" s="690" t="s">
        <v>445</v>
      </c>
      <c r="C17" s="691"/>
      <c r="D17" s="680">
        <f>'2.RL E tt'!F19</f>
        <v>0</v>
      </c>
      <c r="E17" s="681">
        <f>'2.RL E tt'!J19</f>
        <v>0</v>
      </c>
      <c r="F17" s="681">
        <f>'2.RL E tt'!N19</f>
        <v>0</v>
      </c>
      <c r="G17" s="681">
        <f>'2.RL E tt'!F41</f>
        <v>0</v>
      </c>
      <c r="H17" s="681">
        <f>'2.RL E tt'!J41</f>
        <v>0</v>
      </c>
      <c r="I17" s="686">
        <f>'2.RL E tt'!N41</f>
        <v>0</v>
      </c>
    </row>
    <row r="18" spans="1:9" s="684" customFormat="1" ht="12.75" hidden="1" customHeight="1">
      <c r="A18" s="321">
        <v>2</v>
      </c>
      <c r="B18" s="690" t="s">
        <v>447</v>
      </c>
      <c r="C18" s="691"/>
      <c r="D18" s="680">
        <f>'2.RL E tt'!F20</f>
        <v>0</v>
      </c>
      <c r="E18" s="681">
        <f>'2.RL E tt'!J20</f>
        <v>0</v>
      </c>
      <c r="F18" s="681">
        <f>'2.RL E tt'!N20</f>
        <v>0</v>
      </c>
      <c r="G18" s="681">
        <f>'2.RL E tt'!F42</f>
        <v>0</v>
      </c>
      <c r="H18" s="681">
        <f>'2.RL E tt'!J42</f>
        <v>0</v>
      </c>
      <c r="I18" s="686">
        <f>'2.RL E tt'!N42</f>
        <v>0</v>
      </c>
    </row>
    <row r="19" spans="1:9" s="684" customFormat="1" ht="12.75" hidden="1" customHeight="1">
      <c r="A19" s="321">
        <v>3</v>
      </c>
      <c r="B19" s="690" t="s">
        <v>440</v>
      </c>
      <c r="C19" s="691"/>
      <c r="D19" s="680">
        <f>'2.RL E tt'!F21</f>
        <v>0</v>
      </c>
      <c r="E19" s="681">
        <f>'2.RL E tt'!J21</f>
        <v>0</v>
      </c>
      <c r="F19" s="681">
        <f>'2.RL E tt'!N21</f>
        <v>0</v>
      </c>
      <c r="G19" s="681">
        <f>'2.RL E tt'!F43</f>
        <v>0</v>
      </c>
      <c r="H19" s="681">
        <f>'2.RL E tt'!J43</f>
        <v>0</v>
      </c>
      <c r="I19" s="686">
        <f>'2.RL E tt'!N43</f>
        <v>0</v>
      </c>
    </row>
    <row r="20" spans="1:9" s="684" customFormat="1" ht="12.75" hidden="1" customHeight="1">
      <c r="A20" s="321">
        <v>4</v>
      </c>
      <c r="B20" s="690" t="s">
        <v>764</v>
      </c>
      <c r="C20" s="691"/>
      <c r="D20" s="680">
        <f>'2.RL E tt'!F22</f>
        <v>0</v>
      </c>
      <c r="E20" s="681">
        <f>'2.RL E tt'!J22</f>
        <v>0</v>
      </c>
      <c r="F20" s="681">
        <f>'2.RL E tt'!N22</f>
        <v>0</v>
      </c>
      <c r="G20" s="681">
        <f>'2.RL E tt'!F44</f>
        <v>0</v>
      </c>
      <c r="H20" s="681">
        <f>'2.RL E tt'!J44</f>
        <v>0</v>
      </c>
      <c r="I20" s="686">
        <f>'2.RL E tt'!N44</f>
        <v>0</v>
      </c>
    </row>
    <row r="21" spans="1:9" ht="12.75" hidden="1" customHeight="1">
      <c r="A21" s="3784" t="s">
        <v>7</v>
      </c>
      <c r="B21" s="3786" t="s">
        <v>756</v>
      </c>
      <c r="C21" s="671"/>
      <c r="D21" s="685" t="s">
        <v>156</v>
      </c>
      <c r="E21" s="672"/>
      <c r="F21" s="672"/>
      <c r="G21" s="672"/>
      <c r="H21" s="672"/>
      <c r="I21" s="692"/>
    </row>
    <row r="22" spans="1:9" ht="12.75" hidden="1" customHeight="1">
      <c r="A22" s="3785"/>
      <c r="B22" s="3787"/>
      <c r="C22" s="674"/>
      <c r="D22" s="688" t="s">
        <v>385</v>
      </c>
      <c r="E22" s="675" t="s">
        <v>386</v>
      </c>
      <c r="F22" s="675" t="s">
        <v>387</v>
      </c>
      <c r="G22" s="675" t="s">
        <v>388</v>
      </c>
      <c r="H22" s="675" t="s">
        <v>389</v>
      </c>
      <c r="I22" s="689" t="s">
        <v>390</v>
      </c>
    </row>
    <row r="23" spans="1:9" ht="12.75" hidden="1" customHeight="1">
      <c r="A23" s="321">
        <v>1</v>
      </c>
      <c r="B23" s="137" t="s">
        <v>757</v>
      </c>
      <c r="C23" s="392"/>
      <c r="D23" s="693">
        <f>'2.RL E tt'!H7</f>
        <v>0</v>
      </c>
      <c r="E23" s="694">
        <f>'2.RL E tt'!L7</f>
        <v>0</v>
      </c>
      <c r="F23" s="694">
        <f>'2.RL E tt'!P7</f>
        <v>0</v>
      </c>
      <c r="G23" s="694">
        <f>'2.RL E tt'!H29</f>
        <v>0</v>
      </c>
      <c r="H23" s="694">
        <f>'2.RL E tt'!L29</f>
        <v>0</v>
      </c>
      <c r="I23" s="700">
        <f>'2.RL E tt'!P29</f>
        <v>0</v>
      </c>
    </row>
    <row r="24" spans="1:9" ht="12.75" hidden="1" customHeight="1">
      <c r="A24" s="321"/>
      <c r="B24" s="137" t="s">
        <v>757</v>
      </c>
      <c r="C24" s="392"/>
      <c r="D24" s="693">
        <f>'2.RL E tt'!H8</f>
        <v>292.1875</v>
      </c>
      <c r="E24" s="694">
        <f>'2.RL E tt'!L8</f>
        <v>292.1875</v>
      </c>
      <c r="F24" s="694">
        <f>'2.RL E tt'!P8</f>
        <v>292.1875</v>
      </c>
      <c r="G24" s="694">
        <f>'2.RL E tt'!H30</f>
        <v>292.1875</v>
      </c>
      <c r="H24" s="694">
        <f>'2.RL E tt'!L30</f>
        <v>292.1875</v>
      </c>
      <c r="I24" s="700">
        <f>'2.RL E tt'!P30</f>
        <v>292.1875</v>
      </c>
    </row>
    <row r="25" spans="1:9" ht="12.75" hidden="1" customHeight="1">
      <c r="A25" s="321">
        <v>2</v>
      </c>
      <c r="B25" s="3782" t="s">
        <v>759</v>
      </c>
      <c r="C25" s="392"/>
      <c r="D25" s="693">
        <f>'2.RL E tt'!H9</f>
        <v>0</v>
      </c>
      <c r="E25" s="694">
        <f>'2.RL E tt'!L9</f>
        <v>0</v>
      </c>
      <c r="F25" s="694">
        <f>'2.RL E tt'!P9</f>
        <v>0</v>
      </c>
      <c r="G25" s="694">
        <f>'2.RL E tt'!H31</f>
        <v>0</v>
      </c>
      <c r="H25" s="694">
        <f>'2.RL E tt'!L31</f>
        <v>0</v>
      </c>
      <c r="I25" s="700">
        <f>'2.RL E tt'!P31</f>
        <v>0</v>
      </c>
    </row>
    <row r="26" spans="1:9" ht="12.75" hidden="1" customHeight="1">
      <c r="A26" s="321">
        <v>3</v>
      </c>
      <c r="B26" s="3788"/>
      <c r="C26" s="392"/>
      <c r="D26" s="693">
        <f>'2.RL E tt'!H10</f>
        <v>0</v>
      </c>
      <c r="E26" s="694">
        <f>'2.RL E tt'!L10</f>
        <v>0</v>
      </c>
      <c r="F26" s="694">
        <f>'2.RL E tt'!P10</f>
        <v>0</v>
      </c>
      <c r="G26" s="694">
        <f>'2.RL E tt'!H32</f>
        <v>0</v>
      </c>
      <c r="H26" s="694">
        <f>'2.RL E tt'!L32</f>
        <v>0</v>
      </c>
      <c r="I26" s="700">
        <f>'2.RL E tt'!P32</f>
        <v>0</v>
      </c>
    </row>
    <row r="27" spans="1:9" ht="12.75" hidden="1" customHeight="1">
      <c r="A27" s="321">
        <v>4</v>
      </c>
      <c r="B27" s="3783"/>
      <c r="C27" s="392"/>
      <c r="D27" s="693">
        <f>'2.RL E tt'!H11</f>
        <v>0</v>
      </c>
      <c r="E27" s="694">
        <f>'2.RL E tt'!L11</f>
        <v>0</v>
      </c>
      <c r="F27" s="694">
        <f>'2.RL E tt'!P11</f>
        <v>0</v>
      </c>
      <c r="G27" s="694">
        <f>'2.RL E tt'!H33</f>
        <v>0</v>
      </c>
      <c r="H27" s="694">
        <f>'2.RL E tt'!L33</f>
        <v>0</v>
      </c>
      <c r="I27" s="700">
        <f>'2.RL E tt'!P33</f>
        <v>0</v>
      </c>
    </row>
    <row r="28" spans="1:9" ht="12.75" hidden="1" customHeight="1">
      <c r="A28" s="321">
        <v>5</v>
      </c>
      <c r="B28" s="3782" t="s">
        <v>760</v>
      </c>
      <c r="C28" s="392"/>
      <c r="D28" s="693">
        <f>'2.RL E tt'!H12</f>
        <v>0</v>
      </c>
      <c r="E28" s="694">
        <f>'2.RL E tt'!L12</f>
        <v>0</v>
      </c>
      <c r="F28" s="694">
        <f>'2.RL E tt'!P12</f>
        <v>0</v>
      </c>
      <c r="G28" s="694">
        <f>'2.RL E tt'!H34</f>
        <v>0</v>
      </c>
      <c r="H28" s="694">
        <f>'2.RL E tt'!L34</f>
        <v>0</v>
      </c>
      <c r="I28" s="700">
        <f>'2.RL E tt'!P34</f>
        <v>0</v>
      </c>
    </row>
    <row r="29" spans="1:9" ht="12.75" hidden="1" customHeight="1">
      <c r="A29" s="321">
        <v>6</v>
      </c>
      <c r="B29" s="3788"/>
      <c r="C29" s="392"/>
      <c r="D29" s="693">
        <f>'2.RL E tt'!H13</f>
        <v>0</v>
      </c>
      <c r="E29" s="694">
        <f>'2.RL E tt'!L13</f>
        <v>0</v>
      </c>
      <c r="F29" s="694">
        <f>'2.RL E tt'!P13</f>
        <v>0</v>
      </c>
      <c r="G29" s="694">
        <f>'2.RL E tt'!H35</f>
        <v>0</v>
      </c>
      <c r="H29" s="694">
        <f>'2.RL E tt'!L35</f>
        <v>0</v>
      </c>
      <c r="I29" s="700">
        <f>'2.RL E tt'!P35</f>
        <v>0</v>
      </c>
    </row>
    <row r="30" spans="1:9" ht="12.75" hidden="1" customHeight="1">
      <c r="A30" s="321">
        <v>7</v>
      </c>
      <c r="B30" s="3783"/>
      <c r="C30" s="392"/>
      <c r="D30" s="693">
        <f>'2.RL E tt'!H14</f>
        <v>0</v>
      </c>
      <c r="E30" s="694">
        <f>'2.RL E tt'!L14</f>
        <v>0</v>
      </c>
      <c r="F30" s="694">
        <f>'2.RL E tt'!P14</f>
        <v>0</v>
      </c>
      <c r="G30" s="694">
        <f>'2.RL E tt'!H36</f>
        <v>0</v>
      </c>
      <c r="H30" s="694">
        <f>'2.RL E tt'!L36</f>
        <v>0</v>
      </c>
      <c r="I30" s="700">
        <f>'2.RL E tt'!P36</f>
        <v>0</v>
      </c>
    </row>
    <row r="31" spans="1:9" ht="12.75" hidden="1" customHeight="1">
      <c r="A31" s="321">
        <v>8</v>
      </c>
      <c r="B31" s="3782" t="s">
        <v>761</v>
      </c>
      <c r="C31" s="392"/>
      <c r="D31" s="693">
        <f>'2.RL E tt'!H15</f>
        <v>0</v>
      </c>
      <c r="E31" s="694">
        <f>'2.RL E tt'!L15</f>
        <v>0</v>
      </c>
      <c r="F31" s="694">
        <f>'2.RL E tt'!P15</f>
        <v>0</v>
      </c>
      <c r="G31" s="694">
        <f>'2.RL E tt'!H37</f>
        <v>0</v>
      </c>
      <c r="H31" s="694">
        <f>'2.RL E tt'!L37</f>
        <v>0</v>
      </c>
      <c r="I31" s="700">
        <f>'2.RL E tt'!P37</f>
        <v>0</v>
      </c>
    </row>
    <row r="32" spans="1:9" ht="12.75" hidden="1" customHeight="1">
      <c r="A32" s="321">
        <v>9</v>
      </c>
      <c r="B32" s="3783"/>
      <c r="C32" s="392"/>
      <c r="D32" s="693">
        <f>'2.RL E tt'!H16</f>
        <v>0</v>
      </c>
      <c r="E32" s="694">
        <f>'2.RL E tt'!L16</f>
        <v>0</v>
      </c>
      <c r="F32" s="694">
        <f>'2.RL E tt'!P16</f>
        <v>0</v>
      </c>
      <c r="G32" s="694">
        <f>'2.RL E tt'!H38</f>
        <v>0</v>
      </c>
      <c r="H32" s="694">
        <f>'2.RL E tt'!L38</f>
        <v>0</v>
      </c>
      <c r="I32" s="700">
        <f>'2.RL E tt'!P38</f>
        <v>0</v>
      </c>
    </row>
    <row r="33" spans="1:9" ht="12.75" hidden="1" customHeight="1">
      <c r="D33" s="696"/>
      <c r="I33" s="692"/>
    </row>
    <row r="34" spans="1:9" ht="12.75" hidden="1" customHeight="1">
      <c r="B34" s="669" t="s">
        <v>916</v>
      </c>
      <c r="C34" s="697"/>
      <c r="D34" s="696"/>
      <c r="I34" s="692"/>
    </row>
    <row r="35" spans="1:9" ht="12.75" hidden="1" customHeight="1">
      <c r="A35" s="3784" t="s">
        <v>7</v>
      </c>
      <c r="B35" s="3786" t="s">
        <v>756</v>
      </c>
      <c r="C35" s="671"/>
      <c r="D35" s="685" t="s">
        <v>155</v>
      </c>
      <c r="E35" s="672"/>
      <c r="F35" s="672"/>
      <c r="G35" s="672"/>
      <c r="H35" s="672"/>
      <c r="I35" s="692"/>
    </row>
    <row r="36" spans="1:9" ht="12.75" hidden="1" customHeight="1">
      <c r="A36" s="3785"/>
      <c r="B36" s="3787"/>
      <c r="C36" s="674"/>
      <c r="D36" s="688" t="s">
        <v>385</v>
      </c>
      <c r="E36" s="675" t="s">
        <v>386</v>
      </c>
      <c r="F36" s="675" t="s">
        <v>387</v>
      </c>
      <c r="G36" s="675" t="s">
        <v>388</v>
      </c>
      <c r="H36" s="675" t="s">
        <v>389</v>
      </c>
      <c r="I36" s="689" t="s">
        <v>390</v>
      </c>
    </row>
    <row r="37" spans="1:9" ht="12.75" hidden="1" customHeight="1">
      <c r="A37" s="321">
        <v>1</v>
      </c>
      <c r="B37" s="698" t="s">
        <v>449</v>
      </c>
      <c r="C37" s="392"/>
      <c r="D37" s="680">
        <f>'3.RL G tt'!E7</f>
        <v>0</v>
      </c>
      <c r="E37" s="681">
        <f>'3.RL G tt'!I7</f>
        <v>0</v>
      </c>
      <c r="F37" s="681">
        <f>'3.RL G tt'!M7</f>
        <v>0</v>
      </c>
      <c r="G37" s="681">
        <f>'3.RL G tt'!E24</f>
        <v>0</v>
      </c>
      <c r="H37" s="681">
        <f>'3.RL G tt'!I24</f>
        <v>0</v>
      </c>
      <c r="I37" s="692">
        <f>'3.RL G tt'!M24</f>
        <v>0</v>
      </c>
    </row>
    <row r="38" spans="1:9" ht="12.75" hidden="1" customHeight="1">
      <c r="A38" s="321">
        <v>2</v>
      </c>
      <c r="B38" s="698" t="s">
        <v>452</v>
      </c>
      <c r="C38" s="392"/>
      <c r="D38" s="680">
        <f>'3.RL G tt'!E8</f>
        <v>0</v>
      </c>
      <c r="E38" s="681">
        <f>'3.RL G tt'!I8</f>
        <v>0</v>
      </c>
      <c r="F38" s="681">
        <f>'3.RL G tt'!M8</f>
        <v>0</v>
      </c>
      <c r="G38" s="681">
        <f>'3.RL G tt'!E25</f>
        <v>0</v>
      </c>
      <c r="H38" s="681">
        <f>'3.RL G tt'!I25</f>
        <v>0</v>
      </c>
      <c r="I38" s="692">
        <f>'3.RL G tt'!M25</f>
        <v>0</v>
      </c>
    </row>
    <row r="39" spans="1:9" ht="12.75" hidden="1" customHeight="1">
      <c r="A39" s="321">
        <v>3</v>
      </c>
      <c r="B39" s="3782" t="s">
        <v>765</v>
      </c>
      <c r="C39" s="683" t="s">
        <v>608</v>
      </c>
      <c r="D39" s="680">
        <f>'3.RL G tt'!E9</f>
        <v>0</v>
      </c>
      <c r="E39" s="681">
        <f>'3.RL G tt'!I9</f>
        <v>0</v>
      </c>
      <c r="F39" s="681">
        <f>'3.RL G tt'!M9</f>
        <v>0</v>
      </c>
      <c r="G39" s="681">
        <f>'3.RL G tt'!E26</f>
        <v>0</v>
      </c>
      <c r="H39" s="681">
        <f>'3.RL G tt'!I26</f>
        <v>0</v>
      </c>
      <c r="I39" s="692">
        <f>'3.RL G tt'!M26</f>
        <v>0</v>
      </c>
    </row>
    <row r="40" spans="1:9" ht="12.75" hidden="1" customHeight="1">
      <c r="A40" s="321">
        <v>4</v>
      </c>
      <c r="B40" s="3788"/>
      <c r="C40" s="683" t="s">
        <v>612</v>
      </c>
      <c r="D40" s="680">
        <f>'3.RL G tt'!E10</f>
        <v>0</v>
      </c>
      <c r="E40" s="681">
        <f>'3.RL G tt'!I10</f>
        <v>0</v>
      </c>
      <c r="F40" s="681">
        <f>'3.RL G tt'!M10</f>
        <v>0</v>
      </c>
      <c r="G40" s="681">
        <f>'3.RL G tt'!E27</f>
        <v>0</v>
      </c>
      <c r="H40" s="681">
        <f>'3.RL G tt'!I27</f>
        <v>0</v>
      </c>
      <c r="I40" s="692">
        <f>'3.RL G tt'!M27</f>
        <v>0</v>
      </c>
    </row>
    <row r="41" spans="1:9" ht="12.75" hidden="1" customHeight="1">
      <c r="A41" s="321">
        <v>5</v>
      </c>
      <c r="B41" s="3783"/>
      <c r="C41" s="683" t="s">
        <v>614</v>
      </c>
      <c r="D41" s="680">
        <f>'3.RL G tt'!E11</f>
        <v>0</v>
      </c>
      <c r="E41" s="681">
        <f>'3.RL G tt'!I11</f>
        <v>0</v>
      </c>
      <c r="F41" s="681">
        <f>'3.RL G tt'!M11</f>
        <v>0</v>
      </c>
      <c r="G41" s="681">
        <f>'3.RL G tt'!E28</f>
        <v>0</v>
      </c>
      <c r="H41" s="681">
        <f>'3.RL G tt'!I28</f>
        <v>0</v>
      </c>
      <c r="I41" s="692">
        <f>'3.RL G tt'!M28</f>
        <v>0</v>
      </c>
    </row>
    <row r="42" spans="1:9" ht="12.75" hidden="1" customHeight="1">
      <c r="A42" s="321">
        <v>6</v>
      </c>
      <c r="B42" s="3782" t="s">
        <v>766</v>
      </c>
      <c r="C42" s="392"/>
      <c r="D42" s="680">
        <f>'3.RL G tt'!E12</f>
        <v>0</v>
      </c>
      <c r="E42" s="681">
        <f>'3.RL G tt'!I12</f>
        <v>0</v>
      </c>
      <c r="F42" s="681">
        <f>'3.RL G tt'!M12</f>
        <v>0</v>
      </c>
      <c r="G42" s="681">
        <f>'3.RL G tt'!E29</f>
        <v>0</v>
      </c>
      <c r="H42" s="681">
        <f>'3.RL G tt'!I29</f>
        <v>0</v>
      </c>
      <c r="I42" s="692">
        <f>'3.RL G tt'!M29</f>
        <v>0</v>
      </c>
    </row>
    <row r="43" spans="1:9" ht="12.75" hidden="1" customHeight="1">
      <c r="A43" s="321">
        <v>7</v>
      </c>
      <c r="B43" s="3783"/>
      <c r="C43" s="392"/>
      <c r="D43" s="680">
        <f>'3.RL G tt'!E13</f>
        <v>0</v>
      </c>
      <c r="E43" s="681">
        <f>'3.RL G tt'!I13</f>
        <v>0</v>
      </c>
      <c r="F43" s="681">
        <f>'3.RL G tt'!M13</f>
        <v>0</v>
      </c>
      <c r="G43" s="681">
        <f>'3.RL G tt'!E30</f>
        <v>0</v>
      </c>
      <c r="H43" s="681">
        <f>'3.RL G tt'!I30</f>
        <v>0</v>
      </c>
      <c r="I43" s="692">
        <f>'3.RL G tt'!M30</f>
        <v>0</v>
      </c>
    </row>
    <row r="44" spans="1:9" ht="12.75" hidden="1" customHeight="1">
      <c r="A44" s="3789" t="s">
        <v>2</v>
      </c>
      <c r="B44" s="3789"/>
      <c r="C44" s="671"/>
      <c r="D44" s="685" t="s">
        <v>157</v>
      </c>
      <c r="E44" s="672"/>
      <c r="F44" s="672"/>
      <c r="G44" s="672"/>
      <c r="H44" s="672"/>
      <c r="I44" s="692"/>
    </row>
    <row r="45" spans="1:9" ht="12.75" hidden="1" customHeight="1">
      <c r="A45" s="149" t="s">
        <v>54</v>
      </c>
      <c r="B45" s="687" t="s">
        <v>763</v>
      </c>
      <c r="C45" s="671"/>
      <c r="D45" s="688" t="s">
        <v>385</v>
      </c>
      <c r="E45" s="675" t="s">
        <v>386</v>
      </c>
      <c r="F45" s="675" t="s">
        <v>387</v>
      </c>
      <c r="G45" s="675" t="s">
        <v>388</v>
      </c>
      <c r="H45" s="675" t="s">
        <v>389</v>
      </c>
      <c r="I45" s="689" t="s">
        <v>390</v>
      </c>
    </row>
    <row r="46" spans="1:9" ht="12.75" hidden="1" customHeight="1">
      <c r="A46" s="321">
        <v>1</v>
      </c>
      <c r="B46" s="323" t="s">
        <v>454</v>
      </c>
      <c r="C46" s="699"/>
      <c r="D46" s="1211">
        <f>'3.RL G tt'!G16</f>
        <v>0</v>
      </c>
      <c r="E46" s="1212">
        <f>'3.RL G tt'!K16</f>
        <v>0</v>
      </c>
      <c r="F46" s="1212">
        <f>'3.RL G tt'!O16</f>
        <v>0</v>
      </c>
      <c r="G46" s="1212">
        <f>'3.RL G tt'!G33</f>
        <v>0</v>
      </c>
      <c r="H46" s="1212">
        <f>'3.RL G tt'!K33</f>
        <v>0</v>
      </c>
      <c r="I46" s="1213">
        <f>'3.RL G tt'!O33</f>
        <v>0</v>
      </c>
    </row>
    <row r="47" spans="1:9" ht="12.75" hidden="1" customHeight="1">
      <c r="A47" s="321">
        <v>2</v>
      </c>
      <c r="B47" s="323" t="s">
        <v>767</v>
      </c>
      <c r="C47" s="699"/>
      <c r="D47" s="1211">
        <f>'3.RL G tt'!G17</f>
        <v>0</v>
      </c>
      <c r="E47" s="1212">
        <f>'3.RL G tt'!K17</f>
        <v>0</v>
      </c>
      <c r="F47" s="1212">
        <f>'3.RL G tt'!O17</f>
        <v>0</v>
      </c>
      <c r="G47" s="1212">
        <f>'3.RL G tt'!G34</f>
        <v>0</v>
      </c>
      <c r="H47" s="1212">
        <f>'3.RL G tt'!K34</f>
        <v>0</v>
      </c>
      <c r="I47" s="1213">
        <f>'3.RL G tt'!O34</f>
        <v>0</v>
      </c>
    </row>
    <row r="48" spans="1:9" ht="12.75" hidden="1" customHeight="1">
      <c r="A48" s="321">
        <v>3</v>
      </c>
      <c r="B48" s="323" t="s">
        <v>733</v>
      </c>
      <c r="C48" s="699"/>
      <c r="D48" s="1211">
        <f>'3.RL G tt'!G18</f>
        <v>0</v>
      </c>
      <c r="E48" s="1212">
        <f>'3.RL G tt'!K18</f>
        <v>0</v>
      </c>
      <c r="F48" s="1212">
        <f>'3.RL G tt'!O18</f>
        <v>0</v>
      </c>
      <c r="G48" s="1212">
        <f>'3.RL G tt'!G35</f>
        <v>0</v>
      </c>
      <c r="H48" s="1212">
        <f>'3.RL G tt'!K35</f>
        <v>0</v>
      </c>
      <c r="I48" s="1213">
        <f>'3.RL G tt'!O35</f>
        <v>0</v>
      </c>
    </row>
    <row r="49" spans="1:9" ht="12.75" hidden="1" customHeight="1">
      <c r="A49" s="3784" t="s">
        <v>7</v>
      </c>
      <c r="B49" s="3786" t="s">
        <v>756</v>
      </c>
      <c r="C49" s="671"/>
      <c r="D49" s="685" t="s">
        <v>156</v>
      </c>
      <c r="E49" s="672"/>
      <c r="F49" s="672"/>
      <c r="G49" s="672"/>
      <c r="H49" s="672"/>
      <c r="I49" s="692"/>
    </row>
    <row r="50" spans="1:9" ht="12.75" hidden="1" customHeight="1">
      <c r="A50" s="3785"/>
      <c r="B50" s="3787"/>
      <c r="C50" s="674"/>
      <c r="D50" s="688" t="s">
        <v>385</v>
      </c>
      <c r="E50" s="675" t="s">
        <v>386</v>
      </c>
      <c r="F50" s="675" t="s">
        <v>387</v>
      </c>
      <c r="G50" s="675" t="s">
        <v>388</v>
      </c>
      <c r="H50" s="675" t="s">
        <v>389</v>
      </c>
      <c r="I50" s="689" t="s">
        <v>390</v>
      </c>
    </row>
    <row r="51" spans="1:9" ht="12.75" hidden="1" customHeight="1">
      <c r="A51" s="321">
        <v>1</v>
      </c>
      <c r="B51" s="698" t="s">
        <v>449</v>
      </c>
      <c r="C51" s="392"/>
      <c r="D51" s="693">
        <f>'3.RL G tt'!G7</f>
        <v>0</v>
      </c>
      <c r="E51" s="694">
        <f>'3.RL G tt'!K7</f>
        <v>0</v>
      </c>
      <c r="F51" s="694">
        <f>'3.RL G tt'!O7</f>
        <v>0</v>
      </c>
      <c r="G51" s="694">
        <f>'3.RL G tt'!G24</f>
        <v>0</v>
      </c>
      <c r="H51" s="694">
        <f>'3.RL G tt'!K24</f>
        <v>0</v>
      </c>
      <c r="I51" s="700">
        <f>'3.RL G tt'!O24</f>
        <v>0</v>
      </c>
    </row>
    <row r="52" spans="1:9" ht="12.75" hidden="1" customHeight="1">
      <c r="A52" s="321">
        <v>2</v>
      </c>
      <c r="B52" s="698" t="s">
        <v>452</v>
      </c>
      <c r="C52" s="392"/>
      <c r="D52" s="693">
        <f>'3.RL G tt'!G8</f>
        <v>0</v>
      </c>
      <c r="E52" s="694">
        <f>'3.RL G tt'!K8</f>
        <v>0</v>
      </c>
      <c r="F52" s="694">
        <f>'3.RL G tt'!O8</f>
        <v>0</v>
      </c>
      <c r="G52" s="694">
        <f>'3.RL G tt'!G25</f>
        <v>0</v>
      </c>
      <c r="H52" s="694">
        <f>'3.RL G tt'!K25</f>
        <v>0</v>
      </c>
      <c r="I52" s="700">
        <f>'3.RL G tt'!O25</f>
        <v>0</v>
      </c>
    </row>
    <row r="53" spans="1:9" ht="12.75" hidden="1" customHeight="1">
      <c r="A53" s="321">
        <v>3</v>
      </c>
      <c r="B53" s="3782" t="s">
        <v>765</v>
      </c>
      <c r="C53" s="392"/>
      <c r="D53" s="693">
        <f>'3.RL G tt'!G9</f>
        <v>0</v>
      </c>
      <c r="E53" s="694">
        <f>'3.RL G tt'!K9</f>
        <v>0</v>
      </c>
      <c r="F53" s="694">
        <f>'3.RL G tt'!O9</f>
        <v>0</v>
      </c>
      <c r="G53" s="694">
        <f>'3.RL G tt'!G26</f>
        <v>0</v>
      </c>
      <c r="H53" s="694">
        <f>'3.RL G tt'!K26</f>
        <v>0</v>
      </c>
      <c r="I53" s="700">
        <f>'3.RL G tt'!O26</f>
        <v>0</v>
      </c>
    </row>
    <row r="54" spans="1:9" ht="12.75" hidden="1" customHeight="1">
      <c r="A54" s="321">
        <v>4</v>
      </c>
      <c r="B54" s="3788"/>
      <c r="C54" s="392"/>
      <c r="D54" s="693">
        <f>'3.RL G tt'!G10</f>
        <v>0</v>
      </c>
      <c r="E54" s="694">
        <f>'3.RL G tt'!K10</f>
        <v>0</v>
      </c>
      <c r="F54" s="694">
        <f>'3.RL G tt'!O10</f>
        <v>0</v>
      </c>
      <c r="G54" s="694">
        <f>'3.RL G tt'!G27</f>
        <v>0</v>
      </c>
      <c r="H54" s="694">
        <f>'3.RL G tt'!K27</f>
        <v>0</v>
      </c>
      <c r="I54" s="700">
        <f>'3.RL G tt'!O27</f>
        <v>0</v>
      </c>
    </row>
    <row r="55" spans="1:9" ht="12.75" hidden="1" customHeight="1">
      <c r="A55" s="321">
        <v>5</v>
      </c>
      <c r="B55" s="3783"/>
      <c r="C55" s="392"/>
      <c r="D55" s="693">
        <f>'3.RL G tt'!G11</f>
        <v>0</v>
      </c>
      <c r="E55" s="694">
        <f>'3.RL G tt'!K11</f>
        <v>0</v>
      </c>
      <c r="F55" s="694">
        <f>'3.RL G tt'!O11</f>
        <v>0</v>
      </c>
      <c r="G55" s="694">
        <f>'3.RL G tt'!G28</f>
        <v>0</v>
      </c>
      <c r="H55" s="694">
        <f>'3.RL G tt'!K28</f>
        <v>0</v>
      </c>
      <c r="I55" s="700">
        <f>'3.RL G tt'!O28</f>
        <v>0</v>
      </c>
    </row>
    <row r="56" spans="1:9" ht="12.75" hidden="1" customHeight="1">
      <c r="A56" s="321">
        <v>6</v>
      </c>
      <c r="B56" s="3782" t="s">
        <v>766</v>
      </c>
      <c r="C56" s="392"/>
      <c r="D56" s="693">
        <f>'3.RL G tt'!G12</f>
        <v>0</v>
      </c>
      <c r="E56" s="694">
        <f>'3.RL G tt'!K12</f>
        <v>0</v>
      </c>
      <c r="F56" s="694">
        <f>'3.RL G tt'!O12</f>
        <v>0</v>
      </c>
      <c r="G56" s="694">
        <f>'3.RL G tt'!G29</f>
        <v>0</v>
      </c>
      <c r="H56" s="694">
        <f>'3.RL G tt'!K29</f>
        <v>0</v>
      </c>
      <c r="I56" s="700">
        <f>'3.RL G tt'!O29</f>
        <v>0</v>
      </c>
    </row>
    <row r="57" spans="1:9" ht="12.75" hidden="1" customHeight="1">
      <c r="A57" s="321">
        <v>7</v>
      </c>
      <c r="B57" s="3783"/>
      <c r="C57" s="392"/>
      <c r="D57" s="693">
        <f>'3.RL G tt'!G13</f>
        <v>0</v>
      </c>
      <c r="E57" s="694">
        <f>'3.RL G tt'!K13</f>
        <v>0</v>
      </c>
      <c r="F57" s="694">
        <f>'3.RL G tt'!O13</f>
        <v>0</v>
      </c>
      <c r="G57" s="694">
        <f>'3.RL G tt'!G30</f>
        <v>0</v>
      </c>
      <c r="H57" s="694">
        <f>'3.RL G tt'!K30</f>
        <v>0</v>
      </c>
      <c r="I57" s="700">
        <f>'3.RL G tt'!O30</f>
        <v>0</v>
      </c>
    </row>
    <row r="58" spans="1:9" ht="12.75" hidden="1" customHeight="1">
      <c r="D58" s="696"/>
      <c r="I58" s="692"/>
    </row>
    <row r="59" spans="1:9" ht="12.75" hidden="1" customHeight="1">
      <c r="B59" s="669" t="s">
        <v>917</v>
      </c>
      <c r="C59" s="697"/>
      <c r="D59" s="696"/>
      <c r="I59" s="692"/>
    </row>
    <row r="60" spans="1:9" ht="12.75" hidden="1" customHeight="1">
      <c r="A60" s="3784" t="s">
        <v>7</v>
      </c>
      <c r="B60" s="3786" t="s">
        <v>756</v>
      </c>
      <c r="C60" s="671"/>
      <c r="D60" s="685" t="s">
        <v>155</v>
      </c>
      <c r="E60" s="672"/>
      <c r="F60" s="672"/>
      <c r="G60" s="672"/>
      <c r="H60" s="672"/>
      <c r="I60" s="692"/>
    </row>
    <row r="61" spans="1:9" ht="12.75" hidden="1" customHeight="1">
      <c r="A61" s="3785"/>
      <c r="B61" s="3787"/>
      <c r="C61" s="674"/>
      <c r="D61" s="688" t="s">
        <v>385</v>
      </c>
      <c r="E61" s="675" t="s">
        <v>386</v>
      </c>
      <c r="F61" s="675" t="s">
        <v>387</v>
      </c>
      <c r="G61" s="675" t="s">
        <v>388</v>
      </c>
      <c r="H61" s="675" t="s">
        <v>389</v>
      </c>
      <c r="I61" s="689" t="s">
        <v>390</v>
      </c>
    </row>
    <row r="62" spans="1:9" ht="12.75" hidden="1" customHeight="1">
      <c r="A62" s="149">
        <v>1</v>
      </c>
      <c r="B62" s="137" t="s">
        <v>915</v>
      </c>
      <c r="C62" s="392"/>
      <c r="D62" s="680">
        <f>'4.RL F tt'!F7</f>
        <v>40</v>
      </c>
      <c r="E62" s="681">
        <f>'4.RL F tt'!J7</f>
        <v>50</v>
      </c>
      <c r="F62" s="681">
        <f>'4.RL F tt'!N7</f>
        <v>45</v>
      </c>
      <c r="G62" s="681">
        <f>'4.RL F tt'!F29</f>
        <v>44</v>
      </c>
      <c r="H62" s="681">
        <f>'4.RL F tt'!J29</f>
        <v>41</v>
      </c>
      <c r="I62" s="692">
        <f>'4.RL F tt'!N29</f>
        <v>36</v>
      </c>
    </row>
    <row r="63" spans="1:9" ht="12.75" hidden="1" customHeight="1">
      <c r="A63" s="149"/>
      <c r="B63" s="137" t="s">
        <v>757</v>
      </c>
      <c r="C63" s="392" t="s">
        <v>758</v>
      </c>
      <c r="D63" s="680">
        <f>'4.RL F tt'!F8</f>
        <v>11.132499999999999</v>
      </c>
      <c r="E63" s="681">
        <f>'4.RL F tt'!J8</f>
        <v>10.584999999999999</v>
      </c>
      <c r="F63" s="681">
        <f>'4.RL F tt'!N8</f>
        <v>10.95</v>
      </c>
      <c r="G63" s="681">
        <f>'4.RL F tt'!F30</f>
        <v>10.95</v>
      </c>
      <c r="H63" s="681">
        <f>'4.RL F tt'!J30</f>
        <v>10.95</v>
      </c>
      <c r="I63" s="692">
        <f>'4.RL F tt'!N30</f>
        <v>10.584999999999999</v>
      </c>
    </row>
    <row r="64" spans="1:9" ht="12.75" hidden="1" customHeight="1">
      <c r="A64" s="321">
        <v>2</v>
      </c>
      <c r="B64" s="3782" t="s">
        <v>759</v>
      </c>
      <c r="C64" s="683" t="s">
        <v>608</v>
      </c>
      <c r="D64" s="680">
        <f>'4.RL F tt'!F9</f>
        <v>43</v>
      </c>
      <c r="E64" s="681">
        <f>'4.RL F tt'!J9</f>
        <v>44</v>
      </c>
      <c r="F64" s="681">
        <f>'4.RL F tt'!N9</f>
        <v>45</v>
      </c>
      <c r="G64" s="681">
        <f>'4.RL F tt'!F31</f>
        <v>54</v>
      </c>
      <c r="H64" s="681">
        <f>'4.RL F tt'!J31</f>
        <v>47</v>
      </c>
      <c r="I64" s="692">
        <f>'4.RL F tt'!N31</f>
        <v>49</v>
      </c>
    </row>
    <row r="65" spans="1:9" ht="12.75" hidden="1" customHeight="1">
      <c r="A65" s="321">
        <v>3</v>
      </c>
      <c r="B65" s="3788"/>
      <c r="C65" s="683" t="s">
        <v>612</v>
      </c>
      <c r="D65" s="680">
        <f>'4.RL F tt'!F10</f>
        <v>8.6</v>
      </c>
      <c r="E65" s="681">
        <f>'4.RL F tt'!J10</f>
        <v>10</v>
      </c>
      <c r="F65" s="681">
        <f>'4.RL F tt'!N10</f>
        <v>10.227272727272727</v>
      </c>
      <c r="G65" s="681">
        <f>'4.RL F tt'!F32</f>
        <v>8.7096774193548381</v>
      </c>
      <c r="H65" s="681">
        <f>'4.RL F tt'!J32</f>
        <v>8.8679245283018879</v>
      </c>
      <c r="I65" s="692">
        <f>'4.RL F tt'!N32</f>
        <v>10</v>
      </c>
    </row>
    <row r="66" spans="1:9" ht="12.75" hidden="1" customHeight="1">
      <c r="A66" s="321">
        <v>4</v>
      </c>
      <c r="B66" s="3783"/>
      <c r="C66" s="683" t="s">
        <v>614</v>
      </c>
      <c r="D66" s="680">
        <f>'4.RL F tt'!F11</f>
        <v>0.1</v>
      </c>
      <c r="E66" s="681">
        <f>'4.RL F tt'!J11</f>
        <v>0.08</v>
      </c>
      <c r="F66" s="681">
        <f>'4.RL F tt'!N11</f>
        <v>0.12</v>
      </c>
      <c r="G66" s="681">
        <f>'4.RL F tt'!F33</f>
        <v>0.12</v>
      </c>
      <c r="H66" s="681">
        <f>'4.RL F tt'!J33</f>
        <v>0.1</v>
      </c>
      <c r="I66" s="692">
        <f>'4.RL F tt'!N33</f>
        <v>0.12</v>
      </c>
    </row>
    <row r="67" spans="1:9" ht="12.75" hidden="1" customHeight="1">
      <c r="A67" s="321">
        <v>5</v>
      </c>
      <c r="B67" s="3782" t="s">
        <v>760</v>
      </c>
      <c r="C67" s="683" t="s">
        <v>608</v>
      </c>
      <c r="D67" s="680" t="e">
        <f>'4.RL F tt'!F12</f>
        <v>#REF!</v>
      </c>
      <c r="E67" s="681" t="e">
        <f>'4.RL F tt'!J12</f>
        <v>#REF!</v>
      </c>
      <c r="F67" s="681" t="e">
        <f>'4.RL F tt'!N12</f>
        <v>#REF!</v>
      </c>
      <c r="G67" s="681" t="e">
        <f>'4.RL F tt'!F34</f>
        <v>#REF!</v>
      </c>
      <c r="H67" s="681" t="e">
        <f>'4.RL F tt'!J34</f>
        <v>#REF!</v>
      </c>
      <c r="I67" s="692" t="e">
        <f>'4.RL F tt'!N34</f>
        <v>#REF!</v>
      </c>
    </row>
    <row r="68" spans="1:9" ht="12.75" hidden="1" customHeight="1">
      <c r="A68" s="321">
        <v>6</v>
      </c>
      <c r="B68" s="3788"/>
      <c r="C68" s="683" t="s">
        <v>612</v>
      </c>
      <c r="D68" s="680" t="e">
        <f>'4.RL F tt'!F13</f>
        <v>#REF!</v>
      </c>
      <c r="E68" s="681" t="e">
        <f>'4.RL F tt'!J13</f>
        <v>#REF!</v>
      </c>
      <c r="F68" s="681" t="e">
        <f>'4.RL F tt'!N13</f>
        <v>#REF!</v>
      </c>
      <c r="G68" s="681" t="e">
        <f>'4.RL F tt'!F35</f>
        <v>#REF!</v>
      </c>
      <c r="H68" s="681" t="e">
        <f>'4.RL F tt'!J35</f>
        <v>#REF!</v>
      </c>
      <c r="I68" s="692" t="e">
        <f>'4.RL F tt'!N35</f>
        <v>#REF!</v>
      </c>
    </row>
    <row r="69" spans="1:9" ht="12.75" hidden="1" customHeight="1">
      <c r="A69" s="321">
        <v>7</v>
      </c>
      <c r="B69" s="3783"/>
      <c r="C69" s="683" t="s">
        <v>614</v>
      </c>
      <c r="D69" s="680" t="e">
        <f>'4.RL F tt'!F14</f>
        <v>#REF!</v>
      </c>
      <c r="E69" s="681" t="e">
        <f>'4.RL F tt'!J14</f>
        <v>#REF!</v>
      </c>
      <c r="F69" s="681" t="e">
        <f>'4.RL F tt'!N14</f>
        <v>#REF!</v>
      </c>
      <c r="G69" s="681" t="e">
        <f>'4.RL F tt'!F36</f>
        <v>#REF!</v>
      </c>
      <c r="H69" s="681" t="e">
        <f>'4.RL F tt'!J36</f>
        <v>#REF!</v>
      </c>
      <c r="I69" s="692" t="e">
        <f>'4.RL F tt'!N36</f>
        <v>#REF!</v>
      </c>
    </row>
    <row r="70" spans="1:9" ht="12.75" hidden="1" customHeight="1">
      <c r="A70" s="321">
        <v>8</v>
      </c>
      <c r="B70" s="3782" t="s">
        <v>761</v>
      </c>
      <c r="C70" s="392" t="s">
        <v>762</v>
      </c>
      <c r="D70" s="680">
        <f>'4.RL F tt'!F15</f>
        <v>0.95</v>
      </c>
      <c r="E70" s="681">
        <f>'4.RL F tt'!J15</f>
        <v>0.9</v>
      </c>
      <c r="F70" s="681">
        <f>'4.RL F tt'!N15</f>
        <v>0.95</v>
      </c>
      <c r="G70" s="681">
        <f>'4.RL F tt'!F37</f>
        <v>0.9</v>
      </c>
      <c r="H70" s="681">
        <f>'4.RL F tt'!J37</f>
        <v>0.95</v>
      </c>
      <c r="I70" s="692">
        <f>'4.RL F tt'!N37</f>
        <v>0.95</v>
      </c>
    </row>
    <row r="71" spans="1:9" ht="12.75" hidden="1" customHeight="1">
      <c r="A71" s="321">
        <v>9</v>
      </c>
      <c r="B71" s="3783"/>
      <c r="C71" s="392" t="s">
        <v>620</v>
      </c>
      <c r="D71" s="680">
        <f>'4.RL F tt'!F16</f>
        <v>10</v>
      </c>
      <c r="E71" s="681">
        <f>'4.RL F tt'!J16</f>
        <v>10</v>
      </c>
      <c r="F71" s="681">
        <f>'4.RL F tt'!N16</f>
        <v>10</v>
      </c>
      <c r="G71" s="681">
        <f>'4.RL F tt'!F38</f>
        <v>9</v>
      </c>
      <c r="H71" s="681">
        <f>'4.RL F tt'!J38</f>
        <v>9.5</v>
      </c>
      <c r="I71" s="692">
        <f>'4.RL F tt'!N38</f>
        <v>10</v>
      </c>
    </row>
    <row r="72" spans="1:9" ht="12.75" hidden="1" customHeight="1">
      <c r="A72" s="3789" t="s">
        <v>2</v>
      </c>
      <c r="B72" s="3789"/>
      <c r="C72" s="671"/>
      <c r="D72" s="685" t="s">
        <v>157</v>
      </c>
      <c r="E72" s="672"/>
      <c r="F72" s="672"/>
      <c r="G72" s="672"/>
      <c r="H72" s="672"/>
      <c r="I72" s="692"/>
    </row>
    <row r="73" spans="1:9" ht="12.75" hidden="1" customHeight="1">
      <c r="A73" s="149" t="s">
        <v>54</v>
      </c>
      <c r="B73" s="687" t="s">
        <v>763</v>
      </c>
      <c r="C73" s="671"/>
      <c r="D73" s="688" t="s">
        <v>385</v>
      </c>
      <c r="E73" s="675" t="s">
        <v>386</v>
      </c>
      <c r="F73" s="675" t="s">
        <v>387</v>
      </c>
      <c r="G73" s="675" t="s">
        <v>388</v>
      </c>
      <c r="H73" s="675" t="s">
        <v>389</v>
      </c>
      <c r="I73" s="689" t="s">
        <v>390</v>
      </c>
    </row>
    <row r="74" spans="1:9" ht="12.75" hidden="1" customHeight="1">
      <c r="A74" s="321">
        <v>1</v>
      </c>
      <c r="B74" s="893" t="s">
        <v>915</v>
      </c>
      <c r="C74" s="691"/>
      <c r="D74" s="1211">
        <f>'4.RL F tt'!H19</f>
        <v>59</v>
      </c>
      <c r="E74" s="1212">
        <f>'4.RL F tt'!L19</f>
        <v>59</v>
      </c>
      <c r="F74" s="1212">
        <f>'4.RL F tt'!P19</f>
        <v>58</v>
      </c>
      <c r="G74" s="1212">
        <f>'4.RL F tt'!H41</f>
        <v>58</v>
      </c>
      <c r="H74" s="1212">
        <f>'4.RL F tt'!L41</f>
        <v>59</v>
      </c>
      <c r="I74" s="1213">
        <f>'4.RL F tt'!P41</f>
        <v>59</v>
      </c>
    </row>
    <row r="75" spans="1:9" ht="12.75" hidden="1" customHeight="1">
      <c r="A75" s="321">
        <v>2</v>
      </c>
      <c r="B75" s="690" t="s">
        <v>447</v>
      </c>
      <c r="C75" s="691"/>
      <c r="D75" s="1211">
        <f>'4.RL F tt'!H20</f>
        <v>68</v>
      </c>
      <c r="E75" s="1212">
        <f>'4.RL F tt'!L20</f>
        <v>68</v>
      </c>
      <c r="F75" s="1212">
        <f>'4.RL F tt'!P20</f>
        <v>68</v>
      </c>
      <c r="G75" s="1212">
        <f>'4.RL F tt'!H42</f>
        <v>68</v>
      </c>
      <c r="H75" s="1212">
        <f>'4.RL F tt'!L42</f>
        <v>68</v>
      </c>
      <c r="I75" s="1213">
        <f>'4.RL F tt'!P42</f>
        <v>68</v>
      </c>
    </row>
    <row r="76" spans="1:9" ht="12.75" hidden="1" customHeight="1">
      <c r="A76" s="321">
        <v>3</v>
      </c>
      <c r="B76" s="690" t="s">
        <v>440</v>
      </c>
      <c r="C76" s="691"/>
      <c r="D76" s="1211">
        <f>'4.RL F tt'!H21</f>
        <v>85</v>
      </c>
      <c r="E76" s="1212">
        <f>'4.RL F tt'!L21</f>
        <v>89</v>
      </c>
      <c r="F76" s="1212">
        <f>'4.RL F tt'!P21</f>
        <v>83</v>
      </c>
      <c r="G76" s="1212">
        <f>'4.RL F tt'!H43</f>
        <v>86</v>
      </c>
      <c r="H76" s="1212">
        <f>'4.RL F tt'!L43</f>
        <v>85</v>
      </c>
      <c r="I76" s="1213">
        <f>'4.RL F tt'!P43</f>
        <v>85</v>
      </c>
    </row>
    <row r="77" spans="1:9" ht="12.75" hidden="1" customHeight="1">
      <c r="A77" s="321">
        <v>4</v>
      </c>
      <c r="B77" s="690" t="s">
        <v>764</v>
      </c>
      <c r="C77" s="691"/>
      <c r="D77" s="680">
        <f>'4.RL F tt'!F22</f>
        <v>0</v>
      </c>
      <c r="E77" s="681">
        <f>'4.RL F tt'!J22</f>
        <v>0</v>
      </c>
      <c r="F77" s="681">
        <f>'4.RL F tt'!N22</f>
        <v>0</v>
      </c>
      <c r="G77" s="681">
        <f>'4.RL F tt'!F44</f>
        <v>0</v>
      </c>
      <c r="H77" s="681">
        <f>'4.RL F tt'!J44</f>
        <v>0</v>
      </c>
      <c r="I77" s="692">
        <f>'4.RL F tt'!N44</f>
        <v>0</v>
      </c>
    </row>
    <row r="78" spans="1:9" ht="12.75" hidden="1" customHeight="1">
      <c r="A78" s="3784" t="s">
        <v>7</v>
      </c>
      <c r="B78" s="3786" t="s">
        <v>756</v>
      </c>
      <c r="C78" s="671"/>
      <c r="D78" s="685" t="s">
        <v>156</v>
      </c>
      <c r="E78" s="672"/>
      <c r="F78" s="672"/>
      <c r="G78" s="672"/>
      <c r="H78" s="672"/>
      <c r="I78" s="692"/>
    </row>
    <row r="79" spans="1:9" ht="12.75" hidden="1" customHeight="1">
      <c r="A79" s="3785"/>
      <c r="B79" s="3787"/>
      <c r="C79" s="674"/>
      <c r="D79" s="688" t="s">
        <v>385</v>
      </c>
      <c r="E79" s="675" t="s">
        <v>386</v>
      </c>
      <c r="F79" s="675" t="s">
        <v>387</v>
      </c>
      <c r="G79" s="675" t="s">
        <v>388</v>
      </c>
      <c r="H79" s="675" t="s">
        <v>389</v>
      </c>
      <c r="I79" s="689" t="s">
        <v>390</v>
      </c>
    </row>
    <row r="80" spans="1:9" ht="12.75" hidden="1" customHeight="1">
      <c r="A80" s="321">
        <v>1</v>
      </c>
      <c r="B80" s="137" t="s">
        <v>915</v>
      </c>
      <c r="C80" s="392"/>
      <c r="D80" s="693">
        <f>'4.RL F tt'!H7</f>
        <v>0</v>
      </c>
      <c r="E80" s="694">
        <f>'4.RL F tt'!L7</f>
        <v>0</v>
      </c>
      <c r="F80" s="694">
        <f>'4.RL F tt'!P7</f>
        <v>0</v>
      </c>
      <c r="G80" s="694">
        <f>'4.RL F tt'!H29</f>
        <v>0</v>
      </c>
      <c r="H80" s="694">
        <f>'4.RL F tt'!L29</f>
        <v>0</v>
      </c>
      <c r="I80" s="700">
        <f>'4.RL F tt'!P29</f>
        <v>9.32</v>
      </c>
    </row>
    <row r="81" spans="1:9" ht="12.75" hidden="1" customHeight="1">
      <c r="A81" s="321"/>
      <c r="B81" s="137" t="s">
        <v>757</v>
      </c>
      <c r="C81" s="392"/>
      <c r="D81" s="693">
        <f>'4.RL F tt'!H8</f>
        <v>111.32304687500012</v>
      </c>
      <c r="E81" s="694">
        <f>'4.RL F tt'!L8</f>
        <v>155.89296875000008</v>
      </c>
      <c r="F81" s="694">
        <f>'4.RL F tt'!P8</f>
        <v>126.17968750000006</v>
      </c>
      <c r="G81" s="694">
        <f>'4.RL F tt'!H30</f>
        <v>126.17968750000006</v>
      </c>
      <c r="H81" s="694">
        <f>'4.RL F tt'!L30</f>
        <v>126.17968750000006</v>
      </c>
      <c r="I81" s="700">
        <f>'4.RL F tt'!P30</f>
        <v>155.89296875000008</v>
      </c>
    </row>
    <row r="82" spans="1:9" ht="12.75" hidden="1" customHeight="1">
      <c r="A82" s="321">
        <v>2</v>
      </c>
      <c r="B82" s="3782" t="s">
        <v>759</v>
      </c>
      <c r="C82" s="392"/>
      <c r="D82" s="693">
        <f>'4.RL F tt'!H9</f>
        <v>34.545000000000002</v>
      </c>
      <c r="E82" s="694">
        <f>'4.RL F tt'!L9</f>
        <v>29.61</v>
      </c>
      <c r="F82" s="694">
        <f>'4.RL F tt'!P9</f>
        <v>24.675000000000001</v>
      </c>
      <c r="G82" s="694">
        <f>'4.RL F tt'!H31</f>
        <v>0</v>
      </c>
      <c r="H82" s="694">
        <f>'4.RL F tt'!L31</f>
        <v>14.805</v>
      </c>
      <c r="I82" s="700">
        <f>'4.RL F tt'!P31</f>
        <v>4.9349999999999996</v>
      </c>
    </row>
    <row r="83" spans="1:9" ht="12.75" hidden="1" customHeight="1">
      <c r="A83" s="321">
        <v>3</v>
      </c>
      <c r="B83" s="3788"/>
      <c r="C83" s="392"/>
      <c r="D83" s="693">
        <f>'4.RL F tt'!H10</f>
        <v>0</v>
      </c>
      <c r="E83" s="694">
        <f>'4.RL F tt'!L10</f>
        <v>0</v>
      </c>
      <c r="F83" s="694">
        <f>'4.RL F tt'!P10</f>
        <v>0</v>
      </c>
      <c r="G83" s="694">
        <f>'4.RL F tt'!H32</f>
        <v>0</v>
      </c>
      <c r="H83" s="694">
        <f>'4.RL F tt'!L32</f>
        <v>0</v>
      </c>
      <c r="I83" s="700">
        <f>'4.RL F tt'!P32</f>
        <v>0</v>
      </c>
    </row>
    <row r="84" spans="1:9" ht="12.75" hidden="1" customHeight="1">
      <c r="A84" s="321">
        <v>4</v>
      </c>
      <c r="B84" s="3783"/>
      <c r="C84" s="392"/>
      <c r="D84" s="693">
        <f>'4.RL F tt'!H11</f>
        <v>0</v>
      </c>
      <c r="E84" s="694">
        <f>'4.RL F tt'!L11</f>
        <v>0</v>
      </c>
      <c r="F84" s="694">
        <f>'4.RL F tt'!P11</f>
        <v>0</v>
      </c>
      <c r="G84" s="694">
        <f>'4.RL F tt'!H33</f>
        <v>0</v>
      </c>
      <c r="H84" s="694">
        <f>'4.RL F tt'!L33</f>
        <v>0</v>
      </c>
      <c r="I84" s="700">
        <f>'4.RL F tt'!P33</f>
        <v>0</v>
      </c>
    </row>
    <row r="85" spans="1:9" ht="12.75" hidden="1" customHeight="1">
      <c r="A85" s="321">
        <v>5</v>
      </c>
      <c r="B85" s="3782" t="s">
        <v>760</v>
      </c>
      <c r="C85" s="392"/>
      <c r="D85" s="693" t="e">
        <f>'4.RL F tt'!H12</f>
        <v>#REF!</v>
      </c>
      <c r="E85" s="694" t="e">
        <f>'4.RL F tt'!L12</f>
        <v>#REF!</v>
      </c>
      <c r="F85" s="694" t="e">
        <f>'4.RL F tt'!P12</f>
        <v>#REF!</v>
      </c>
      <c r="G85" s="694" t="e">
        <f>'4.RL F tt'!H34</f>
        <v>#REF!</v>
      </c>
      <c r="H85" s="694" t="e">
        <f>'4.RL F tt'!L34</f>
        <v>#REF!</v>
      </c>
      <c r="I85" s="700" t="e">
        <f>'4.RL F tt'!P34</f>
        <v>#REF!</v>
      </c>
    </row>
    <row r="86" spans="1:9" ht="12.75" hidden="1" customHeight="1">
      <c r="A86" s="321">
        <v>6</v>
      </c>
      <c r="B86" s="3788"/>
      <c r="C86" s="392"/>
      <c r="D86" s="693" t="e">
        <f>'4.RL F tt'!H13</f>
        <v>#REF!</v>
      </c>
      <c r="E86" s="694" t="e">
        <f>'4.RL F tt'!L13</f>
        <v>#REF!</v>
      </c>
      <c r="F86" s="694" t="e">
        <f>'4.RL F tt'!P13</f>
        <v>#REF!</v>
      </c>
      <c r="G86" s="694" t="e">
        <f>'4.RL F tt'!H35</f>
        <v>#REF!</v>
      </c>
      <c r="H86" s="694" t="e">
        <f>'4.RL F tt'!L35</f>
        <v>#REF!</v>
      </c>
      <c r="I86" s="700" t="e">
        <f>'4.RL F tt'!P35</f>
        <v>#REF!</v>
      </c>
    </row>
    <row r="87" spans="1:9" ht="12.75" hidden="1" customHeight="1">
      <c r="A87" s="321">
        <v>7</v>
      </c>
      <c r="B87" s="3783"/>
      <c r="C87" s="392"/>
      <c r="D87" s="693" t="e">
        <f>'4.RL F tt'!H14</f>
        <v>#REF!</v>
      </c>
      <c r="E87" s="694" t="e">
        <f>'4.RL F tt'!L14</f>
        <v>#REF!</v>
      </c>
      <c r="F87" s="694" t="e">
        <f>'4.RL F tt'!P14</f>
        <v>#REF!</v>
      </c>
      <c r="G87" s="694" t="e">
        <f>'4.RL F tt'!H36</f>
        <v>#REF!</v>
      </c>
      <c r="H87" s="694" t="e">
        <f>'4.RL F tt'!L36</f>
        <v>#REF!</v>
      </c>
      <c r="I87" s="700" t="e">
        <f>'4.RL F tt'!P36</f>
        <v>#REF!</v>
      </c>
    </row>
    <row r="88" spans="1:9" ht="12.75" hidden="1" customHeight="1">
      <c r="A88" s="321">
        <v>8</v>
      </c>
      <c r="B88" s="3782" t="s">
        <v>761</v>
      </c>
      <c r="C88" s="392"/>
      <c r="D88" s="693">
        <f>'4.RL F tt'!H15</f>
        <v>6.1700000000000053E-2</v>
      </c>
      <c r="E88" s="694">
        <f>'4.RL F tt'!L15</f>
        <v>0.12339999999999998</v>
      </c>
      <c r="F88" s="694">
        <f>'4.RL F tt'!P15</f>
        <v>6.1700000000000053E-2</v>
      </c>
      <c r="G88" s="694">
        <f>'4.RL F tt'!H37</f>
        <v>0.12339999999999998</v>
      </c>
      <c r="H88" s="694">
        <f>'4.RL F tt'!L37</f>
        <v>6.1700000000000053E-2</v>
      </c>
      <c r="I88" s="700">
        <f>'4.RL F tt'!P37</f>
        <v>6.1700000000000053E-2</v>
      </c>
    </row>
    <row r="89" spans="1:9" ht="12.75" hidden="1" customHeight="1">
      <c r="A89" s="321">
        <v>9</v>
      </c>
      <c r="B89" s="3783"/>
      <c r="C89" s="392"/>
      <c r="D89" s="693">
        <f>'4.RL F tt'!H16</f>
        <v>0</v>
      </c>
      <c r="E89" s="694">
        <f>'4.RL F tt'!L16</f>
        <v>0</v>
      </c>
      <c r="F89" s="694">
        <f>'4.RL F tt'!P16</f>
        <v>0</v>
      </c>
      <c r="G89" s="694">
        <f>'4.RL F tt'!H38</f>
        <v>0</v>
      </c>
      <c r="H89" s="694">
        <f>'4.RL F tt'!L38</f>
        <v>0</v>
      </c>
      <c r="I89" s="700">
        <f>'4.RL F tt'!P38</f>
        <v>0</v>
      </c>
    </row>
    <row r="90" spans="1:9" s="706" customFormat="1" ht="12.75" hidden="1" customHeight="1">
      <c r="A90" s="701"/>
      <c r="B90" s="702"/>
      <c r="C90" s="702"/>
      <c r="D90" s="703"/>
      <c r="E90" s="704"/>
      <c r="F90" s="704"/>
      <c r="G90" s="704"/>
      <c r="H90" s="704"/>
      <c r="I90" s="705"/>
    </row>
    <row r="91" spans="1:9" s="706" customFormat="1" ht="16.5" hidden="1" customHeight="1">
      <c r="A91" s="701"/>
      <c r="B91" s="707" t="s">
        <v>768</v>
      </c>
      <c r="C91" s="708"/>
      <c r="D91" s="709">
        <f>R.HN!C12</f>
        <v>3</v>
      </c>
      <c r="E91" s="710">
        <f>R.HN!D12</f>
        <v>3</v>
      </c>
      <c r="F91" s="710">
        <f>R.HN!E12</f>
        <v>3</v>
      </c>
      <c r="G91" s="710">
        <f>R.HN!F12</f>
        <v>3</v>
      </c>
      <c r="H91" s="710">
        <f>R.HN!G12</f>
        <v>3</v>
      </c>
      <c r="I91" s="711">
        <f>R.HN!H12</f>
        <v>3</v>
      </c>
    </row>
    <row r="92" spans="1:9" s="706" customFormat="1" ht="10.5" hidden="1" customHeight="1">
      <c r="A92" s="701"/>
      <c r="B92" s="707" t="s">
        <v>769</v>
      </c>
      <c r="C92" s="708"/>
      <c r="D92" s="703">
        <f>R.HN!C13</f>
        <v>4</v>
      </c>
      <c r="E92" s="704">
        <f>R.HN!D13</f>
        <v>4</v>
      </c>
      <c r="F92" s="704">
        <f>R.HN!E13</f>
        <v>4</v>
      </c>
      <c r="G92" s="704">
        <f>R.HN!F13</f>
        <v>4</v>
      </c>
      <c r="H92" s="704">
        <f>R.HN!G13</f>
        <v>4</v>
      </c>
      <c r="I92" s="712">
        <f>R.HN!H13</f>
        <v>4</v>
      </c>
    </row>
    <row r="93" spans="1:9" s="706" customFormat="1" ht="11.25" hidden="1" customHeight="1">
      <c r="A93" s="701"/>
      <c r="B93" s="707" t="s">
        <v>770</v>
      </c>
      <c r="C93" s="708"/>
      <c r="D93" s="709">
        <f>R.HN!C35</f>
        <v>0</v>
      </c>
      <c r="E93" s="710">
        <f>R.HN!D35</f>
        <v>0</v>
      </c>
      <c r="F93" s="710">
        <f>R.HN!E35</f>
        <v>0</v>
      </c>
      <c r="G93" s="710">
        <f>R.HN!F35</f>
        <v>0</v>
      </c>
      <c r="H93" s="710">
        <f>R.HN!G35</f>
        <v>0</v>
      </c>
      <c r="I93" s="711">
        <f>R.HN!H35</f>
        <v>0</v>
      </c>
    </row>
    <row r="94" spans="1:9" s="706" customFormat="1" ht="15.75" hidden="1" customHeight="1">
      <c r="A94" s="701"/>
      <c r="B94" s="707" t="s">
        <v>771</v>
      </c>
      <c r="C94" s="708"/>
      <c r="D94" s="703">
        <f>R.HN!C36</f>
        <v>0</v>
      </c>
      <c r="E94" s="704">
        <f>R.HN!D36</f>
        <v>0</v>
      </c>
      <c r="F94" s="704">
        <f>R.HN!E36</f>
        <v>0</v>
      </c>
      <c r="G94" s="704">
        <f>R.HN!F36</f>
        <v>0</v>
      </c>
      <c r="H94" s="704">
        <f>R.HN!G36</f>
        <v>0</v>
      </c>
      <c r="I94" s="712">
        <f>R.HN!H36</f>
        <v>0</v>
      </c>
    </row>
    <row r="95" spans="1:9" s="706" customFormat="1" ht="15.75" hidden="1" customHeight="1">
      <c r="A95" s="701"/>
      <c r="B95" s="750" t="s">
        <v>784</v>
      </c>
      <c r="C95" s="751"/>
      <c r="D95" s="752" t="e">
        <f>'3.RL G tt'!#REF!</f>
        <v>#REF!</v>
      </c>
      <c r="E95" s="753" t="e">
        <f>'3.RL G tt'!#REF!</f>
        <v>#REF!</v>
      </c>
      <c r="F95" s="753" t="e">
        <f>'3.RL G tt'!#REF!</f>
        <v>#REF!</v>
      </c>
      <c r="G95" s="753" t="e">
        <f>'3.RL G tt'!#REF!</f>
        <v>#REF!</v>
      </c>
      <c r="H95" s="753" t="e">
        <f>'3.RL G tt'!#REF!</f>
        <v>#REF!</v>
      </c>
      <c r="I95" s="754" t="e">
        <f>'3.RL G tt'!#REF!</f>
        <v>#REF!</v>
      </c>
    </row>
    <row r="96" spans="1:9" ht="12.75" customHeight="1" thickBot="1">
      <c r="A96" s="681"/>
      <c r="B96" s="392"/>
      <c r="C96" s="392"/>
      <c r="D96" s="713"/>
      <c r="E96" s="714"/>
      <c r="F96" s="714"/>
      <c r="G96" s="714"/>
      <c r="H96" s="714"/>
      <c r="I96" s="715"/>
    </row>
    <row r="97" spans="1:8" ht="12.75" customHeight="1">
      <c r="A97" s="681"/>
      <c r="B97" s="392"/>
      <c r="C97" s="392"/>
      <c r="D97" s="694"/>
      <c r="E97" s="694"/>
      <c r="F97" s="694"/>
      <c r="G97" s="694"/>
      <c r="H97" s="694"/>
    </row>
    <row r="99" spans="1:8" ht="12.75" customHeight="1">
      <c r="B99" s="669" t="s">
        <v>772</v>
      </c>
    </row>
    <row r="100" spans="1:8" ht="12.75" customHeight="1">
      <c r="A100" s="3772" t="s">
        <v>7</v>
      </c>
      <c r="B100" s="3774" t="s">
        <v>76</v>
      </c>
      <c r="C100" s="672" t="s">
        <v>155</v>
      </c>
      <c r="D100" s="672"/>
    </row>
    <row r="101" spans="1:8" ht="12.75" customHeight="1" thickBot="1">
      <c r="A101" s="3773"/>
      <c r="B101" s="3775"/>
      <c r="C101" s="675">
        <v>0.375</v>
      </c>
      <c r="D101" s="675">
        <v>0.54166666666666663</v>
      </c>
    </row>
    <row r="102" spans="1:8" ht="12.75" customHeight="1">
      <c r="A102" s="716">
        <v>1</v>
      </c>
      <c r="B102" s="323" t="s">
        <v>571</v>
      </c>
      <c r="C102" s="717">
        <f>'1.xi den TT'!H7</f>
        <v>15.4</v>
      </c>
      <c r="D102" s="718">
        <f>'1.xi den TT'!L7</f>
        <v>0</v>
      </c>
      <c r="E102" s="666"/>
      <c r="F102" s="666"/>
      <c r="G102" s="666"/>
      <c r="H102" s="666"/>
    </row>
    <row r="103" spans="1:8" ht="12.75" hidden="1" customHeight="1" thickBot="1">
      <c r="A103" s="716">
        <v>2</v>
      </c>
      <c r="B103" s="323" t="s">
        <v>572</v>
      </c>
      <c r="C103" s="717">
        <f>'1.xi den TT'!H8</f>
        <v>46.079000000000001</v>
      </c>
      <c r="D103" s="718">
        <f>'1.xi den TT'!L8</f>
        <v>0</v>
      </c>
      <c r="E103" s="666"/>
      <c r="F103" s="666"/>
      <c r="G103" s="666"/>
      <c r="H103" s="666"/>
    </row>
    <row r="104" spans="1:8" ht="12.75" hidden="1" customHeight="1" thickBot="1">
      <c r="A104" s="716">
        <v>3</v>
      </c>
      <c r="B104" s="323" t="s">
        <v>573</v>
      </c>
      <c r="C104" s="717">
        <f>'1.xi den TT'!H9</f>
        <v>53.867000000000004</v>
      </c>
      <c r="D104" s="718">
        <f>'1.xi den TT'!L9</f>
        <v>0</v>
      </c>
      <c r="E104" s="666"/>
      <c r="F104" s="666"/>
      <c r="G104" s="666"/>
      <c r="H104" s="666"/>
    </row>
    <row r="105" spans="1:8" ht="12.75" hidden="1" customHeight="1" thickBot="1">
      <c r="A105" s="716">
        <v>4</v>
      </c>
      <c r="B105" s="323" t="s">
        <v>575</v>
      </c>
      <c r="C105" s="717">
        <f>'1.xi den TT'!H10</f>
        <v>0</v>
      </c>
      <c r="D105" s="718">
        <f>'1.xi den TT'!L10</f>
        <v>0</v>
      </c>
      <c r="E105" s="666"/>
      <c r="F105" s="666"/>
      <c r="G105" s="666"/>
      <c r="H105" s="666"/>
    </row>
    <row r="106" spans="1:8" ht="12.75" hidden="1" customHeight="1" thickBot="1">
      <c r="A106" s="716">
        <v>5</v>
      </c>
      <c r="B106" s="721" t="s">
        <v>577</v>
      </c>
      <c r="C106" s="717">
        <f>'1.xi den TT'!H11</f>
        <v>1.1399999999999999</v>
      </c>
      <c r="D106" s="718">
        <f>'1.xi den TT'!L11</f>
        <v>0</v>
      </c>
      <c r="E106" s="666"/>
      <c r="F106" s="666"/>
      <c r="G106" s="666"/>
      <c r="H106" s="666"/>
    </row>
    <row r="107" spans="1:8" ht="12.75" hidden="1" customHeight="1" thickBot="1">
      <c r="A107" s="716">
        <v>6</v>
      </c>
      <c r="B107" s="721" t="s">
        <v>579</v>
      </c>
      <c r="C107" s="717">
        <f>'1.xi den TT'!H12</f>
        <v>23.5</v>
      </c>
      <c r="D107" s="718">
        <f>'1.xi den TT'!L12</f>
        <v>0</v>
      </c>
      <c r="E107" s="666"/>
      <c r="F107" s="666"/>
      <c r="G107" s="666"/>
      <c r="H107" s="666"/>
    </row>
    <row r="108" spans="1:8" ht="12.75" hidden="1" customHeight="1" thickBot="1">
      <c r="A108" s="716">
        <v>7</v>
      </c>
      <c r="B108" s="721" t="s">
        <v>581</v>
      </c>
      <c r="C108" s="717">
        <f>'1.xi den TT'!H13</f>
        <v>8.3000000000000007</v>
      </c>
      <c r="D108" s="718">
        <f>'1.xi den TT'!L13</f>
        <v>0</v>
      </c>
      <c r="E108" s="666"/>
      <c r="F108" s="666"/>
      <c r="G108" s="666"/>
      <c r="H108" s="666"/>
    </row>
    <row r="109" spans="1:8" ht="12.75" hidden="1" customHeight="1" thickBot="1">
      <c r="A109" s="716">
        <v>8</v>
      </c>
      <c r="B109" s="323" t="s">
        <v>583</v>
      </c>
      <c r="C109" s="717">
        <f>'1.xi den TT'!H14</f>
        <v>7.3</v>
      </c>
      <c r="D109" s="718">
        <f>'1.xi den TT'!L14</f>
        <v>0</v>
      </c>
      <c r="E109" s="666"/>
      <c r="F109" s="666"/>
      <c r="G109" s="666"/>
      <c r="H109" s="666"/>
    </row>
    <row r="110" spans="1:8" ht="12.75" hidden="1" customHeight="1" thickBot="1">
      <c r="A110" s="716">
        <v>9</v>
      </c>
      <c r="B110" s="721" t="s">
        <v>773</v>
      </c>
      <c r="C110" s="717">
        <f>'1.xi den TT'!H15</f>
        <v>5.4</v>
      </c>
      <c r="D110" s="718">
        <f>'1.xi den TT'!L15</f>
        <v>0</v>
      </c>
      <c r="E110" s="666"/>
      <c r="F110" s="666"/>
      <c r="G110" s="666"/>
      <c r="H110" s="666"/>
    </row>
    <row r="111" spans="1:8" ht="12.75" hidden="1" customHeight="1" thickBot="1">
      <c r="A111" s="722">
        <v>10</v>
      </c>
      <c r="B111" s="723" t="s">
        <v>774</v>
      </c>
      <c r="C111" s="717">
        <f>'1.xi den TT'!H17</f>
        <v>15.457983884229568</v>
      </c>
      <c r="D111" s="718" t="str">
        <f>'1.xi den TT'!L17</f>
        <v>\</v>
      </c>
      <c r="E111" s="666"/>
      <c r="F111" s="666"/>
      <c r="G111" s="666"/>
      <c r="H111" s="666"/>
    </row>
    <row r="112" spans="1:8" ht="12.75" hidden="1" customHeight="1" thickBot="1">
      <c r="A112" s="722">
        <v>11</v>
      </c>
      <c r="B112" s="723" t="s">
        <v>775</v>
      </c>
      <c r="C112" s="717">
        <f>'1.xi den TT'!H18</f>
        <v>8.4863740253278852</v>
      </c>
      <c r="D112" s="718" t="str">
        <f>'1.xi den TT'!L18</f>
        <v>\</v>
      </c>
      <c r="E112" s="666"/>
      <c r="F112" s="666"/>
      <c r="G112" s="666"/>
      <c r="H112" s="666"/>
    </row>
    <row r="113" spans="1:8" ht="12.75" hidden="1" customHeight="1" thickBot="1">
      <c r="A113" s="722">
        <v>12</v>
      </c>
      <c r="B113" s="723" t="s">
        <v>379</v>
      </c>
      <c r="C113" s="717">
        <f>'1.xi den TT'!H21</f>
        <v>0.84937712344280936</v>
      </c>
      <c r="D113" s="718" t="str">
        <f>'1.xi den TT'!L21</f>
        <v>\</v>
      </c>
      <c r="E113" s="666"/>
      <c r="F113" s="666"/>
      <c r="G113" s="666"/>
      <c r="H113" s="666"/>
    </row>
    <row r="114" spans="1:8" ht="12.75" hidden="1" customHeight="1">
      <c r="A114" s="722">
        <v>13</v>
      </c>
      <c r="B114" s="723" t="s">
        <v>382</v>
      </c>
      <c r="C114" s="717">
        <f>'1.xi den TT'!H22</f>
        <v>0.50395968322534201</v>
      </c>
      <c r="D114" s="718" t="str">
        <f>'1.xi den TT'!L22</f>
        <v>\</v>
      </c>
      <c r="E114" s="666"/>
      <c r="F114" s="666"/>
      <c r="G114" s="666"/>
      <c r="H114" s="666"/>
    </row>
    <row r="115" spans="1:8" ht="12.75" hidden="1" customHeight="1">
      <c r="A115" s="321"/>
      <c r="B115" s="724" t="s">
        <v>109</v>
      </c>
      <c r="C115" s="725" t="s">
        <v>157</v>
      </c>
      <c r="D115" s="726"/>
      <c r="E115" s="666"/>
      <c r="F115" s="666"/>
      <c r="G115" s="666"/>
      <c r="H115" s="666"/>
    </row>
    <row r="116" spans="1:8" ht="12.75" hidden="1" customHeight="1">
      <c r="A116" s="466" t="s">
        <v>7</v>
      </c>
      <c r="B116" s="724" t="s">
        <v>61</v>
      </c>
      <c r="C116" s="727">
        <v>0.375</v>
      </c>
      <c r="D116" s="728">
        <v>0.54166666666666663</v>
      </c>
      <c r="E116" s="666"/>
      <c r="F116" s="666"/>
      <c r="G116" s="666"/>
      <c r="H116" s="666"/>
    </row>
    <row r="117" spans="1:8" ht="12.75" hidden="1" customHeight="1">
      <c r="A117" s="466">
        <v>1</v>
      </c>
      <c r="B117" s="137" t="s">
        <v>474</v>
      </c>
      <c r="C117" s="719">
        <f>'1.xi den TT'!H25</f>
        <v>58</v>
      </c>
      <c r="D117" s="720">
        <f>'1.xi den TT'!L25</f>
        <v>0</v>
      </c>
      <c r="E117" s="666"/>
      <c r="F117" s="666"/>
      <c r="G117" s="666"/>
      <c r="H117" s="666"/>
    </row>
    <row r="118" spans="1:8" ht="12.75" hidden="1" customHeight="1">
      <c r="A118" s="466">
        <v>2</v>
      </c>
      <c r="B118" s="137" t="s">
        <v>478</v>
      </c>
      <c r="C118" s="719">
        <f>'1.xi den TT'!H26</f>
        <v>58</v>
      </c>
      <c r="D118" s="720">
        <f>'1.xi den TT'!L26</f>
        <v>0</v>
      </c>
      <c r="E118" s="666"/>
      <c r="F118" s="666"/>
      <c r="G118" s="666"/>
      <c r="H118" s="666"/>
    </row>
    <row r="119" spans="1:8" ht="12.75" hidden="1" customHeight="1">
      <c r="A119" s="466">
        <v>3</v>
      </c>
      <c r="B119" s="137" t="s">
        <v>480</v>
      </c>
      <c r="C119" s="719">
        <f>'1.xi den TT'!H27</f>
        <v>58</v>
      </c>
      <c r="D119" s="720">
        <f>'1.xi den TT'!L27</f>
        <v>0</v>
      </c>
      <c r="E119" s="666"/>
      <c r="F119" s="666"/>
      <c r="G119" s="666"/>
      <c r="H119" s="666"/>
    </row>
    <row r="120" spans="1:8" ht="12.75" hidden="1" customHeight="1">
      <c r="A120" s="466">
        <v>4</v>
      </c>
      <c r="B120" s="137" t="s">
        <v>511</v>
      </c>
      <c r="C120" s="719">
        <f>'1.xi den TT'!H28</f>
        <v>43</v>
      </c>
      <c r="D120" s="720">
        <f>'1.xi den TT'!L28</f>
        <v>0</v>
      </c>
      <c r="E120" s="666"/>
      <c r="F120" s="666"/>
      <c r="G120" s="666"/>
      <c r="H120" s="666"/>
    </row>
    <row r="121" spans="1:8" ht="12.75" hidden="1" customHeight="1">
      <c r="A121" s="466">
        <v>5</v>
      </c>
      <c r="B121" s="137" t="s">
        <v>776</v>
      </c>
      <c r="C121" s="719">
        <f>'1.xi den TT'!H29</f>
        <v>33</v>
      </c>
      <c r="D121" s="720">
        <f>'1.xi den TT'!L29</f>
        <v>0</v>
      </c>
      <c r="E121" s="666"/>
      <c r="F121" s="666"/>
      <c r="G121" s="666"/>
      <c r="H121" s="666"/>
    </row>
    <row r="122" spans="1:8" ht="12.75" hidden="1" customHeight="1">
      <c r="A122" s="466">
        <v>6</v>
      </c>
      <c r="B122" s="137" t="s">
        <v>519</v>
      </c>
      <c r="C122" s="719">
        <f>'1.xi den TT'!I31</f>
        <v>181</v>
      </c>
      <c r="D122" s="720">
        <f>'1.xi den TT'!M31</f>
        <v>0</v>
      </c>
      <c r="E122" s="666"/>
      <c r="F122" s="666"/>
      <c r="G122" s="666"/>
      <c r="H122" s="666"/>
    </row>
    <row r="123" spans="1:8" ht="12.75" hidden="1" customHeight="1">
      <c r="A123" s="466">
        <v>1</v>
      </c>
      <c r="B123" s="729" t="s">
        <v>777</v>
      </c>
      <c r="C123" s="727">
        <v>0.375</v>
      </c>
      <c r="D123" s="728">
        <v>0.54166666666666663</v>
      </c>
      <c r="E123" s="666"/>
      <c r="F123" s="666"/>
      <c r="G123" s="666"/>
      <c r="H123" s="666"/>
    </row>
    <row r="124" spans="1:8" ht="12.75" hidden="1" customHeight="1">
      <c r="A124" s="466">
        <v>2</v>
      </c>
      <c r="B124" s="730" t="s">
        <v>521</v>
      </c>
      <c r="C124" s="719">
        <f>'1.xi den TT'!H33</f>
        <v>0</v>
      </c>
      <c r="D124" s="720">
        <f>'1.xi den TT'!L33</f>
        <v>0</v>
      </c>
      <c r="E124" s="666"/>
      <c r="F124" s="666"/>
      <c r="G124" s="666"/>
      <c r="H124" s="666"/>
    </row>
    <row r="125" spans="1:8" ht="12.75" hidden="1" customHeight="1">
      <c r="A125" s="731"/>
      <c r="B125" s="732" t="s">
        <v>524</v>
      </c>
      <c r="C125" s="719">
        <f>'1.xi den TT'!H34</f>
        <v>0</v>
      </c>
      <c r="D125" s="720">
        <f>'1.xi den TT'!L34</f>
        <v>0</v>
      </c>
      <c r="E125" s="666"/>
      <c r="F125" s="666"/>
      <c r="G125" s="666"/>
      <c r="H125" s="666"/>
    </row>
    <row r="126" spans="1:8" ht="12.75" hidden="1" customHeight="1">
      <c r="A126" s="733"/>
      <c r="B126" s="734"/>
      <c r="C126" s="735" t="s">
        <v>156</v>
      </c>
      <c r="D126" s="726"/>
      <c r="E126" s="666"/>
      <c r="F126" s="666"/>
      <c r="G126" s="666"/>
      <c r="H126" s="666"/>
    </row>
    <row r="127" spans="1:8" ht="12.75" hidden="1" customHeight="1">
      <c r="A127" s="736"/>
      <c r="B127" s="737"/>
      <c r="C127" s="727">
        <v>0.375</v>
      </c>
      <c r="D127" s="728">
        <v>0.54166666666666663</v>
      </c>
      <c r="E127" s="666"/>
      <c r="F127" s="666"/>
      <c r="G127" s="666"/>
      <c r="H127" s="666"/>
    </row>
    <row r="128" spans="1:8" ht="12.75" hidden="1" customHeight="1">
      <c r="A128" s="716">
        <v>1</v>
      </c>
      <c r="B128" s="323" t="s">
        <v>571</v>
      </c>
      <c r="C128" s="738">
        <f>'1.xi den TT'!J7</f>
        <v>0</v>
      </c>
      <c r="D128" s="739">
        <f>'1.xi den TT'!N7</f>
        <v>0</v>
      </c>
      <c r="E128" s="666"/>
      <c r="F128" s="666"/>
      <c r="G128" s="666"/>
      <c r="H128" s="666"/>
    </row>
    <row r="129" spans="1:8" ht="12.75" hidden="1" customHeight="1">
      <c r="A129" s="716">
        <v>2</v>
      </c>
      <c r="B129" s="323" t="s">
        <v>572</v>
      </c>
      <c r="C129" s="738">
        <f>'1.xi den TT'!J8</f>
        <v>28.287662399999995</v>
      </c>
      <c r="D129" s="739">
        <f>'1.xi den TT'!N8</f>
        <v>0</v>
      </c>
      <c r="E129" s="666"/>
      <c r="F129" s="666"/>
      <c r="G129" s="666"/>
      <c r="H129" s="666"/>
    </row>
    <row r="130" spans="1:8" ht="12.75" hidden="1" customHeight="1">
      <c r="A130" s="716">
        <v>3</v>
      </c>
      <c r="B130" s="323" t="s">
        <v>573</v>
      </c>
      <c r="C130" s="738">
        <f>'1.xi den TT'!J9</f>
        <v>0</v>
      </c>
      <c r="D130" s="739">
        <f>'1.xi den TT'!N9</f>
        <v>0</v>
      </c>
      <c r="E130" s="666"/>
      <c r="F130" s="666"/>
      <c r="G130" s="666"/>
      <c r="H130" s="666"/>
    </row>
    <row r="131" spans="1:8" ht="12.75" hidden="1" customHeight="1">
      <c r="A131" s="716">
        <v>4</v>
      </c>
      <c r="B131" s="323" t="s">
        <v>575</v>
      </c>
      <c r="C131" s="738">
        <f>'1.xi den TT'!J10</f>
        <v>124.63199999999999</v>
      </c>
      <c r="D131" s="739">
        <f>'1.xi den TT'!N10</f>
        <v>124.63199999999999</v>
      </c>
      <c r="E131" s="666"/>
      <c r="F131" s="666"/>
      <c r="G131" s="666"/>
      <c r="H131" s="666"/>
    </row>
    <row r="132" spans="1:8" ht="12.75" hidden="1" customHeight="1">
      <c r="A132" s="716">
        <v>5</v>
      </c>
      <c r="B132" s="721" t="s">
        <v>577</v>
      </c>
      <c r="C132" s="738">
        <f>'1.xi den TT'!J11</f>
        <v>0</v>
      </c>
      <c r="D132" s="739">
        <f>'1.xi den TT'!N11</f>
        <v>0</v>
      </c>
      <c r="E132" s="666"/>
      <c r="F132" s="666"/>
      <c r="G132" s="666"/>
      <c r="H132" s="666"/>
    </row>
    <row r="133" spans="1:8" ht="12.75" hidden="1" customHeight="1">
      <c r="A133" s="716">
        <v>6</v>
      </c>
      <c r="B133" s="721" t="s">
        <v>579</v>
      </c>
      <c r="C133" s="738">
        <f>'1.xi den TT'!J12</f>
        <v>0</v>
      </c>
      <c r="D133" s="739">
        <f>'1.xi den TT'!N12</f>
        <v>0</v>
      </c>
      <c r="E133" s="666"/>
      <c r="F133" s="666"/>
      <c r="G133" s="666"/>
      <c r="H133" s="666"/>
    </row>
    <row r="134" spans="1:8" ht="12.75" hidden="1" customHeight="1">
      <c r="A134" s="716">
        <v>7</v>
      </c>
      <c r="B134" s="721" t="s">
        <v>581</v>
      </c>
      <c r="C134" s="738">
        <f>'1.xi den TT'!J13</f>
        <v>0</v>
      </c>
      <c r="D134" s="739">
        <f>'1.xi den TT'!N13</f>
        <v>0</v>
      </c>
      <c r="E134" s="666"/>
      <c r="F134" s="666"/>
      <c r="G134" s="666"/>
      <c r="H134" s="666"/>
    </row>
    <row r="135" spans="1:8" ht="12.75" hidden="1" customHeight="1">
      <c r="A135" s="716">
        <v>8</v>
      </c>
      <c r="B135" s="323" t="s">
        <v>583</v>
      </c>
      <c r="C135" s="738">
        <f>'1.xi den TT'!J14</f>
        <v>0</v>
      </c>
      <c r="D135" s="739">
        <f>'1.xi den TT'!N14</f>
        <v>0</v>
      </c>
      <c r="E135" s="666"/>
      <c r="F135" s="666"/>
      <c r="G135" s="666"/>
      <c r="H135" s="666"/>
    </row>
    <row r="136" spans="1:8" ht="12.75" hidden="1" customHeight="1">
      <c r="A136" s="716">
        <v>9</v>
      </c>
      <c r="B136" s="721" t="s">
        <v>773</v>
      </c>
      <c r="C136" s="738">
        <f>'1.xi den TT'!J15</f>
        <v>0</v>
      </c>
      <c r="D136" s="739">
        <f>'1.xi den TT'!N15</f>
        <v>0</v>
      </c>
      <c r="E136" s="666"/>
      <c r="F136" s="666"/>
      <c r="G136" s="666"/>
      <c r="H136" s="666"/>
    </row>
    <row r="137" spans="1:8" ht="12.75" hidden="1" customHeight="1">
      <c r="A137" s="722">
        <v>10</v>
      </c>
      <c r="B137" s="723" t="s">
        <v>774</v>
      </c>
      <c r="C137" s="738">
        <f>'1.xi den TT'!J17</f>
        <v>0</v>
      </c>
      <c r="D137" s="739">
        <f>'1.xi den TT'!N17</f>
        <v>0</v>
      </c>
      <c r="E137" s="666"/>
      <c r="F137" s="666"/>
      <c r="G137" s="666"/>
      <c r="H137" s="666"/>
    </row>
    <row r="138" spans="1:8" ht="12.75" hidden="1" customHeight="1">
      <c r="A138" s="722">
        <v>11</v>
      </c>
      <c r="B138" s="723" t="s">
        <v>775</v>
      </c>
      <c r="C138" s="738">
        <f>'1.xi den TT'!J18</f>
        <v>80.637716118725038</v>
      </c>
      <c r="D138" s="739">
        <f>'1.xi den TT'!N18</f>
        <v>0</v>
      </c>
      <c r="E138" s="666"/>
      <c r="F138" s="666"/>
      <c r="G138" s="666"/>
      <c r="H138" s="666"/>
    </row>
    <row r="139" spans="1:8" ht="12.75" hidden="1" customHeight="1">
      <c r="A139" s="722">
        <v>12</v>
      </c>
      <c r="B139" s="723" t="s">
        <v>379</v>
      </c>
      <c r="C139" s="738"/>
      <c r="D139" s="739"/>
      <c r="E139" s="666"/>
      <c r="F139" s="666"/>
      <c r="G139" s="666"/>
      <c r="H139" s="666"/>
    </row>
    <row r="140" spans="1:8" ht="12.75" hidden="1" customHeight="1">
      <c r="A140" s="722">
        <v>13</v>
      </c>
      <c r="B140" s="723" t="s">
        <v>382</v>
      </c>
      <c r="C140" s="738"/>
      <c r="D140" s="739"/>
      <c r="E140" s="666"/>
      <c r="F140" s="666"/>
      <c r="G140" s="666"/>
      <c r="H140" s="666"/>
    </row>
    <row r="141" spans="1:8" ht="12.75" customHeight="1" thickBot="1">
      <c r="A141" s="673"/>
      <c r="B141" s="392"/>
      <c r="C141" s="740"/>
      <c r="D141" s="741"/>
      <c r="E141" s="666"/>
      <c r="F141" s="666"/>
      <c r="G141" s="666"/>
      <c r="H141" s="666"/>
    </row>
    <row r="142" spans="1:8" ht="12.75" customHeight="1">
      <c r="A142" s="673"/>
      <c r="B142" s="392"/>
      <c r="E142" s="666"/>
      <c r="F142" s="666"/>
      <c r="G142" s="666"/>
      <c r="H142" s="666"/>
    </row>
    <row r="144" spans="1:8" ht="12.75" customHeight="1">
      <c r="A144" s="3776" t="s">
        <v>778</v>
      </c>
      <c r="B144" s="3777"/>
      <c r="E144" s="666"/>
      <c r="F144" s="666"/>
      <c r="G144" s="666"/>
      <c r="H144" s="666"/>
    </row>
    <row r="145" spans="1:8" ht="12.75" customHeight="1">
      <c r="A145" s="3778" t="s">
        <v>7</v>
      </c>
      <c r="B145" s="3780" t="s">
        <v>76</v>
      </c>
      <c r="C145" s="672" t="s">
        <v>155</v>
      </c>
      <c r="D145" s="672" t="s">
        <v>155</v>
      </c>
      <c r="E145" s="666"/>
      <c r="F145" s="666"/>
      <c r="G145" s="666"/>
      <c r="H145" s="666"/>
    </row>
    <row r="146" spans="1:8" ht="12.75" customHeight="1" thickBot="1">
      <c r="A146" s="3779"/>
      <c r="B146" s="3781"/>
      <c r="C146" s="675">
        <v>0.33333333333333331</v>
      </c>
      <c r="D146" s="675">
        <v>0.83333333333333337</v>
      </c>
      <c r="E146" s="666"/>
      <c r="F146" s="666"/>
      <c r="G146" s="666"/>
      <c r="H146" s="666"/>
    </row>
    <row r="147" spans="1:8" ht="12.75" customHeight="1">
      <c r="A147" s="742">
        <v>1</v>
      </c>
      <c r="B147" s="743" t="s">
        <v>528</v>
      </c>
      <c r="C147" s="717">
        <f>'R.GUI MAIL'!H89</f>
        <v>24.016000000000002</v>
      </c>
      <c r="D147" s="718">
        <f>'R.GUI MAIL'!N89</f>
        <v>23.700000000000003</v>
      </c>
      <c r="E147" s="666"/>
      <c r="F147" s="666"/>
      <c r="G147" s="666"/>
      <c r="H147" s="666"/>
    </row>
    <row r="148" spans="1:8" ht="12.75" hidden="1" customHeight="1" thickBot="1">
      <c r="A148" s="742">
        <v>2</v>
      </c>
      <c r="B148" s="743" t="s">
        <v>532</v>
      </c>
      <c r="C148" s="717">
        <f>'R.GUI MAIL'!H90</f>
        <v>25.596000000000004</v>
      </c>
      <c r="D148" s="720">
        <f>'R.GUI MAIL'!N90</f>
        <v>26.544</v>
      </c>
      <c r="E148" s="666"/>
      <c r="F148" s="666"/>
      <c r="G148" s="666"/>
      <c r="H148" s="666"/>
    </row>
    <row r="149" spans="1:8" ht="12.75" hidden="1" customHeight="1" thickBot="1">
      <c r="A149" s="742">
        <v>3</v>
      </c>
      <c r="B149" s="743" t="s">
        <v>534</v>
      </c>
      <c r="C149" s="717">
        <f>'R.GUI MAIL'!H91</f>
        <v>234.72000000000003</v>
      </c>
      <c r="D149" s="720">
        <f>'R.GUI MAIL'!N91</f>
        <v>228.20000000000002</v>
      </c>
      <c r="E149" s="666"/>
      <c r="F149" s="666"/>
      <c r="G149" s="666"/>
      <c r="H149" s="666"/>
    </row>
    <row r="150" spans="1:8" ht="12.75" hidden="1" customHeight="1" thickBot="1">
      <c r="A150" s="742">
        <v>4</v>
      </c>
      <c r="B150" s="324" t="s">
        <v>415</v>
      </c>
      <c r="C150" s="717">
        <f>'R.GUI MAIL'!H92</f>
        <v>125</v>
      </c>
      <c r="D150" s="720">
        <f>'R.GUI MAIL'!N92</f>
        <v>123.75</v>
      </c>
      <c r="E150" s="666"/>
      <c r="F150" s="666"/>
      <c r="G150" s="666"/>
      <c r="H150" s="666"/>
    </row>
    <row r="151" spans="1:8" ht="12.75" hidden="1" customHeight="1" thickBot="1">
      <c r="A151" s="742">
        <v>5</v>
      </c>
      <c r="B151" s="324" t="s">
        <v>416</v>
      </c>
      <c r="C151" s="717">
        <f>'R.GUI MAIL'!H93</f>
        <v>1.1250000000000004</v>
      </c>
      <c r="D151" s="720">
        <f>'R.GUI MAIL'!N93</f>
        <v>1.3749999999999996</v>
      </c>
      <c r="E151" s="666"/>
      <c r="F151" s="666"/>
      <c r="G151" s="666"/>
      <c r="H151" s="666"/>
    </row>
    <row r="152" spans="1:8" ht="12.75" hidden="1" customHeight="1" thickBot="1">
      <c r="A152" s="742">
        <v>6</v>
      </c>
      <c r="B152" s="329" t="s">
        <v>417</v>
      </c>
      <c r="C152" s="717">
        <f>'R.GUI MAIL'!H94</f>
        <v>126.25</v>
      </c>
      <c r="D152" s="720">
        <f>'R.GUI MAIL'!N94</f>
        <v>125</v>
      </c>
      <c r="E152" s="666"/>
      <c r="F152" s="666"/>
      <c r="G152" s="666"/>
      <c r="H152" s="666"/>
    </row>
    <row r="153" spans="1:8" ht="12.75" hidden="1" customHeight="1" thickBot="1">
      <c r="A153" s="742">
        <v>7</v>
      </c>
      <c r="B153" s="329" t="s">
        <v>418</v>
      </c>
      <c r="C153" s="717">
        <f>'R.GUI MAIL'!H95</f>
        <v>1.25</v>
      </c>
      <c r="D153" s="720">
        <f>'R.GUI MAIL'!N95</f>
        <v>1.3749999999999996</v>
      </c>
      <c r="E153" s="666"/>
      <c r="F153" s="666"/>
      <c r="G153" s="666"/>
      <c r="H153" s="666"/>
    </row>
    <row r="154" spans="1:8" ht="12.75" hidden="1" customHeight="1" thickBot="1">
      <c r="A154" s="742">
        <v>8</v>
      </c>
      <c r="B154" s="329" t="s">
        <v>419</v>
      </c>
      <c r="C154" s="717">
        <f>'R.GUI MAIL'!H96</f>
        <v>123.75</v>
      </c>
      <c r="D154" s="720">
        <f>'R.GUI MAIL'!N96</f>
        <v>123.75</v>
      </c>
      <c r="E154" s="666"/>
      <c r="F154" s="666"/>
      <c r="G154" s="666"/>
      <c r="H154" s="666"/>
    </row>
    <row r="155" spans="1:8" ht="12.75" hidden="1" customHeight="1" thickBot="1">
      <c r="A155" s="742">
        <v>9</v>
      </c>
      <c r="B155" s="329" t="s">
        <v>420</v>
      </c>
      <c r="C155" s="717">
        <f>'R.GUI MAIL'!H97</f>
        <v>0.74999999999999956</v>
      </c>
      <c r="D155" s="720">
        <f>'R.GUI MAIL'!N97</f>
        <v>1.3749999999999996</v>
      </c>
      <c r="E155" s="666"/>
      <c r="F155" s="666"/>
      <c r="G155" s="666"/>
      <c r="H155" s="666"/>
    </row>
    <row r="156" spans="1:8" ht="12.75" hidden="1" customHeight="1" thickBot="1">
      <c r="A156" s="3769">
        <v>10</v>
      </c>
      <c r="B156" s="3384" t="s">
        <v>779</v>
      </c>
      <c r="C156" s="717">
        <f>'R.GUI MAIL'!H98</f>
        <v>11.232000000000001</v>
      </c>
      <c r="D156" s="720">
        <f>'R.GUI MAIL'!N98</f>
        <v>11.023999999999999</v>
      </c>
      <c r="E156" s="666"/>
      <c r="F156" s="666"/>
      <c r="G156" s="666"/>
      <c r="H156" s="666"/>
    </row>
    <row r="157" spans="1:8" ht="12.75" hidden="1" customHeight="1" thickBot="1">
      <c r="A157" s="3770"/>
      <c r="B157" s="3771"/>
      <c r="C157" s="717">
        <f>'R.GUI MAIL'!H99</f>
        <v>6.6</v>
      </c>
      <c r="D157" s="720">
        <f>'R.GUI MAIL'!N99</f>
        <v>6.6</v>
      </c>
      <c r="E157" s="666"/>
      <c r="F157" s="666"/>
      <c r="G157" s="666"/>
      <c r="H157" s="666"/>
    </row>
    <row r="158" spans="1:8" ht="12.75" hidden="1" customHeight="1" thickBot="1">
      <c r="A158" s="742">
        <v>12</v>
      </c>
      <c r="B158" s="744" t="s">
        <v>550</v>
      </c>
      <c r="C158" s="717">
        <f>'R.GUI MAIL'!H100</f>
        <v>0</v>
      </c>
      <c r="D158" s="720">
        <f>'R.GUI MAIL'!N100</f>
        <v>0</v>
      </c>
      <c r="E158" s="666"/>
      <c r="F158" s="666"/>
      <c r="G158" s="666"/>
      <c r="H158" s="666"/>
    </row>
    <row r="159" spans="1:8" ht="12.75" hidden="1" customHeight="1" thickBot="1">
      <c r="A159" s="742">
        <v>13</v>
      </c>
      <c r="B159" s="745" t="s">
        <v>552</v>
      </c>
      <c r="C159" s="717">
        <f>'R.GUI MAIL'!H101</f>
        <v>0</v>
      </c>
      <c r="D159" s="720">
        <f>'R.GUI MAIL'!N101</f>
        <v>0</v>
      </c>
      <c r="E159" s="666"/>
      <c r="F159" s="666"/>
      <c r="G159" s="666"/>
      <c r="H159" s="666"/>
    </row>
    <row r="160" spans="1:8" ht="12.75" hidden="1" customHeight="1">
      <c r="A160" s="742">
        <v>14</v>
      </c>
      <c r="B160" s="746" t="s">
        <v>554</v>
      </c>
      <c r="C160" s="717">
        <f>'R.GUI MAIL'!H102</f>
        <v>5.8</v>
      </c>
      <c r="D160" s="720">
        <f>'R.GUI MAIL'!N102</f>
        <v>5.7</v>
      </c>
      <c r="E160" s="666"/>
      <c r="F160" s="666"/>
      <c r="G160" s="666"/>
      <c r="H160" s="666"/>
    </row>
    <row r="161" spans="1:8" ht="12.75" hidden="1" customHeight="1">
      <c r="A161" s="742"/>
      <c r="B161" s="747" t="s">
        <v>73</v>
      </c>
      <c r="C161" s="725" t="s">
        <v>157</v>
      </c>
      <c r="D161" s="748" t="s">
        <v>157</v>
      </c>
      <c r="E161" s="666"/>
      <c r="F161" s="666"/>
      <c r="G161" s="666"/>
      <c r="H161" s="666"/>
    </row>
    <row r="162" spans="1:8" ht="12.75" hidden="1" customHeight="1">
      <c r="A162" s="742" t="s">
        <v>7</v>
      </c>
      <c r="B162" s="749" t="s">
        <v>61</v>
      </c>
      <c r="C162" s="727">
        <v>0.33333333333333331</v>
      </c>
      <c r="D162" s="728">
        <v>0.375</v>
      </c>
      <c r="E162" s="666"/>
      <c r="F162" s="666"/>
      <c r="G162" s="666"/>
      <c r="H162" s="666"/>
    </row>
    <row r="163" spans="1:8" ht="12.75" hidden="1" customHeight="1">
      <c r="A163" s="742">
        <v>1</v>
      </c>
      <c r="B163" s="743" t="s">
        <v>528</v>
      </c>
      <c r="C163" s="719">
        <f>'R.GUI MAIL'!H105</f>
        <v>61</v>
      </c>
      <c r="D163" s="720">
        <f>'R.GUI MAIL'!N105</f>
        <v>60</v>
      </c>
      <c r="E163" s="666"/>
      <c r="F163" s="666"/>
      <c r="G163" s="666"/>
      <c r="H163" s="666"/>
    </row>
    <row r="164" spans="1:8" ht="12.75" hidden="1" customHeight="1">
      <c r="A164" s="742">
        <v>2</v>
      </c>
      <c r="B164" s="743" t="s">
        <v>532</v>
      </c>
      <c r="C164" s="719">
        <f>'R.GUI MAIL'!H106</f>
        <v>55</v>
      </c>
      <c r="D164" s="720">
        <f>'R.GUI MAIL'!N106</f>
        <v>54</v>
      </c>
      <c r="E164" s="666"/>
      <c r="F164" s="666"/>
      <c r="G164" s="666"/>
      <c r="H164" s="666"/>
    </row>
    <row r="165" spans="1:8" ht="12.75" hidden="1" customHeight="1">
      <c r="A165" s="742">
        <v>3</v>
      </c>
      <c r="B165" s="324" t="s">
        <v>780</v>
      </c>
      <c r="C165" s="719">
        <f>'R.GUI MAIL'!H107</f>
        <v>23</v>
      </c>
      <c r="D165" s="720">
        <f>'R.GUI MAIL'!N107</f>
        <v>25</v>
      </c>
      <c r="E165" s="666"/>
      <c r="F165" s="666"/>
      <c r="G165" s="666"/>
      <c r="H165" s="666"/>
    </row>
    <row r="166" spans="1:8" ht="12.75" hidden="1" customHeight="1">
      <c r="A166" s="742">
        <v>4</v>
      </c>
      <c r="B166" s="324" t="s">
        <v>781</v>
      </c>
      <c r="C166" s="719">
        <f>'R.GUI MAIL'!H108</f>
        <v>23</v>
      </c>
      <c r="D166" s="720">
        <f>'R.GUI MAIL'!N108</f>
        <v>23</v>
      </c>
      <c r="E166" s="666"/>
      <c r="F166" s="666"/>
      <c r="G166" s="666"/>
      <c r="H166" s="666"/>
    </row>
    <row r="167" spans="1:8" ht="12.75" hidden="1" customHeight="1">
      <c r="A167" s="742">
        <v>5</v>
      </c>
      <c r="B167" s="324" t="s">
        <v>782</v>
      </c>
      <c r="C167" s="719">
        <f>'R.GUI MAIL'!H109</f>
        <v>22</v>
      </c>
      <c r="D167" s="720">
        <f>'R.GUI MAIL'!N109</f>
        <v>22</v>
      </c>
      <c r="E167" s="666"/>
      <c r="F167" s="666"/>
      <c r="G167" s="666"/>
      <c r="H167" s="666"/>
    </row>
    <row r="168" spans="1:8" ht="12.75" hidden="1" customHeight="1">
      <c r="A168" s="742">
        <v>6</v>
      </c>
      <c r="B168" s="324" t="s">
        <v>779</v>
      </c>
      <c r="C168" s="719">
        <f>'R.GUI MAIL'!H110</f>
        <v>30</v>
      </c>
      <c r="D168" s="720">
        <f>'R.GUI MAIL'!N110</f>
        <v>31</v>
      </c>
      <c r="E168" s="666"/>
      <c r="F168" s="666"/>
      <c r="G168" s="666"/>
      <c r="H168" s="666"/>
    </row>
    <row r="169" spans="1:8" ht="12.75" hidden="1" customHeight="1">
      <c r="A169" s="742">
        <v>8</v>
      </c>
      <c r="B169" s="744" t="s">
        <v>550</v>
      </c>
      <c r="C169" s="719">
        <f>'R.GUI MAIL'!H111</f>
        <v>0</v>
      </c>
      <c r="D169" s="720">
        <f>'R.GUI MAIL'!N111</f>
        <v>0</v>
      </c>
      <c r="E169" s="666"/>
      <c r="F169" s="666"/>
      <c r="G169" s="666"/>
      <c r="H169" s="666"/>
    </row>
    <row r="170" spans="1:8" ht="12.75" hidden="1" customHeight="1">
      <c r="A170" s="742">
        <v>9</v>
      </c>
      <c r="B170" s="745" t="s">
        <v>552</v>
      </c>
      <c r="C170" s="719">
        <f>'R.GUI MAIL'!H112</f>
        <v>0</v>
      </c>
      <c r="D170" s="720">
        <f>'R.GUI MAIL'!N112</f>
        <v>0</v>
      </c>
      <c r="E170" s="666"/>
      <c r="F170" s="666"/>
      <c r="G170" s="666"/>
      <c r="H170" s="666"/>
    </row>
    <row r="171" spans="1:8" ht="12.75" hidden="1" customHeight="1">
      <c r="A171" s="742">
        <v>10</v>
      </c>
      <c r="B171" s="746" t="s">
        <v>554</v>
      </c>
      <c r="C171" s="719">
        <f>'R.GUI MAIL'!H113</f>
        <v>62</v>
      </c>
      <c r="D171" s="720">
        <f>'R.GUI MAIL'!N113</f>
        <v>64</v>
      </c>
      <c r="E171" s="666"/>
      <c r="F171" s="666"/>
      <c r="G171" s="666"/>
      <c r="H171" s="666"/>
    </row>
    <row r="172" spans="1:8" ht="12.75" hidden="1" customHeight="1">
      <c r="A172" s="742">
        <v>11</v>
      </c>
      <c r="B172" s="743" t="s">
        <v>783</v>
      </c>
      <c r="C172" s="719" t="e">
        <f>'R.GUI MAIL'!#REF!</f>
        <v>#REF!</v>
      </c>
      <c r="D172" s="720" t="e">
        <f>'R.GUI MAIL'!#REF!</f>
        <v>#REF!</v>
      </c>
      <c r="E172" s="666"/>
      <c r="F172" s="666"/>
      <c r="G172" s="666"/>
      <c r="H172" s="666"/>
    </row>
    <row r="173" spans="1:8" ht="12.75" hidden="1" customHeight="1">
      <c r="A173" s="742">
        <v>12</v>
      </c>
      <c r="B173" s="324" t="s">
        <v>566</v>
      </c>
      <c r="C173" s="796">
        <f>'5.ML tt'!G33</f>
        <v>109</v>
      </c>
      <c r="D173" s="797">
        <f>'5.ML tt'!K33</f>
        <v>109</v>
      </c>
      <c r="E173" s="666"/>
      <c r="F173" s="666"/>
      <c r="G173" s="666"/>
      <c r="H173" s="666"/>
    </row>
    <row r="174" spans="1:8" ht="12.75" hidden="1" customHeight="1">
      <c r="A174" s="733"/>
      <c r="B174" s="734"/>
      <c r="C174" s="735" t="s">
        <v>156</v>
      </c>
      <c r="D174" s="726"/>
      <c r="E174" s="666"/>
      <c r="F174" s="666"/>
      <c r="G174" s="666"/>
      <c r="H174" s="666"/>
    </row>
    <row r="175" spans="1:8" ht="12.75" hidden="1" customHeight="1">
      <c r="A175" s="733"/>
      <c r="B175" s="734"/>
      <c r="C175" s="727">
        <v>0.33333333333333331</v>
      </c>
      <c r="D175" s="728"/>
      <c r="E175" s="666"/>
      <c r="F175" s="666"/>
      <c r="G175" s="666"/>
      <c r="H175" s="666"/>
    </row>
    <row r="176" spans="1:8" ht="12.75" hidden="1" customHeight="1">
      <c r="A176" s="742">
        <v>1</v>
      </c>
      <c r="B176" s="743" t="s">
        <v>528</v>
      </c>
      <c r="C176" s="738">
        <f>'R.GUI MAIL'!K89</f>
        <v>1.6058879999999971</v>
      </c>
      <c r="D176" s="739">
        <f>'R.FILE GOC'!Q89</f>
        <v>0</v>
      </c>
      <c r="E176" s="666"/>
      <c r="F176" s="666"/>
      <c r="G176" s="666"/>
      <c r="H176" s="666"/>
    </row>
    <row r="177" spans="1:8" ht="12.75" hidden="1" customHeight="1">
      <c r="A177" s="742">
        <v>2</v>
      </c>
      <c r="B177" s="743" t="s">
        <v>532</v>
      </c>
      <c r="C177" s="738">
        <f>'R.GUI MAIL'!K90</f>
        <v>0</v>
      </c>
      <c r="D177" s="739">
        <f>'R.FILE GOC'!Q90</f>
        <v>0</v>
      </c>
      <c r="E177" s="666"/>
      <c r="F177" s="666"/>
      <c r="G177" s="666"/>
      <c r="H177" s="666"/>
    </row>
    <row r="178" spans="1:8" ht="12.75" hidden="1" customHeight="1">
      <c r="A178" s="742">
        <v>3</v>
      </c>
      <c r="B178" s="743" t="s">
        <v>534</v>
      </c>
      <c r="C178" s="738">
        <f>'R.GUI MAIL'!K91</f>
        <v>24.936959999999956</v>
      </c>
      <c r="D178" s="739">
        <f>'R.FILE GOC'!Q91</f>
        <v>0</v>
      </c>
      <c r="E178" s="666"/>
      <c r="F178" s="666"/>
      <c r="G178" s="666"/>
      <c r="H178" s="666"/>
    </row>
    <row r="179" spans="1:8" ht="12.75" hidden="1" customHeight="1">
      <c r="A179" s="742">
        <v>4</v>
      </c>
      <c r="B179" s="324" t="s">
        <v>415</v>
      </c>
      <c r="C179" s="738">
        <f>'R.GUI MAIL'!K92</f>
        <v>8.64</v>
      </c>
      <c r="D179" s="739">
        <f>'R.FILE GOC'!Q92</f>
        <v>4.6656000000000049</v>
      </c>
      <c r="E179" s="666"/>
      <c r="F179" s="666"/>
      <c r="G179" s="666"/>
      <c r="H179" s="666"/>
    </row>
    <row r="180" spans="1:8" ht="12.75" hidden="1" customHeight="1">
      <c r="A180" s="742">
        <v>5</v>
      </c>
      <c r="B180" s="324" t="s">
        <v>416</v>
      </c>
      <c r="C180" s="738">
        <f>'R.GUI MAIL'!K93</f>
        <v>0</v>
      </c>
      <c r="D180" s="739" t="str">
        <f>'R.FILE GOC'!Q93</f>
        <v>N/A</v>
      </c>
      <c r="E180" s="666"/>
      <c r="F180" s="666"/>
      <c r="G180" s="666"/>
      <c r="H180" s="666"/>
    </row>
    <row r="181" spans="1:8" ht="12.75" hidden="1" customHeight="1">
      <c r="A181" s="742">
        <v>6</v>
      </c>
      <c r="B181" s="329" t="s">
        <v>417</v>
      </c>
      <c r="C181" s="738">
        <f>'R.GUI MAIL'!K94</f>
        <v>6.48</v>
      </c>
      <c r="D181" s="739">
        <f>'R.FILE GOC'!Q94</f>
        <v>3.1104000000000198</v>
      </c>
      <c r="E181" s="666"/>
      <c r="F181" s="666"/>
      <c r="G181" s="666"/>
      <c r="H181" s="666"/>
    </row>
    <row r="182" spans="1:8" ht="12.75" hidden="1" customHeight="1">
      <c r="A182" s="742">
        <v>7</v>
      </c>
      <c r="B182" s="329" t="s">
        <v>418</v>
      </c>
      <c r="C182" s="738">
        <f>'R.GUI MAIL'!K95</f>
        <v>0</v>
      </c>
      <c r="D182" s="739" t="str">
        <f>'R.FILE GOC'!Q95</f>
        <v>N/A</v>
      </c>
      <c r="E182" s="666"/>
      <c r="F182" s="666"/>
      <c r="G182" s="666"/>
      <c r="H182" s="666"/>
    </row>
    <row r="183" spans="1:8" ht="12.75" hidden="1" customHeight="1">
      <c r="A183" s="742">
        <v>8</v>
      </c>
      <c r="B183" s="329" t="s">
        <v>419</v>
      </c>
      <c r="C183" s="738">
        <f>'R.GUI MAIL'!K96</f>
        <v>10.8</v>
      </c>
      <c r="D183" s="739">
        <f>'R.FILE GOC'!Q96</f>
        <v>8.1216000000000044</v>
      </c>
      <c r="E183" s="666"/>
      <c r="F183" s="666"/>
      <c r="G183" s="666"/>
      <c r="H183" s="666"/>
    </row>
    <row r="184" spans="1:8" ht="12.75" hidden="1" customHeight="1">
      <c r="A184" s="742">
        <v>9</v>
      </c>
      <c r="B184" s="329" t="s">
        <v>420</v>
      </c>
      <c r="C184" s="738">
        <f>'R.GUI MAIL'!K97</f>
        <v>0</v>
      </c>
      <c r="D184" s="739" t="str">
        <f>'R.FILE GOC'!Q97</f>
        <v>N/A</v>
      </c>
      <c r="E184" s="666"/>
      <c r="F184" s="666"/>
      <c r="G184" s="666"/>
      <c r="H184" s="666"/>
    </row>
    <row r="185" spans="1:8" ht="12.75" hidden="1" customHeight="1">
      <c r="A185" s="3769">
        <v>10</v>
      </c>
      <c r="B185" s="3384" t="s">
        <v>779</v>
      </c>
      <c r="C185" s="738">
        <f>'R.GUI MAIL'!K98</f>
        <v>0</v>
      </c>
      <c r="D185" s="739">
        <f>'R.FILE GOC'!Q98</f>
        <v>0</v>
      </c>
      <c r="E185" s="666"/>
      <c r="F185" s="666"/>
      <c r="G185" s="666"/>
      <c r="H185" s="666"/>
    </row>
    <row r="186" spans="1:8" ht="12.75" hidden="1" customHeight="1">
      <c r="A186" s="3770"/>
      <c r="B186" s="3771"/>
      <c r="C186" s="738">
        <f>'R.GUI MAIL'!K99</f>
        <v>0</v>
      </c>
      <c r="D186" s="739">
        <f>'R.FILE GOC'!Q99</f>
        <v>0</v>
      </c>
      <c r="E186" s="666"/>
      <c r="F186" s="666"/>
      <c r="G186" s="666"/>
      <c r="H186" s="666"/>
    </row>
    <row r="187" spans="1:8" ht="12.75" customHeight="1" thickBot="1">
      <c r="C187" s="740"/>
      <c r="D187" s="755"/>
      <c r="E187" s="666"/>
      <c r="F187" s="666"/>
      <c r="G187" s="666"/>
      <c r="H187" s="666"/>
    </row>
  </sheetData>
  <mergeCells count="40">
    <mergeCell ref="A15:B15"/>
    <mergeCell ref="A3:A4"/>
    <mergeCell ref="B3:B4"/>
    <mergeCell ref="B7:B9"/>
    <mergeCell ref="B10:B12"/>
    <mergeCell ref="B13:B14"/>
    <mergeCell ref="B53:B55"/>
    <mergeCell ref="A21:A22"/>
    <mergeCell ref="B21:B22"/>
    <mergeCell ref="B25:B27"/>
    <mergeCell ref="B28:B30"/>
    <mergeCell ref="B31:B32"/>
    <mergeCell ref="A35:A36"/>
    <mergeCell ref="B35:B36"/>
    <mergeCell ref="B39:B41"/>
    <mergeCell ref="B42:B43"/>
    <mergeCell ref="A44:B44"/>
    <mergeCell ref="A49:A50"/>
    <mergeCell ref="B49:B50"/>
    <mergeCell ref="B88:B89"/>
    <mergeCell ref="B56:B57"/>
    <mergeCell ref="A60:A61"/>
    <mergeCell ref="B60:B61"/>
    <mergeCell ref="B64:B66"/>
    <mergeCell ref="B67:B69"/>
    <mergeCell ref="B70:B71"/>
    <mergeCell ref="A72:B72"/>
    <mergeCell ref="A78:A79"/>
    <mergeCell ref="B78:B79"/>
    <mergeCell ref="B82:B84"/>
    <mergeCell ref="B85:B87"/>
    <mergeCell ref="A185:A186"/>
    <mergeCell ref="B185:B186"/>
    <mergeCell ref="A100:A101"/>
    <mergeCell ref="B100:B101"/>
    <mergeCell ref="A144:B144"/>
    <mergeCell ref="A145:A146"/>
    <mergeCell ref="B145:B146"/>
    <mergeCell ref="A156:A157"/>
    <mergeCell ref="B156:B157"/>
  </mergeCells>
  <phoneticPr fontId="7" type="noConversion"/>
  <pageMargins left="0.7" right="0.7" top="0.75" bottom="0.75" header="0.3" footer="0.3"/>
  <pageSetup paperSize="9" orientation="portrait" verticalDpi="0" r:id="rId1"/>
  <drawing r:id="rId2"/>
</worksheet>
</file>

<file path=xl/worksheets/sheet45.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C1" sqref="C1:I8"/>
    </sheetView>
  </sheetViews>
  <sheetFormatPr defaultColWidth="14.875" defaultRowHeight="15.75"/>
  <cols>
    <col min="1" max="1" width="6.75" style="341" customWidth="1"/>
    <col min="2" max="2" width="13.625" style="341" customWidth="1"/>
    <col min="3" max="3" width="16.5" style="341" customWidth="1"/>
    <col min="4" max="4" width="16.875" style="820" customWidth="1"/>
    <col min="5" max="5" width="17.375" style="820" customWidth="1"/>
    <col min="6" max="7" width="14.5" style="820" customWidth="1"/>
    <col min="8" max="8" width="14.5" style="341" customWidth="1"/>
    <col min="9" max="10" width="14.875" style="341"/>
    <col min="11" max="11" width="22.375" style="341" customWidth="1"/>
    <col min="12" max="16384" width="14.875" style="341"/>
  </cols>
  <sheetData>
    <row r="1" spans="1:11" ht="58.5" customHeight="1">
      <c r="C1" s="3790" t="s">
        <v>839</v>
      </c>
      <c r="D1" s="3790"/>
      <c r="E1" s="3790"/>
      <c r="F1" s="3790"/>
      <c r="G1" s="3790"/>
      <c r="H1" s="3790"/>
      <c r="I1" s="3790"/>
      <c r="J1" s="894"/>
      <c r="K1" s="895" t="s">
        <v>1003</v>
      </c>
    </row>
    <row r="2" spans="1:11" s="819" customFormat="1" ht="71.25" customHeight="1">
      <c r="A2" s="830" t="s">
        <v>851</v>
      </c>
      <c r="B2" s="830" t="s">
        <v>847</v>
      </c>
      <c r="C2" s="826" t="s">
        <v>840</v>
      </c>
      <c r="D2" s="827" t="s">
        <v>841</v>
      </c>
      <c r="E2" s="827" t="s">
        <v>842</v>
      </c>
      <c r="F2" s="827" t="s">
        <v>848</v>
      </c>
      <c r="G2" s="827" t="s">
        <v>843</v>
      </c>
      <c r="H2" s="827" t="s">
        <v>844</v>
      </c>
      <c r="I2" s="827" t="s">
        <v>849</v>
      </c>
      <c r="K2" s="1044" t="s">
        <v>1004</v>
      </c>
    </row>
    <row r="3" spans="1:11" ht="33.75" customHeight="1">
      <c r="A3" s="831">
        <v>1</v>
      </c>
      <c r="B3" s="828">
        <v>10.4</v>
      </c>
      <c r="C3" s="821" t="str">
        <f>MENU!AD9</f>
        <v>2024/05/22</v>
      </c>
      <c r="D3" s="822" t="s">
        <v>845</v>
      </c>
      <c r="E3" s="822">
        <f>(B3*1*36.5)/(1*10*1.16)/100</f>
        <v>0.32724137931034486</v>
      </c>
      <c r="F3" s="822" t="s">
        <v>846</v>
      </c>
      <c r="G3" s="823">
        <v>0.32291666666666669</v>
      </c>
      <c r="H3" s="822" t="s">
        <v>1435</v>
      </c>
      <c r="I3" s="822"/>
    </row>
    <row r="4" spans="1:11" ht="33.75" customHeight="1">
      <c r="A4" s="831">
        <v>2</v>
      </c>
      <c r="B4" s="829"/>
      <c r="C4" s="821" t="str">
        <f>IF(B4="","",C3)</f>
        <v/>
      </c>
      <c r="D4" s="822" t="str">
        <f>IF(B4="","","31~ 33%")</f>
        <v/>
      </c>
      <c r="E4" s="822" t="str">
        <f>IF(B4="","",(B4*1*36.5)/(1*10*1.16)/100)</f>
        <v/>
      </c>
      <c r="F4" s="822"/>
      <c r="G4" s="825"/>
      <c r="H4" s="825"/>
      <c r="I4" s="824"/>
    </row>
    <row r="5" spans="1:11" ht="33.75" customHeight="1">
      <c r="A5" s="831">
        <v>3</v>
      </c>
      <c r="B5" s="829"/>
      <c r="C5" s="821" t="str">
        <f t="shared" ref="C5:C8" si="0">IF(B5="","",C4)</f>
        <v/>
      </c>
      <c r="D5" s="822" t="str">
        <f t="shared" ref="D5:D8" si="1">IF(B5="","","31~ 33%")</f>
        <v/>
      </c>
      <c r="E5" s="822" t="str">
        <f t="shared" ref="E5:E8" si="2">IF(B5="","",(B5*1*36.5)/(1*10*1.16)/100)</f>
        <v/>
      </c>
      <c r="F5" s="822"/>
      <c r="G5" s="825"/>
      <c r="H5" s="825"/>
      <c r="I5" s="824"/>
    </row>
    <row r="6" spans="1:11" ht="33.75" customHeight="1">
      <c r="A6" s="831">
        <v>4</v>
      </c>
      <c r="B6" s="829"/>
      <c r="C6" s="821" t="str">
        <f t="shared" si="0"/>
        <v/>
      </c>
      <c r="D6" s="822" t="str">
        <f t="shared" si="1"/>
        <v/>
      </c>
      <c r="E6" s="822" t="str">
        <f t="shared" si="2"/>
        <v/>
      </c>
      <c r="F6" s="822"/>
      <c r="G6" s="825"/>
      <c r="H6" s="825"/>
      <c r="I6" s="824"/>
    </row>
    <row r="7" spans="1:11" ht="33.75" customHeight="1">
      <c r="A7" s="831">
        <v>5</v>
      </c>
      <c r="B7" s="829"/>
      <c r="C7" s="821" t="str">
        <f t="shared" si="0"/>
        <v/>
      </c>
      <c r="D7" s="822" t="str">
        <f t="shared" si="1"/>
        <v/>
      </c>
      <c r="E7" s="822" t="str">
        <f t="shared" si="2"/>
        <v/>
      </c>
      <c r="F7" s="822"/>
      <c r="G7" s="825"/>
      <c r="H7" s="825"/>
      <c r="I7" s="824"/>
    </row>
    <row r="8" spans="1:11" ht="33.75" customHeight="1">
      <c r="A8" s="831">
        <v>6</v>
      </c>
      <c r="B8" s="829"/>
      <c r="C8" s="821" t="str">
        <f t="shared" si="0"/>
        <v/>
      </c>
      <c r="D8" s="822" t="str">
        <f t="shared" si="1"/>
        <v/>
      </c>
      <c r="E8" s="822" t="str">
        <f t="shared" si="2"/>
        <v/>
      </c>
      <c r="F8" s="822"/>
      <c r="G8" s="825"/>
      <c r="H8" s="825"/>
      <c r="I8" s="824"/>
    </row>
    <row r="10" spans="1:11">
      <c r="E10" s="894"/>
    </row>
    <row r="11" spans="1:11" ht="60.75" customHeight="1">
      <c r="B11" s="1043" t="s">
        <v>1000</v>
      </c>
      <c r="C11" s="1041" t="s">
        <v>994</v>
      </c>
      <c r="E11" s="1042"/>
    </row>
    <row r="12" spans="1:11">
      <c r="C12" s="1041" t="s">
        <v>995</v>
      </c>
    </row>
    <row r="13" spans="1:11">
      <c r="C13" s="1041" t="s">
        <v>996</v>
      </c>
    </row>
    <row r="14" spans="1:11">
      <c r="C14" s="1041" t="s">
        <v>997</v>
      </c>
    </row>
    <row r="15" spans="1:11">
      <c r="C15" s="1041" t="s">
        <v>1001</v>
      </c>
    </row>
    <row r="16" spans="1:11">
      <c r="C16" s="1041" t="s">
        <v>998</v>
      </c>
    </row>
    <row r="17" spans="3:3">
      <c r="C17" s="1041" t="s">
        <v>999</v>
      </c>
    </row>
    <row r="18" spans="3:3">
      <c r="C18" s="1041" t="s">
        <v>1002</v>
      </c>
    </row>
  </sheetData>
  <sheetProtection formatCells="0" formatColumns="0" formatRows="0" insertColumns="0" insertRows="0" insertHyperlinks="0" deleteColumns="0" deleteRows="0" selectLockedCells="1" sort="0" autoFilter="0" pivotTables="0"/>
  <mergeCells count="1">
    <mergeCell ref="C1:I1"/>
  </mergeCells>
  <phoneticPr fontId="7"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worksheet>
</file>

<file path=xl/worksheets/sheet46.xml><?xml version="1.0" encoding="utf-8"?>
<worksheet xmlns="http://schemas.openxmlformats.org/spreadsheetml/2006/main" xmlns:r="http://schemas.openxmlformats.org/officeDocument/2006/relationships">
  <sheetPr codeName="Sheet21"/>
  <dimension ref="A2:R92"/>
  <sheetViews>
    <sheetView zoomScale="70" zoomScaleNormal="70" workbookViewId="0"/>
  </sheetViews>
  <sheetFormatPr defaultRowHeight="15.75"/>
  <cols>
    <col min="1" max="1" width="15.875" style="1157" customWidth="1"/>
    <col min="2" max="3" width="10.625" style="1158" customWidth="1"/>
    <col min="4" max="4" width="10.625" style="1157" customWidth="1"/>
    <col min="5" max="5" width="12.375" style="1157" customWidth="1"/>
    <col min="6" max="7" width="10.625" style="1158" customWidth="1"/>
    <col min="8" max="9" width="10.625" style="1157" customWidth="1"/>
    <col min="10" max="10" width="13.875" style="1158" customWidth="1"/>
    <col min="11" max="11" width="10.625" style="1158" customWidth="1"/>
    <col min="12" max="12" width="14.375" style="1157" customWidth="1"/>
    <col min="13" max="13" width="15.125" style="1157" customWidth="1"/>
    <col min="14" max="14" width="10.125" style="1157" customWidth="1"/>
    <col min="15" max="15" width="9" style="331"/>
    <col min="16" max="16" width="17" style="1157" customWidth="1"/>
    <col min="17" max="17" width="9" style="1157"/>
    <col min="18" max="18" width="13.125" style="1157" customWidth="1"/>
    <col min="19" max="16384" width="9" style="1157"/>
  </cols>
  <sheetData>
    <row r="2" spans="1:18">
      <c r="B2" s="1158" t="s">
        <v>225</v>
      </c>
    </row>
    <row r="3" spans="1:18">
      <c r="B3" s="1159" t="s">
        <v>159</v>
      </c>
      <c r="C3" s="1159" t="s">
        <v>160</v>
      </c>
      <c r="D3" s="1160" t="s">
        <v>161</v>
      </c>
      <c r="E3" s="1160" t="s">
        <v>160</v>
      </c>
      <c r="F3" s="1159" t="s">
        <v>162</v>
      </c>
      <c r="G3" s="1159" t="s">
        <v>160</v>
      </c>
      <c r="H3" s="1160" t="s">
        <v>163</v>
      </c>
      <c r="I3" s="1160" t="s">
        <v>160</v>
      </c>
      <c r="J3" s="1159" t="s">
        <v>164</v>
      </c>
      <c r="K3" s="1159" t="s">
        <v>165</v>
      </c>
      <c r="L3" s="1159" t="s">
        <v>166</v>
      </c>
      <c r="M3" s="1159" t="s">
        <v>167</v>
      </c>
      <c r="N3" s="1159" t="s">
        <v>168</v>
      </c>
      <c r="P3" s="1157" t="s">
        <v>170</v>
      </c>
      <c r="R3" s="1157" t="s">
        <v>171</v>
      </c>
    </row>
    <row r="4" spans="1:18">
      <c r="B4" s="1159">
        <v>305</v>
      </c>
      <c r="C4" s="1159">
        <v>500</v>
      </c>
      <c r="D4" s="1160">
        <v>305</v>
      </c>
      <c r="E4" s="1158">
        <v>500</v>
      </c>
      <c r="F4" s="1159">
        <v>305</v>
      </c>
      <c r="G4" s="1159">
        <v>130</v>
      </c>
      <c r="H4" s="1160">
        <v>305</v>
      </c>
      <c r="I4" s="1160">
        <v>130</v>
      </c>
      <c r="J4" s="1159">
        <v>305</v>
      </c>
      <c r="K4" s="1159">
        <v>700</v>
      </c>
      <c r="L4" s="1157">
        <v>305</v>
      </c>
      <c r="M4" s="1157">
        <v>305</v>
      </c>
      <c r="N4" s="1157">
        <v>305</v>
      </c>
      <c r="O4" s="331" t="s">
        <v>1112</v>
      </c>
      <c r="P4" s="1157">
        <v>305</v>
      </c>
      <c r="Q4" s="1157">
        <v>305</v>
      </c>
      <c r="R4" s="1157">
        <v>300</v>
      </c>
    </row>
    <row r="5" spans="1:18">
      <c r="B5" s="1159">
        <v>260</v>
      </c>
      <c r="C5" s="1159">
        <v>90</v>
      </c>
      <c r="D5" s="1160">
        <v>165</v>
      </c>
      <c r="E5" s="1158">
        <v>90</v>
      </c>
      <c r="F5" s="1159">
        <v>176</v>
      </c>
      <c r="G5" s="1159">
        <v>80</v>
      </c>
      <c r="H5" s="1160">
        <v>187</v>
      </c>
      <c r="I5" s="1160">
        <v>80</v>
      </c>
      <c r="J5" s="1159">
        <v>205</v>
      </c>
      <c r="K5" s="1159">
        <v>134</v>
      </c>
      <c r="L5" s="1157">
        <v>158</v>
      </c>
      <c r="M5" s="1157">
        <v>247</v>
      </c>
      <c r="N5" s="1157">
        <v>76</v>
      </c>
      <c r="O5" s="331" t="s">
        <v>1112</v>
      </c>
      <c r="P5" s="1157">
        <v>68</v>
      </c>
      <c r="Q5" s="1157">
        <v>95</v>
      </c>
      <c r="R5" s="1157">
        <v>80</v>
      </c>
    </row>
    <row r="6" spans="1:18">
      <c r="B6" s="1159">
        <v>155</v>
      </c>
      <c r="C6" s="1159">
        <v>110</v>
      </c>
      <c r="D6" s="1160">
        <v>155</v>
      </c>
      <c r="E6" s="1158">
        <v>110</v>
      </c>
      <c r="F6" s="1159">
        <v>155</v>
      </c>
      <c r="G6" s="1159">
        <v>76</v>
      </c>
      <c r="H6" s="1160">
        <v>155</v>
      </c>
      <c r="I6" s="1160">
        <v>76</v>
      </c>
      <c r="J6" s="1159">
        <v>155</v>
      </c>
      <c r="K6" s="1159">
        <v>112</v>
      </c>
      <c r="L6" s="1157">
        <v>155</v>
      </c>
      <c r="M6" s="1157">
        <v>155</v>
      </c>
      <c r="N6" s="1157">
        <v>155</v>
      </c>
      <c r="O6" s="331" t="s">
        <v>1112</v>
      </c>
      <c r="P6" s="1157">
        <v>155</v>
      </c>
      <c r="Q6" s="1157">
        <v>155</v>
      </c>
      <c r="R6" s="1157">
        <v>140</v>
      </c>
    </row>
    <row r="7" spans="1:18">
      <c r="B7" s="1161">
        <f>B4*B5*B6/1000</f>
        <v>12291.5</v>
      </c>
      <c r="C7" s="1161">
        <f t="shared" ref="C7:R7" si="0">C4*C5*C6/1000</f>
        <v>4950</v>
      </c>
      <c r="D7" s="1162">
        <f t="shared" si="0"/>
        <v>7800.375</v>
      </c>
      <c r="E7" s="1162">
        <f t="shared" si="0"/>
        <v>4950</v>
      </c>
      <c r="F7" s="1161">
        <f t="shared" si="0"/>
        <v>8320.4</v>
      </c>
      <c r="G7" s="1161">
        <f t="shared" si="0"/>
        <v>790.4</v>
      </c>
      <c r="H7" s="1162">
        <f t="shared" si="0"/>
        <v>8840.4249999999993</v>
      </c>
      <c r="I7" s="1162">
        <f t="shared" si="0"/>
        <v>790.4</v>
      </c>
      <c r="J7" s="1163">
        <f>J4*J5*J6/1000*5</f>
        <v>48456.875</v>
      </c>
      <c r="K7" s="1161">
        <f t="shared" si="0"/>
        <v>10505.6</v>
      </c>
      <c r="L7" s="1161">
        <f t="shared" si="0"/>
        <v>7469.45</v>
      </c>
      <c r="M7" s="1161">
        <f t="shared" si="0"/>
        <v>11676.924999999999</v>
      </c>
      <c r="N7" s="1161">
        <f t="shared" si="0"/>
        <v>3592.9</v>
      </c>
      <c r="P7" s="1161">
        <f t="shared" si="0"/>
        <v>3214.7</v>
      </c>
      <c r="Q7" s="1161">
        <f t="shared" si="0"/>
        <v>4491.125</v>
      </c>
      <c r="R7" s="1161">
        <f t="shared" si="0"/>
        <v>3360</v>
      </c>
    </row>
    <row r="8" spans="1:18">
      <c r="B8" s="3792">
        <f>B7+C7</f>
        <v>17241.5</v>
      </c>
      <c r="C8" s="3792"/>
      <c r="D8" s="3793">
        <f>D7+E7</f>
        <v>12750.375</v>
      </c>
      <c r="E8" s="3793"/>
      <c r="F8" s="3792">
        <f>F7+G7</f>
        <v>9110.7999999999993</v>
      </c>
      <c r="G8" s="3792"/>
      <c r="H8" s="3793">
        <f>H7+I7</f>
        <v>9630.8249999999989</v>
      </c>
      <c r="I8" s="3793"/>
      <c r="J8" s="3792">
        <f>J7+K7</f>
        <v>58962.474999999999</v>
      </c>
      <c r="K8" s="3792"/>
      <c r="L8" s="1164">
        <f t="shared" ref="L8:Q8" si="1">L7</f>
        <v>7469.45</v>
      </c>
      <c r="M8" s="1164">
        <f t="shared" si="1"/>
        <v>11676.924999999999</v>
      </c>
      <c r="N8" s="1164">
        <f t="shared" si="1"/>
        <v>3592.9</v>
      </c>
      <c r="P8" s="1164">
        <f t="shared" si="1"/>
        <v>3214.7</v>
      </c>
      <c r="Q8" s="1164">
        <f t="shared" si="1"/>
        <v>4491.125</v>
      </c>
    </row>
    <row r="9" spans="1:18">
      <c r="A9" s="1157" t="s">
        <v>1113</v>
      </c>
      <c r="B9" s="3794">
        <f>B8*90%</f>
        <v>15517.35</v>
      </c>
      <c r="C9" s="3794"/>
      <c r="D9" s="3795">
        <f>D8*90%</f>
        <v>11475.3375</v>
      </c>
      <c r="E9" s="3795"/>
      <c r="F9" s="3791">
        <f>F8*90%</f>
        <v>8199.7199999999993</v>
      </c>
      <c r="G9" s="3791"/>
      <c r="H9" s="3791">
        <f>H8*90%</f>
        <v>8667.7424999999985</v>
      </c>
      <c r="I9" s="3791"/>
      <c r="J9" s="3791">
        <f>J8*90%</f>
        <v>53066.227500000001</v>
      </c>
      <c r="K9" s="3791"/>
      <c r="L9" s="1165">
        <f t="shared" ref="L9:Q9" si="2">L8*90%</f>
        <v>6722.5050000000001</v>
      </c>
      <c r="M9" s="1165">
        <f t="shared" si="2"/>
        <v>10509.2325</v>
      </c>
      <c r="N9" s="1165">
        <f t="shared" si="2"/>
        <v>3233.61</v>
      </c>
      <c r="P9" s="1165">
        <f t="shared" si="2"/>
        <v>2893.23</v>
      </c>
      <c r="Q9" s="1165">
        <f t="shared" si="2"/>
        <v>4042.0125000000003</v>
      </c>
      <c r="R9" s="1161">
        <v>3360</v>
      </c>
    </row>
    <row r="10" spans="1:18">
      <c r="F10" s="1166"/>
      <c r="G10" s="1166"/>
      <c r="L10" s="2286">
        <f>L9/2</f>
        <v>3361.2525000000001</v>
      </c>
    </row>
    <row r="11" spans="1:18">
      <c r="C11" s="1158">
        <v>500</v>
      </c>
    </row>
    <row r="12" spans="1:18">
      <c r="C12" s="1158">
        <v>90</v>
      </c>
    </row>
    <row r="13" spans="1:18">
      <c r="C13" s="1158">
        <v>110</v>
      </c>
    </row>
    <row r="14" spans="1:18">
      <c r="C14" s="1158" t="s">
        <v>172</v>
      </c>
    </row>
    <row r="18" spans="2:13" ht="33.75" customHeight="1">
      <c r="B18" s="3083" t="s">
        <v>106</v>
      </c>
      <c r="C18" s="3084"/>
      <c r="D18" s="3084"/>
      <c r="E18" s="3085"/>
    </row>
    <row r="19" spans="2:13" ht="39" customHeight="1">
      <c r="B19" s="3086"/>
      <c r="C19" s="3087"/>
      <c r="D19" s="3087"/>
      <c r="E19" s="3088"/>
    </row>
    <row r="20" spans="2:13" ht="18" customHeight="1">
      <c r="B20" s="1156"/>
      <c r="C20" s="1156" t="s">
        <v>177</v>
      </c>
      <c r="D20" s="1156" t="s">
        <v>5</v>
      </c>
      <c r="E20" s="1156"/>
    </row>
    <row r="21" spans="2:13">
      <c r="B21" s="1158" t="s">
        <v>175</v>
      </c>
      <c r="C21" s="1158" t="s">
        <v>178</v>
      </c>
      <c r="D21" s="1157" t="s">
        <v>180</v>
      </c>
      <c r="E21" s="1157" t="s">
        <v>182</v>
      </c>
    </row>
    <row r="22" spans="2:13">
      <c r="B22" s="1158" t="s">
        <v>176</v>
      </c>
      <c r="C22" s="1158" t="s">
        <v>179</v>
      </c>
      <c r="D22" s="1157" t="s">
        <v>181</v>
      </c>
      <c r="E22" s="1157" t="s">
        <v>183</v>
      </c>
    </row>
    <row r="24" spans="2:13">
      <c r="B24" s="1158" t="s">
        <v>184</v>
      </c>
      <c r="C24" s="1156" t="s">
        <v>5</v>
      </c>
      <c r="D24" s="1157" t="s">
        <v>185</v>
      </c>
      <c r="E24" s="1157" t="s">
        <v>187</v>
      </c>
    </row>
    <row r="25" spans="2:13">
      <c r="C25" s="1167" t="s">
        <v>186</v>
      </c>
      <c r="D25" s="1168">
        <v>0.15</v>
      </c>
      <c r="E25" s="1157" t="s">
        <v>188</v>
      </c>
      <c r="F25" s="1158" t="s">
        <v>1114</v>
      </c>
    </row>
    <row r="26" spans="2:13">
      <c r="C26" s="1167">
        <v>1.8</v>
      </c>
      <c r="D26" s="1168">
        <v>0.15</v>
      </c>
      <c r="E26" s="1157" t="s">
        <v>188</v>
      </c>
      <c r="F26" s="1158" t="s">
        <v>189</v>
      </c>
    </row>
    <row r="27" spans="2:13">
      <c r="C27" s="1167" t="s">
        <v>190</v>
      </c>
      <c r="D27" s="1168">
        <v>0.15</v>
      </c>
      <c r="E27" s="1157" t="s">
        <v>188</v>
      </c>
      <c r="F27" s="1158" t="s">
        <v>191</v>
      </c>
    </row>
    <row r="28" spans="2:13">
      <c r="B28" s="1158" t="s">
        <v>1115</v>
      </c>
      <c r="D28" s="1168"/>
    </row>
    <row r="29" spans="2:13" ht="34.5" customHeight="1"/>
    <row r="30" spans="2:13" ht="16.5" customHeight="1">
      <c r="B30" s="1169" t="s">
        <v>1116</v>
      </c>
      <c r="C30" s="1169"/>
      <c r="D30" s="1170"/>
    </row>
    <row r="31" spans="2:13">
      <c r="B31" s="1158" t="s">
        <v>197</v>
      </c>
      <c r="C31" s="1158" t="s">
        <v>198</v>
      </c>
      <c r="D31" s="1157" t="s">
        <v>199</v>
      </c>
      <c r="E31" s="1157" t="s">
        <v>200</v>
      </c>
      <c r="F31" s="1158" t="s">
        <v>201</v>
      </c>
      <c r="G31" s="1158" t="s">
        <v>202</v>
      </c>
      <c r="H31" s="1157" t="s">
        <v>203</v>
      </c>
      <c r="I31" s="1171" t="s">
        <v>204</v>
      </c>
      <c r="J31" s="1172" t="s">
        <v>208</v>
      </c>
      <c r="K31" s="1158" t="s">
        <v>205</v>
      </c>
      <c r="L31" s="1157" t="s">
        <v>169</v>
      </c>
    </row>
    <row r="32" spans="2:13">
      <c r="B32" s="1158">
        <v>8</v>
      </c>
      <c r="C32" s="1158">
        <v>8</v>
      </c>
      <c r="D32" s="1158">
        <v>8</v>
      </c>
      <c r="E32" s="1158">
        <v>8</v>
      </c>
      <c r="F32" s="1158">
        <v>8</v>
      </c>
      <c r="G32" s="1158">
        <v>8</v>
      </c>
      <c r="H32" s="1158">
        <v>8</v>
      </c>
      <c r="I32" s="1172">
        <v>8</v>
      </c>
      <c r="J32" s="1172">
        <v>17</v>
      </c>
      <c r="K32" s="1158">
        <v>8</v>
      </c>
      <c r="L32" s="1158">
        <v>8</v>
      </c>
      <c r="M32" s="1157" t="s">
        <v>206</v>
      </c>
    </row>
    <row r="33" spans="2:13">
      <c r="B33" s="1158">
        <v>6.5</v>
      </c>
      <c r="C33" s="1158">
        <v>6.5</v>
      </c>
      <c r="D33" s="1158">
        <v>6.5</v>
      </c>
      <c r="E33" s="1158">
        <v>6.5</v>
      </c>
      <c r="F33" s="1158">
        <v>6.5</v>
      </c>
      <c r="G33" s="1158">
        <v>6.5</v>
      </c>
      <c r="H33" s="1158">
        <v>6.5</v>
      </c>
      <c r="I33" s="1172">
        <v>6.5</v>
      </c>
      <c r="J33" s="1172">
        <v>6.5</v>
      </c>
      <c r="K33" s="1158">
        <v>6.5</v>
      </c>
      <c r="L33" s="1158">
        <v>6.5</v>
      </c>
      <c r="M33" s="1157" t="s">
        <v>206</v>
      </c>
    </row>
    <row r="34" spans="2:13">
      <c r="B34" s="1158">
        <v>15</v>
      </c>
      <c r="C34" s="1158">
        <v>15</v>
      </c>
      <c r="D34" s="1157">
        <v>17</v>
      </c>
      <c r="E34" s="1157">
        <v>17</v>
      </c>
      <c r="F34" s="1158">
        <v>13</v>
      </c>
      <c r="G34" s="1158">
        <v>19.5</v>
      </c>
      <c r="H34" s="1157">
        <v>6.5</v>
      </c>
      <c r="I34" s="1171">
        <f>29.5*4</f>
        <v>118</v>
      </c>
      <c r="J34" s="1172">
        <v>25</v>
      </c>
      <c r="K34" s="1158">
        <v>6.5</v>
      </c>
      <c r="L34" s="1157">
        <v>6.5</v>
      </c>
      <c r="M34" s="1157" t="s">
        <v>206</v>
      </c>
    </row>
    <row r="35" spans="2:13">
      <c r="B35" s="1169">
        <f>B32*B33*B34</f>
        <v>780</v>
      </c>
      <c r="C35" s="1169">
        <f t="shared" ref="C35:L35" si="3">C32*C33*C34</f>
        <v>780</v>
      </c>
      <c r="D35" s="1169">
        <f t="shared" si="3"/>
        <v>884</v>
      </c>
      <c r="E35" s="1169">
        <f t="shared" si="3"/>
        <v>884</v>
      </c>
      <c r="F35" s="1169">
        <f t="shared" si="3"/>
        <v>676</v>
      </c>
      <c r="G35" s="1169">
        <f t="shared" si="3"/>
        <v>1014</v>
      </c>
      <c r="H35" s="1169">
        <f t="shared" si="3"/>
        <v>338</v>
      </c>
      <c r="I35" s="1172">
        <f t="shared" si="3"/>
        <v>6136</v>
      </c>
      <c r="J35" s="1172">
        <f t="shared" si="3"/>
        <v>2762.5</v>
      </c>
      <c r="K35" s="1169">
        <f t="shared" si="3"/>
        <v>338</v>
      </c>
      <c r="L35" s="1169">
        <f t="shared" si="3"/>
        <v>338</v>
      </c>
      <c r="M35" s="1157" t="s">
        <v>207</v>
      </c>
    </row>
    <row r="36" spans="2:13">
      <c r="B36" s="1173">
        <f>B35*85%</f>
        <v>663</v>
      </c>
      <c r="C36" s="1173">
        <f t="shared" ref="C36:L36" si="4">C35*85%</f>
        <v>663</v>
      </c>
      <c r="D36" s="1173">
        <f t="shared" si="4"/>
        <v>751.4</v>
      </c>
      <c r="E36" s="1173">
        <f t="shared" si="4"/>
        <v>751.4</v>
      </c>
      <c r="F36" s="1173">
        <f t="shared" si="4"/>
        <v>574.6</v>
      </c>
      <c r="G36" s="1173">
        <f t="shared" si="4"/>
        <v>861.9</v>
      </c>
      <c r="H36" s="1173">
        <f t="shared" si="4"/>
        <v>287.3</v>
      </c>
      <c r="I36" s="1173">
        <f t="shared" si="4"/>
        <v>5215.5999999999995</v>
      </c>
      <c r="J36" s="1173">
        <f t="shared" si="4"/>
        <v>2348.125</v>
      </c>
      <c r="K36" s="1173">
        <f t="shared" si="4"/>
        <v>287.3</v>
      </c>
      <c r="L36" s="1173">
        <f t="shared" si="4"/>
        <v>287.3</v>
      </c>
      <c r="M36" s="1157" t="s">
        <v>210</v>
      </c>
    </row>
    <row r="37" spans="2:13">
      <c r="B37" s="1158" t="s">
        <v>220</v>
      </c>
      <c r="I37" s="1174">
        <f>I36+J36</f>
        <v>7563.7249999999995</v>
      </c>
    </row>
    <row r="38" spans="2:13">
      <c r="B38" s="1158" t="s">
        <v>1117</v>
      </c>
    </row>
    <row r="39" spans="2:13">
      <c r="B39" s="1158" t="s">
        <v>221</v>
      </c>
      <c r="C39" s="1175">
        <f>0.05%*7564</f>
        <v>3.782</v>
      </c>
      <c r="D39" s="1157" t="s">
        <v>222</v>
      </c>
    </row>
    <row r="40" spans="2:13">
      <c r="B40" s="1158" t="s">
        <v>223</v>
      </c>
      <c r="C40" s="1176">
        <f>3%*7564</f>
        <v>226.92</v>
      </c>
      <c r="D40" s="1157" t="s">
        <v>222</v>
      </c>
    </row>
    <row r="43" spans="2:13" ht="16.5" customHeight="1">
      <c r="B43" s="1169" t="s">
        <v>1118</v>
      </c>
      <c r="C43" s="1169"/>
      <c r="D43" s="1170"/>
    </row>
    <row r="44" spans="2:13">
      <c r="B44" s="1158" t="s">
        <v>197</v>
      </c>
      <c r="C44" s="1158" t="s">
        <v>198</v>
      </c>
      <c r="D44" s="1157" t="s">
        <v>199</v>
      </c>
      <c r="E44" s="1157" t="s">
        <v>200</v>
      </c>
      <c r="F44" s="1158" t="s">
        <v>201</v>
      </c>
      <c r="G44" s="1158" t="s">
        <v>202</v>
      </c>
      <c r="H44" s="1157" t="s">
        <v>203</v>
      </c>
      <c r="I44" s="1171" t="s">
        <v>204</v>
      </c>
      <c r="J44" s="1172" t="s">
        <v>208</v>
      </c>
      <c r="K44" s="1158" t="s">
        <v>205</v>
      </c>
      <c r="L44" s="1157" t="s">
        <v>169</v>
      </c>
    </row>
    <row r="45" spans="2:13">
      <c r="B45" s="1158">
        <v>16</v>
      </c>
      <c r="C45" s="1158">
        <v>16</v>
      </c>
      <c r="D45" s="1158">
        <v>16</v>
      </c>
      <c r="E45" s="1158">
        <v>16</v>
      </c>
      <c r="F45" s="1158">
        <v>16</v>
      </c>
      <c r="G45" s="1158">
        <v>16</v>
      </c>
      <c r="H45" s="1158">
        <v>16</v>
      </c>
      <c r="I45" s="1175">
        <v>16</v>
      </c>
      <c r="J45" s="1158">
        <v>12</v>
      </c>
      <c r="K45" s="1158">
        <v>16</v>
      </c>
      <c r="L45" s="1158">
        <v>16</v>
      </c>
      <c r="M45" s="1157" t="s">
        <v>206</v>
      </c>
    </row>
    <row r="46" spans="2:13">
      <c r="B46" s="1158">
        <v>22.5</v>
      </c>
      <c r="C46" s="1158">
        <v>30</v>
      </c>
      <c r="D46" s="1158">
        <v>17</v>
      </c>
      <c r="E46" s="1158">
        <v>16.5</v>
      </c>
      <c r="F46" s="1158">
        <v>7.5</v>
      </c>
      <c r="G46" s="1158">
        <v>24</v>
      </c>
      <c r="H46" s="1158">
        <v>6.5</v>
      </c>
      <c r="I46" s="1177">
        <v>180</v>
      </c>
      <c r="J46" s="1172">
        <v>42</v>
      </c>
      <c r="K46" s="1158">
        <v>6.5</v>
      </c>
      <c r="L46" s="1158">
        <v>6.5</v>
      </c>
      <c r="M46" s="1157" t="s">
        <v>206</v>
      </c>
    </row>
    <row r="47" spans="2:13">
      <c r="B47" s="1158">
        <v>6</v>
      </c>
      <c r="C47" s="1158">
        <v>6</v>
      </c>
      <c r="D47" s="1157">
        <v>5</v>
      </c>
      <c r="E47" s="1157">
        <v>6.5</v>
      </c>
      <c r="F47" s="1158">
        <v>6</v>
      </c>
      <c r="G47" s="1157">
        <v>6.5</v>
      </c>
      <c r="H47" s="1157">
        <v>6.5</v>
      </c>
      <c r="I47" s="1178">
        <v>6.4</v>
      </c>
      <c r="J47" s="1172">
        <v>10</v>
      </c>
      <c r="K47" s="1158">
        <v>6.5</v>
      </c>
      <c r="L47" s="1157">
        <v>6</v>
      </c>
      <c r="M47" s="1157" t="s">
        <v>206</v>
      </c>
    </row>
    <row r="48" spans="2:13">
      <c r="B48" s="1169">
        <f>B45*B46*B47</f>
        <v>2160</v>
      </c>
      <c r="C48" s="1169">
        <f t="shared" ref="C48:L48" si="5">C45*C46*C47</f>
        <v>2880</v>
      </c>
      <c r="D48" s="1169">
        <f t="shared" si="5"/>
        <v>1360</v>
      </c>
      <c r="E48" s="1169">
        <f t="shared" si="5"/>
        <v>1716</v>
      </c>
      <c r="F48" s="1169">
        <f t="shared" si="5"/>
        <v>720</v>
      </c>
      <c r="G48" s="1169">
        <f t="shared" si="5"/>
        <v>2496</v>
      </c>
      <c r="H48" s="1169">
        <f t="shared" si="5"/>
        <v>676</v>
      </c>
      <c r="I48" s="1172">
        <f t="shared" si="5"/>
        <v>18432</v>
      </c>
      <c r="J48" s="1172">
        <f t="shared" si="5"/>
        <v>5040</v>
      </c>
      <c r="K48" s="1169">
        <f t="shared" si="5"/>
        <v>676</v>
      </c>
      <c r="L48" s="1169">
        <f t="shared" si="5"/>
        <v>624</v>
      </c>
      <c r="M48" s="1157" t="s">
        <v>207</v>
      </c>
    </row>
    <row r="49" spans="1:13">
      <c r="B49" s="1173">
        <f>B48*85%</f>
        <v>1836</v>
      </c>
      <c r="C49" s="1173">
        <f t="shared" ref="C49:L49" si="6">C48*85%</f>
        <v>2448</v>
      </c>
      <c r="D49" s="1173">
        <f t="shared" si="6"/>
        <v>1156</v>
      </c>
      <c r="E49" s="1173">
        <f t="shared" si="6"/>
        <v>1458.6</v>
      </c>
      <c r="F49" s="1173">
        <f t="shared" si="6"/>
        <v>612</v>
      </c>
      <c r="G49" s="1173">
        <f t="shared" si="6"/>
        <v>2121.6</v>
      </c>
      <c r="H49" s="1173">
        <f t="shared" si="6"/>
        <v>574.6</v>
      </c>
      <c r="I49" s="1173">
        <f t="shared" si="6"/>
        <v>15667.199999999999</v>
      </c>
      <c r="J49" s="1173">
        <f t="shared" si="6"/>
        <v>4284</v>
      </c>
      <c r="K49" s="1173">
        <f t="shared" si="6"/>
        <v>574.6</v>
      </c>
      <c r="L49" s="1173">
        <f t="shared" si="6"/>
        <v>530.4</v>
      </c>
      <c r="M49" s="1157" t="s">
        <v>210</v>
      </c>
    </row>
    <row r="50" spans="1:13">
      <c r="I50" s="1174">
        <f>I49+J49</f>
        <v>19951.199999999997</v>
      </c>
    </row>
    <row r="52" spans="1:13">
      <c r="B52" s="1157"/>
      <c r="C52" s="1157"/>
    </row>
    <row r="54" spans="1:13">
      <c r="B54" s="1179" t="s">
        <v>1120</v>
      </c>
    </row>
    <row r="55" spans="1:13">
      <c r="B55" s="1158" t="s">
        <v>1121</v>
      </c>
    </row>
    <row r="56" spans="1:13">
      <c r="B56" s="1158" t="s">
        <v>1122</v>
      </c>
    </row>
    <row r="57" spans="1:13">
      <c r="B57" s="1158" t="s">
        <v>1123</v>
      </c>
    </row>
    <row r="60" spans="1:13" ht="22.5" customHeight="1">
      <c r="B60" s="1095" t="s">
        <v>1124</v>
      </c>
      <c r="C60" s="1095"/>
      <c r="D60" s="1096"/>
    </row>
    <row r="61" spans="1:13">
      <c r="B61" s="1158" t="s">
        <v>1125</v>
      </c>
      <c r="C61" s="1158" t="s">
        <v>1126</v>
      </c>
      <c r="D61" s="1157" t="s">
        <v>1127</v>
      </c>
      <c r="E61" s="1157" t="s">
        <v>1128</v>
      </c>
    </row>
    <row r="62" spans="1:13">
      <c r="A62" s="1157" t="s">
        <v>1129</v>
      </c>
      <c r="B62" s="1158">
        <v>12.8</v>
      </c>
      <c r="C62" s="1158">
        <v>12.8</v>
      </c>
      <c r="D62" s="1158">
        <v>12.8</v>
      </c>
      <c r="E62" s="1158">
        <v>12.8</v>
      </c>
      <c r="F62" s="1158" t="s">
        <v>1130</v>
      </c>
    </row>
    <row r="63" spans="1:13">
      <c r="A63" s="1157" t="s">
        <v>1131</v>
      </c>
      <c r="B63" s="1158">
        <v>17</v>
      </c>
      <c r="C63" s="1158">
        <v>19</v>
      </c>
      <c r="D63" s="1157">
        <v>36</v>
      </c>
      <c r="E63" s="1157">
        <v>9</v>
      </c>
      <c r="F63" s="1158" t="s">
        <v>1130</v>
      </c>
    </row>
    <row r="64" spans="1:13">
      <c r="A64" s="1157" t="s">
        <v>1132</v>
      </c>
      <c r="B64" s="1158">
        <v>12.6</v>
      </c>
      <c r="C64" s="1158">
        <v>12.6</v>
      </c>
      <c r="D64" s="1158">
        <v>12.6</v>
      </c>
      <c r="E64" s="1158">
        <v>12.6</v>
      </c>
      <c r="F64" s="1158" t="s">
        <v>1130</v>
      </c>
    </row>
    <row r="65" spans="1:9">
      <c r="B65" s="1180">
        <f>B62*B63*B64</f>
        <v>2741.76</v>
      </c>
      <c r="C65" s="1180">
        <f t="shared" ref="C65:E65" si="7">C62*C63*C64</f>
        <v>3064.32</v>
      </c>
      <c r="D65" s="1180">
        <f t="shared" si="7"/>
        <v>5806.08</v>
      </c>
      <c r="E65" s="1180">
        <f t="shared" si="7"/>
        <v>1451.52</v>
      </c>
      <c r="F65" s="1157" t="s">
        <v>207</v>
      </c>
    </row>
    <row r="66" spans="1:9">
      <c r="B66" s="1181">
        <f>B65*85%</f>
        <v>2330.4960000000001</v>
      </c>
      <c r="C66" s="1181">
        <f t="shared" ref="C66:E66" si="8">C65*85%</f>
        <v>2604.672</v>
      </c>
      <c r="D66" s="1181">
        <f t="shared" si="8"/>
        <v>4935.1679999999997</v>
      </c>
      <c r="E66" s="1181">
        <f t="shared" si="8"/>
        <v>1233.7919999999999</v>
      </c>
      <c r="F66" s="1157" t="s">
        <v>210</v>
      </c>
    </row>
    <row r="69" spans="1:9">
      <c r="B69" s="1182">
        <v>1</v>
      </c>
      <c r="C69" s="1158" t="s">
        <v>1133</v>
      </c>
    </row>
    <row r="70" spans="1:9">
      <c r="B70" s="1158">
        <v>2</v>
      </c>
      <c r="C70" s="1158" t="s">
        <v>1134</v>
      </c>
    </row>
    <row r="72" spans="1:9">
      <c r="A72" s="1157" t="s">
        <v>1137</v>
      </c>
      <c r="G72" s="1169">
        <f>11*25</f>
        <v>275</v>
      </c>
      <c r="H72" s="1157" t="s">
        <v>1135</v>
      </c>
    </row>
    <row r="73" spans="1:9">
      <c r="A73" s="1157" t="s">
        <v>1138</v>
      </c>
      <c r="G73" s="1170">
        <f>25*17</f>
        <v>425</v>
      </c>
      <c r="H73" s="1158" t="s">
        <v>1136</v>
      </c>
    </row>
    <row r="77" spans="1:9" ht="20.25" customHeight="1">
      <c r="B77" s="3796" t="s">
        <v>855</v>
      </c>
      <c r="C77" s="3797"/>
      <c r="D77" s="3797"/>
      <c r="E77" s="3797"/>
    </row>
    <row r="78" spans="1:9" ht="20.25" customHeight="1">
      <c r="B78" s="3798" t="s">
        <v>1552</v>
      </c>
      <c r="C78" s="3798"/>
      <c r="D78" s="3798" t="s">
        <v>1563</v>
      </c>
      <c r="E78" s="3798"/>
      <c r="I78" s="1158"/>
    </row>
    <row r="79" spans="1:9" ht="20.25" customHeight="1">
      <c r="B79" s="3798" t="s">
        <v>1553</v>
      </c>
      <c r="C79" s="3798"/>
      <c r="D79" s="3798" t="s">
        <v>1562</v>
      </c>
      <c r="E79" s="3798"/>
      <c r="I79" s="1158"/>
    </row>
    <row r="80" spans="1:9" ht="20.25" customHeight="1">
      <c r="B80" s="3798" t="s">
        <v>1554</v>
      </c>
      <c r="C80" s="3798"/>
      <c r="D80" s="3798" t="s">
        <v>1557</v>
      </c>
      <c r="E80" s="3798"/>
    </row>
    <row r="81" spans="2:5" ht="20.25" customHeight="1">
      <c r="B81" s="3798" t="s">
        <v>1555</v>
      </c>
      <c r="C81" s="3798"/>
      <c r="D81" s="3798" t="s">
        <v>1559</v>
      </c>
      <c r="E81" s="3798"/>
    </row>
    <row r="82" spans="2:5" ht="20.25" customHeight="1">
      <c r="B82" s="3798" t="s">
        <v>1556</v>
      </c>
      <c r="C82" s="3798"/>
      <c r="D82" s="3798" t="s">
        <v>1558</v>
      </c>
      <c r="E82" s="3798"/>
    </row>
    <row r="83" spans="2:5" ht="20.25" customHeight="1">
      <c r="B83" s="3798" t="s">
        <v>1560</v>
      </c>
      <c r="C83" s="3798"/>
      <c r="D83" s="3798" t="s">
        <v>1561</v>
      </c>
      <c r="E83" s="3798"/>
    </row>
    <row r="85" spans="2:5">
      <c r="B85" s="1158" t="s">
        <v>855</v>
      </c>
      <c r="C85" s="1175"/>
    </row>
    <row r="86" spans="2:5">
      <c r="B86" s="1158" t="s">
        <v>852</v>
      </c>
      <c r="C86" s="1176"/>
    </row>
    <row r="87" spans="2:5">
      <c r="B87" s="1158" t="s">
        <v>853</v>
      </c>
    </row>
    <row r="88" spans="2:5">
      <c r="B88" s="1158" t="s">
        <v>1119</v>
      </c>
    </row>
    <row r="89" spans="2:5">
      <c r="B89" s="1158" t="s">
        <v>854</v>
      </c>
    </row>
    <row r="91" spans="2:5">
      <c r="B91" s="1158" t="s">
        <v>1565</v>
      </c>
    </row>
    <row r="92" spans="2:5">
      <c r="B92" s="1158" t="s">
        <v>1566</v>
      </c>
    </row>
  </sheetData>
  <mergeCells count="24">
    <mergeCell ref="B77:E77"/>
    <mergeCell ref="B83:C83"/>
    <mergeCell ref="D83:E83"/>
    <mergeCell ref="B80:C80"/>
    <mergeCell ref="B81:C81"/>
    <mergeCell ref="B82:C82"/>
    <mergeCell ref="D80:E80"/>
    <mergeCell ref="D81:E81"/>
    <mergeCell ref="D82:E82"/>
    <mergeCell ref="B79:C79"/>
    <mergeCell ref="B78:C78"/>
    <mergeCell ref="D78:E78"/>
    <mergeCell ref="D79:E79"/>
    <mergeCell ref="B18:E19"/>
    <mergeCell ref="B9:C9"/>
    <mergeCell ref="D9:E9"/>
    <mergeCell ref="F9:G9"/>
    <mergeCell ref="H9:I9"/>
    <mergeCell ref="J9:K9"/>
    <mergeCell ref="B8:C8"/>
    <mergeCell ref="D8:E8"/>
    <mergeCell ref="F8:G8"/>
    <mergeCell ref="H8:I8"/>
    <mergeCell ref="J8:K8"/>
  </mergeCells>
  <phoneticPr fontId="7" type="noConversion"/>
  <pageMargins left="0.7" right="0.7" top="0.75" bottom="0.75" header="0.3" footer="0.3"/>
  <pageSetup paperSize="9" orientation="portrait" verticalDpi="0" r:id="rId1"/>
  <drawing r:id="rId2"/>
</worksheet>
</file>

<file path=xl/worksheets/sheet47.xml><?xml version="1.0" encoding="utf-8"?>
<worksheet xmlns="http://schemas.openxmlformats.org/spreadsheetml/2006/main" xmlns:r="http://schemas.openxmlformats.org/officeDocument/2006/relationships">
  <dimension ref="A1:J11"/>
  <sheetViews>
    <sheetView workbookViewId="0">
      <selection activeCell="B26" sqref="B26"/>
    </sheetView>
  </sheetViews>
  <sheetFormatPr defaultRowHeight="15"/>
  <cols>
    <col min="1" max="1" width="13.5" style="888" customWidth="1"/>
    <col min="2" max="2" width="12.875" style="888" customWidth="1"/>
    <col min="3" max="10" width="12.375" style="888" customWidth="1"/>
    <col min="11" max="16384" width="9" style="888"/>
  </cols>
  <sheetData>
    <row r="1" spans="1:10" ht="32.25" customHeight="1">
      <c r="B1" s="3799" t="s">
        <v>886</v>
      </c>
      <c r="C1" s="3799"/>
      <c r="D1" s="3799"/>
      <c r="E1" s="3799"/>
      <c r="F1" s="3799"/>
      <c r="G1" s="3799"/>
      <c r="H1" s="3799"/>
      <c r="I1" s="3799"/>
      <c r="J1" s="3799"/>
    </row>
    <row r="2" spans="1:10" ht="21" customHeight="1">
      <c r="B2" s="3799" t="s">
        <v>887</v>
      </c>
      <c r="C2" s="3799" t="s">
        <v>888</v>
      </c>
      <c r="D2" s="3799"/>
      <c r="E2" s="3799"/>
      <c r="F2" s="3799"/>
      <c r="G2" s="3799"/>
      <c r="H2" s="3799"/>
      <c r="I2" s="3799"/>
      <c r="J2" s="3799"/>
    </row>
    <row r="3" spans="1:10" ht="21" customHeight="1">
      <c r="B3" s="3799"/>
      <c r="C3" s="889">
        <v>1</v>
      </c>
      <c r="D3" s="889">
        <v>2</v>
      </c>
      <c r="E3" s="889">
        <v>3</v>
      </c>
      <c r="F3" s="889">
        <v>4</v>
      </c>
      <c r="G3" s="889">
        <v>5</v>
      </c>
      <c r="H3" s="889">
        <v>6</v>
      </c>
      <c r="I3" s="889">
        <v>7</v>
      </c>
      <c r="J3" s="889">
        <v>8</v>
      </c>
    </row>
    <row r="4" spans="1:10" ht="21" customHeight="1">
      <c r="A4" s="888" t="s">
        <v>889</v>
      </c>
      <c r="B4" s="890" t="s">
        <v>890</v>
      </c>
      <c r="C4" s="891" t="s">
        <v>891</v>
      </c>
      <c r="D4" s="891" t="s">
        <v>892</v>
      </c>
      <c r="E4" s="891" t="s">
        <v>893</v>
      </c>
      <c r="F4" s="891"/>
      <c r="G4" s="891" t="s">
        <v>894</v>
      </c>
      <c r="H4" s="891" t="s">
        <v>895</v>
      </c>
      <c r="I4" s="891" t="s">
        <v>896</v>
      </c>
      <c r="J4" s="891" t="s">
        <v>897</v>
      </c>
    </row>
    <row r="5" spans="1:10" ht="21" customHeight="1">
      <c r="A5" s="888" t="s">
        <v>889</v>
      </c>
      <c r="B5" s="890" t="s">
        <v>898</v>
      </c>
      <c r="C5" s="891" t="s">
        <v>891</v>
      </c>
      <c r="D5" s="891" t="s">
        <v>892</v>
      </c>
      <c r="E5" s="891" t="s">
        <v>893</v>
      </c>
      <c r="F5" s="891"/>
      <c r="G5" s="891" t="s">
        <v>894</v>
      </c>
      <c r="H5" s="891" t="s">
        <v>895</v>
      </c>
      <c r="I5" s="891" t="s">
        <v>896</v>
      </c>
      <c r="J5" s="891" t="s">
        <v>897</v>
      </c>
    </row>
    <row r="6" spans="1:10" ht="21" customHeight="1">
      <c r="A6" s="888" t="s">
        <v>899</v>
      </c>
      <c r="B6" s="890" t="s">
        <v>900</v>
      </c>
      <c r="C6" s="891" t="s">
        <v>891</v>
      </c>
      <c r="D6" s="891" t="s">
        <v>892</v>
      </c>
      <c r="E6" s="891" t="s">
        <v>893</v>
      </c>
      <c r="F6" s="891"/>
      <c r="G6" s="891" t="s">
        <v>894</v>
      </c>
      <c r="H6" s="891" t="s">
        <v>895</v>
      </c>
      <c r="I6" s="891" t="s">
        <v>896</v>
      </c>
      <c r="J6" s="891" t="s">
        <v>897</v>
      </c>
    </row>
    <row r="7" spans="1:10" ht="21" customHeight="1">
      <c r="A7" s="888" t="s">
        <v>901</v>
      </c>
      <c r="B7" s="890" t="s">
        <v>902</v>
      </c>
      <c r="C7" s="891" t="s">
        <v>891</v>
      </c>
      <c r="D7" s="892"/>
      <c r="E7" s="891" t="s">
        <v>893</v>
      </c>
      <c r="F7" s="891" t="s">
        <v>903</v>
      </c>
      <c r="G7" s="891" t="s">
        <v>894</v>
      </c>
      <c r="H7" s="891"/>
      <c r="I7" s="891" t="s">
        <v>896</v>
      </c>
      <c r="J7" s="891" t="s">
        <v>897</v>
      </c>
    </row>
    <row r="8" spans="1:10" ht="21" customHeight="1">
      <c r="A8" s="888" t="s">
        <v>901</v>
      </c>
      <c r="B8" s="890" t="s">
        <v>904</v>
      </c>
      <c r="C8" s="891" t="s">
        <v>891</v>
      </c>
      <c r="D8" s="892"/>
      <c r="E8" s="891" t="s">
        <v>893</v>
      </c>
      <c r="F8" s="891" t="s">
        <v>903</v>
      </c>
      <c r="G8" s="891" t="s">
        <v>894</v>
      </c>
      <c r="H8" s="891"/>
      <c r="I8" s="891" t="s">
        <v>896</v>
      </c>
      <c r="J8" s="891" t="s">
        <v>897</v>
      </c>
    </row>
    <row r="9" spans="1:10" ht="21" customHeight="1">
      <c r="A9" s="888" t="s">
        <v>901</v>
      </c>
      <c r="B9" s="890" t="s">
        <v>905</v>
      </c>
      <c r="C9" s="891" t="s">
        <v>891</v>
      </c>
      <c r="D9" s="892"/>
      <c r="E9" s="891" t="s">
        <v>893</v>
      </c>
      <c r="F9" s="891" t="s">
        <v>903</v>
      </c>
      <c r="G9" s="891" t="s">
        <v>894</v>
      </c>
      <c r="H9" s="891"/>
      <c r="I9" s="891" t="s">
        <v>896</v>
      </c>
      <c r="J9" s="891" t="s">
        <v>897</v>
      </c>
    </row>
    <row r="10" spans="1:10" ht="21" customHeight="1">
      <c r="A10" s="888" t="s">
        <v>906</v>
      </c>
      <c r="B10" s="890" t="s">
        <v>907</v>
      </c>
      <c r="C10" s="891" t="s">
        <v>891</v>
      </c>
      <c r="D10" s="891"/>
      <c r="E10" s="891"/>
      <c r="F10" s="891"/>
      <c r="G10" s="891" t="s">
        <v>894</v>
      </c>
      <c r="H10" s="891"/>
      <c r="I10" s="891"/>
      <c r="J10" s="891"/>
    </row>
    <row r="11" spans="1:10" ht="21" customHeight="1">
      <c r="A11" s="888" t="s">
        <v>908</v>
      </c>
      <c r="B11" s="890" t="s">
        <v>909</v>
      </c>
      <c r="C11" s="891" t="s">
        <v>891</v>
      </c>
      <c r="D11" s="891"/>
      <c r="E11" s="891"/>
      <c r="F11" s="891" t="s">
        <v>903</v>
      </c>
      <c r="G11" s="891"/>
      <c r="H11" s="891"/>
      <c r="I11" s="891"/>
      <c r="J11" s="891"/>
    </row>
  </sheetData>
  <mergeCells count="3">
    <mergeCell ref="B1:J1"/>
    <mergeCell ref="B2:B3"/>
    <mergeCell ref="C2:J2"/>
  </mergeCells>
  <phoneticPr fontId="7" type="noConversion"/>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heetViews>
  <sheetFormatPr defaultRowHeight="16.5"/>
  <cols>
    <col min="1" max="1" width="11.125" style="312" customWidth="1"/>
    <col min="2" max="2" width="13" style="312" customWidth="1"/>
    <col min="3" max="3" width="33.125" style="312" customWidth="1"/>
    <col min="4" max="5" width="12.625" style="312" customWidth="1"/>
    <col min="6" max="6" width="27.5" style="312" customWidth="1"/>
    <col min="7" max="7" width="12.5" style="790" bestFit="1" customWidth="1"/>
    <col min="8" max="8" width="12.5" style="790" customWidth="1"/>
    <col min="9" max="9" width="12.5" style="791" customWidth="1"/>
    <col min="10" max="10" width="13.375" style="790" bestFit="1" customWidth="1"/>
    <col min="11" max="11" width="13.375" style="790" customWidth="1"/>
    <col min="12" max="12" width="13.375" style="791" customWidth="1"/>
    <col min="13" max="13" width="13.375" style="790" bestFit="1" customWidth="1"/>
    <col min="14" max="14" width="13.375" style="790" customWidth="1"/>
    <col min="15" max="15" width="13.375" style="791" customWidth="1"/>
    <col min="16" max="16" width="15.125" style="790" customWidth="1"/>
    <col min="17" max="17" width="11.75" style="790" customWidth="1"/>
    <col min="18" max="18" width="10.125" style="791" customWidth="1"/>
    <col min="19" max="19" width="10.125" style="790" bestFit="1" customWidth="1"/>
    <col min="20" max="20" width="10.125" style="313" customWidth="1"/>
    <col min="21" max="21" width="10.125" style="309" customWidth="1"/>
    <col min="22" max="22" width="10.125" style="790" bestFit="1" customWidth="1"/>
    <col min="23" max="23" width="10.125" style="313" customWidth="1"/>
    <col min="24" max="24" width="10.125" style="309" customWidth="1"/>
    <col min="25" max="25" width="9" style="309"/>
    <col min="26" max="37" width="9" style="309" hidden="1" customWidth="1"/>
    <col min="38" max="16384" width="9" style="309"/>
  </cols>
  <sheetData>
    <row r="1" spans="1:49" ht="71.45" customHeight="1">
      <c r="A1" s="768" t="s">
        <v>318</v>
      </c>
      <c r="B1" s="768"/>
      <c r="C1" s="768"/>
      <c r="D1" s="768"/>
      <c r="E1" s="768"/>
      <c r="F1" s="768"/>
      <c r="G1" s="786"/>
      <c r="H1" s="786"/>
      <c r="I1" s="786"/>
      <c r="J1" s="786"/>
      <c r="K1" s="786"/>
      <c r="L1" s="786"/>
      <c r="M1" s="786"/>
      <c r="N1" s="786"/>
      <c r="O1" s="786"/>
      <c r="P1" s="786"/>
      <c r="Q1" s="786"/>
      <c r="R1" s="786"/>
      <c r="S1" s="786"/>
      <c r="T1" s="768"/>
      <c r="U1" s="768"/>
      <c r="V1" s="786"/>
      <c r="W1" s="769"/>
      <c r="X1" s="770"/>
    </row>
    <row r="2" spans="1:49" s="314" customFormat="1" ht="15">
      <c r="A2" s="311" t="s">
        <v>319</v>
      </c>
      <c r="B2" s="311" t="s">
        <v>320</v>
      </c>
      <c r="C2" s="311" t="s">
        <v>321</v>
      </c>
      <c r="D2" s="311" t="s">
        <v>322</v>
      </c>
      <c r="E2" s="311" t="s">
        <v>323</v>
      </c>
      <c r="F2" s="311" t="s">
        <v>324</v>
      </c>
      <c r="G2" s="787" t="s">
        <v>325</v>
      </c>
      <c r="H2" s="787" t="s">
        <v>326</v>
      </c>
      <c r="I2" s="788" t="s">
        <v>327</v>
      </c>
      <c r="J2" s="787" t="s">
        <v>328</v>
      </c>
      <c r="K2" s="787" t="s">
        <v>329</v>
      </c>
      <c r="L2" s="788" t="s">
        <v>330</v>
      </c>
      <c r="M2" s="787" t="s">
        <v>331</v>
      </c>
      <c r="N2" s="787" t="s">
        <v>332</v>
      </c>
      <c r="O2" s="788" t="s">
        <v>333</v>
      </c>
      <c r="P2" s="787" t="s">
        <v>334</v>
      </c>
      <c r="Q2" s="787" t="s">
        <v>335</v>
      </c>
      <c r="R2" s="788" t="s">
        <v>336</v>
      </c>
      <c r="S2" s="787" t="s">
        <v>337</v>
      </c>
      <c r="T2" s="310" t="s">
        <v>338</v>
      </c>
      <c r="U2" s="311" t="s">
        <v>339</v>
      </c>
      <c r="V2" s="787" t="s">
        <v>340</v>
      </c>
      <c r="W2" s="310" t="s">
        <v>341</v>
      </c>
      <c r="X2" s="311" t="s">
        <v>342</v>
      </c>
      <c r="Z2" s="781">
        <v>1</v>
      </c>
      <c r="AA2" s="781" t="s">
        <v>831</v>
      </c>
      <c r="AB2" s="781">
        <v>2</v>
      </c>
      <c r="AC2" s="781" t="s">
        <v>831</v>
      </c>
      <c r="AD2" s="781">
        <v>3</v>
      </c>
      <c r="AE2" s="781" t="s">
        <v>831</v>
      </c>
      <c r="AF2" s="781">
        <v>4</v>
      </c>
      <c r="AG2" s="781" t="s">
        <v>831</v>
      </c>
      <c r="AH2" s="781">
        <v>5</v>
      </c>
      <c r="AI2" s="781" t="s">
        <v>831</v>
      </c>
      <c r="AJ2" s="781">
        <v>6</v>
      </c>
      <c r="AK2" s="781" t="s">
        <v>831</v>
      </c>
      <c r="AL2" s="798">
        <v>1</v>
      </c>
      <c r="AM2" s="798" t="s">
        <v>831</v>
      </c>
      <c r="AN2" s="798">
        <v>2</v>
      </c>
      <c r="AO2" s="798" t="s">
        <v>831</v>
      </c>
      <c r="AP2" s="798">
        <v>3</v>
      </c>
      <c r="AQ2" s="798" t="s">
        <v>831</v>
      </c>
      <c r="AR2" s="798">
        <v>4</v>
      </c>
      <c r="AS2" s="798" t="s">
        <v>831</v>
      </c>
      <c r="AT2" s="798">
        <v>5</v>
      </c>
      <c r="AU2" s="798" t="s">
        <v>831</v>
      </c>
      <c r="AV2" s="798">
        <v>6</v>
      </c>
      <c r="AW2" s="798" t="s">
        <v>831</v>
      </c>
    </row>
    <row r="3" spans="1:49" s="314" customFormat="1" ht="15">
      <c r="A3" s="311" t="s">
        <v>343</v>
      </c>
      <c r="B3" s="311" t="s">
        <v>344</v>
      </c>
      <c r="C3" s="311" t="s">
        <v>345</v>
      </c>
      <c r="D3" s="311" t="s">
        <v>346</v>
      </c>
      <c r="E3" s="311" t="s">
        <v>347</v>
      </c>
      <c r="F3" s="311" t="s">
        <v>348</v>
      </c>
      <c r="G3" s="787" t="s">
        <v>349</v>
      </c>
      <c r="H3" s="787" t="s">
        <v>350</v>
      </c>
      <c r="I3" s="788" t="s">
        <v>1</v>
      </c>
      <c r="J3" s="787" t="s">
        <v>351</v>
      </c>
      <c r="K3" s="787"/>
      <c r="L3" s="788" t="s">
        <v>1</v>
      </c>
      <c r="M3" s="787" t="s">
        <v>352</v>
      </c>
      <c r="N3" s="787"/>
      <c r="O3" s="788" t="s">
        <v>1</v>
      </c>
      <c r="P3" s="787" t="s">
        <v>353</v>
      </c>
      <c r="Q3" s="787"/>
      <c r="R3" s="788" t="s">
        <v>1</v>
      </c>
      <c r="S3" s="787" t="s">
        <v>354</v>
      </c>
      <c r="T3" s="310"/>
      <c r="U3" s="311" t="s">
        <v>1</v>
      </c>
      <c r="V3" s="787" t="s">
        <v>355</v>
      </c>
      <c r="W3" s="310"/>
      <c r="X3" s="311" t="s">
        <v>1</v>
      </c>
    </row>
    <row r="4" spans="1:49" s="316" customFormat="1">
      <c r="A4" s="832" t="str">
        <f>'1. XL-1E kh'!G3</f>
        <v>Ca 1,</v>
      </c>
      <c r="B4" s="315" t="s">
        <v>239</v>
      </c>
      <c r="C4" s="315" t="str">
        <f t="shared" ref="C4:C33" si="0">IFERROR(VLOOKUP($B4,_XM_XT_THUCTE,3,0),"")</f>
        <v xml:space="preserve">Xà bông (1)脫脂 </v>
      </c>
      <c r="D4" s="315" t="str">
        <f t="shared" ref="D4:D33" si="1">IFERROR(VLOOKUP($B4,_XM_XT_THUCTE,2,0),"")</f>
        <v>XL-001E</v>
      </c>
      <c r="E4" s="315" t="str">
        <f t="shared" ref="E4:E33" si="2">IFERROR(VLOOKUP($B4,_XM_XT_THUCTE,4,0),"")</f>
        <v>g/L</v>
      </c>
      <c r="F4" s="315" t="str">
        <f t="shared" ref="F4:F33" si="3">IFERROR(VLOOKUP($B4,_XM_XT_THUCTE,5,0),"")</f>
        <v>20~40</v>
      </c>
      <c r="G4" s="784">
        <f t="shared" ref="G4:G33" si="4">IFERROR(VLOOKUP($B4,_XM_XT_THUCTE,8,0),"")</f>
        <v>0</v>
      </c>
      <c r="H4" s="784" t="str">
        <f t="shared" ref="H4:H33" si="5">IFERROR(VLOOKUP($B4,_XM_XT_THUCTE,11,0),"")</f>
        <v>+</v>
      </c>
      <c r="I4" s="789">
        <f t="shared" ref="I4:I33" si="6">IFERROR(VLOOKUP($B4,_XM_XT_THUCTE,12,0),"")</f>
        <v>0</v>
      </c>
      <c r="J4" s="784" t="str">
        <f t="shared" ref="J4:J44" si="7">IFERROR(VLOOKUP($B4,_XM_XT_THUCTE,14,0),"")</f>
        <v>kg</v>
      </c>
      <c r="K4" s="784">
        <f t="shared" ref="K4:K33" si="8">IFERROR(VLOOKUP($B4,_XM_XT_THUCTE,17,0),"")</f>
        <v>80.790000000000006</v>
      </c>
      <c r="L4" s="789" t="str">
        <f t="shared" ref="L4:L33" si="9">IFERROR(VLOOKUP($B4,_XM_XT_THUCTE,18,0),"")</f>
        <v>+</v>
      </c>
      <c r="M4" s="784" t="str">
        <f t="shared" ref="M4:M33" si="10">IFERROR(VLOOKUP($B4,_XM_XT_THUCTE,20,0),"")</f>
        <v/>
      </c>
      <c r="N4" s="784">
        <f t="shared" ref="N4:N33" si="11">IFERROR(VLOOKUP($B4,_XM_XT_THUCTE,23,0),"")</f>
        <v>0</v>
      </c>
      <c r="O4" s="789">
        <f t="shared" ref="O4:O33" si="12">IFERROR(VLOOKUP($B4,_XM_XT_THUCTE,24,0),"")</f>
        <v>80.790000000000006</v>
      </c>
      <c r="P4" s="784">
        <f t="shared" ref="P4:P33" si="13">IFERROR(VLOOKUP($B4,_XM_XT_THUCTE,26,0),"")</f>
        <v>0</v>
      </c>
      <c r="Q4" s="784">
        <f t="shared" ref="Q4:Q33" si="14">IFERROR(VLOOKUP($B4,_XM_XT_THUCTE,29,0),"")</f>
        <v>0</v>
      </c>
      <c r="R4" s="789">
        <f t="shared" ref="R4:R33" si="15">IFERROR(VLOOKUP($B4,_XM_XT_THUCTE,30,0),"")</f>
        <v>0</v>
      </c>
      <c r="S4" s="784" t="str">
        <f t="shared" ref="S4:S33" si="16">IFERROR(VLOOKUP($B4,_XM_XT_THUCTE,32,0),"")</f>
        <v>+</v>
      </c>
      <c r="T4" s="777" t="str">
        <f t="shared" ref="T4:T33" si="17">IFERROR(VLOOKUP($B4,_XM_XT_THUCTE,35,0),"")</f>
        <v>kg</v>
      </c>
      <c r="U4" s="778">
        <f t="shared" ref="U4:U33" si="18">IFERROR(VLOOKUP($B4,_XM_XT_THUCTE,36,0),"")</f>
        <v>5.5</v>
      </c>
      <c r="V4" s="784">
        <f t="shared" ref="V4:V33" si="19">IFERROR(VLOOKUP($B4,_XM_XT_THUCTE,38,0),"")</f>
        <v>21.544</v>
      </c>
      <c r="W4" s="777" t="str">
        <f t="shared" ref="W4:W33" si="20">IFERROR(VLOOKUP($B4,_XM_XT_THUCTE,41,0),"")</f>
        <v>có</v>
      </c>
      <c r="X4" s="778" t="str">
        <f t="shared" ref="X4:X33" si="21">IFERROR(VLOOKUP($B4,_XM_XT_THUCTE,42,0),"")</f>
        <v>kg</v>
      </c>
      <c r="Z4" s="316" t="b">
        <f>ISNUMBER(G4)</f>
        <v>1</v>
      </c>
      <c r="AA4" s="316" t="b">
        <f>ISNUMBER(H4)</f>
        <v>0</v>
      </c>
      <c r="AB4" s="316" t="b">
        <f>ISNUMBER(J4)</f>
        <v>0</v>
      </c>
      <c r="AC4" s="316" t="b">
        <f>ISNUMBER(K4)</f>
        <v>1</v>
      </c>
      <c r="AD4" s="316" t="b">
        <f>ISNUMBER(M4)</f>
        <v>0</v>
      </c>
      <c r="AE4" s="316" t="b">
        <f>ISNUMBER(N4)</f>
        <v>1</v>
      </c>
      <c r="AF4" s="316" t="b">
        <f>ISNUMBER(P4)</f>
        <v>1</v>
      </c>
      <c r="AG4" s="316" t="b">
        <f>ISNUMBER(Q4)</f>
        <v>1</v>
      </c>
      <c r="AH4" s="316" t="b">
        <f>ISNUMBER(S4)</f>
        <v>0</v>
      </c>
      <c r="AI4" s="316" t="b">
        <f>ISNUMBER(T4)</f>
        <v>0</v>
      </c>
      <c r="AJ4" s="316" t="b">
        <f>ISNUMBER(V4)</f>
        <v>1</v>
      </c>
      <c r="AK4" s="316" t="b">
        <f>ISNUMBER(W4)</f>
        <v>0</v>
      </c>
      <c r="AL4" s="808" t="str">
        <f t="shared" ref="AL4:AW4" si="22">IF(Z4=TRUE,"",1)</f>
        <v/>
      </c>
      <c r="AM4" s="809">
        <f t="shared" si="22"/>
        <v>1</v>
      </c>
      <c r="AN4" s="809">
        <f t="shared" si="22"/>
        <v>1</v>
      </c>
      <c r="AO4" s="809" t="str">
        <f t="shared" si="22"/>
        <v/>
      </c>
      <c r="AP4" s="809">
        <f t="shared" si="22"/>
        <v>1</v>
      </c>
      <c r="AQ4" s="809" t="str">
        <f t="shared" si="22"/>
        <v/>
      </c>
      <c r="AR4" s="809" t="str">
        <f t="shared" si="22"/>
        <v/>
      </c>
      <c r="AS4" s="809" t="str">
        <f t="shared" si="22"/>
        <v/>
      </c>
      <c r="AT4" s="809">
        <f t="shared" si="22"/>
        <v>1</v>
      </c>
      <c r="AU4" s="809">
        <f t="shared" si="22"/>
        <v>1</v>
      </c>
      <c r="AV4" s="809" t="str">
        <f t="shared" si="22"/>
        <v/>
      </c>
      <c r="AW4" s="814">
        <f t="shared" si="22"/>
        <v>1</v>
      </c>
    </row>
    <row r="5" spans="1:49" s="316" customFormat="1">
      <c r="A5" s="795" t="str">
        <f>IF(B5="","",$A$4)</f>
        <v>Ca 1,</v>
      </c>
      <c r="B5" s="315" t="s">
        <v>240</v>
      </c>
      <c r="C5" s="315" t="str">
        <f t="shared" si="0"/>
        <v xml:space="preserve">Xà bông (2)脫脂 </v>
      </c>
      <c r="D5" s="315" t="str">
        <f t="shared" si="1"/>
        <v>XL-001E</v>
      </c>
      <c r="E5" s="315" t="str">
        <f t="shared" si="2"/>
        <v>g/L</v>
      </c>
      <c r="F5" s="315" t="str">
        <f t="shared" si="3"/>
        <v>20~40</v>
      </c>
      <c r="G5" s="784">
        <f t="shared" si="4"/>
        <v>0</v>
      </c>
      <c r="H5" s="784" t="str">
        <f t="shared" si="5"/>
        <v>+</v>
      </c>
      <c r="I5" s="789">
        <f t="shared" si="6"/>
        <v>0</v>
      </c>
      <c r="J5" s="784" t="str">
        <f t="shared" si="7"/>
        <v>kg</v>
      </c>
      <c r="K5" s="784">
        <f t="shared" si="8"/>
        <v>99.15</v>
      </c>
      <c r="L5" s="789" t="str">
        <f t="shared" si="9"/>
        <v>+</v>
      </c>
      <c r="M5" s="784" t="str">
        <f t="shared" si="10"/>
        <v/>
      </c>
      <c r="N5" s="784">
        <f t="shared" si="11"/>
        <v>0</v>
      </c>
      <c r="O5" s="789">
        <f t="shared" si="12"/>
        <v>99.15</v>
      </c>
      <c r="P5" s="784">
        <f t="shared" si="13"/>
        <v>0</v>
      </c>
      <c r="Q5" s="784">
        <f t="shared" si="14"/>
        <v>0</v>
      </c>
      <c r="R5" s="789">
        <f t="shared" si="15"/>
        <v>0</v>
      </c>
      <c r="S5" s="784" t="str">
        <f t="shared" si="16"/>
        <v>+</v>
      </c>
      <c r="T5" s="777" t="str">
        <f t="shared" si="17"/>
        <v>kg</v>
      </c>
      <c r="U5" s="778">
        <f t="shared" si="18"/>
        <v>5.8</v>
      </c>
      <c r="V5" s="784">
        <f t="shared" si="19"/>
        <v>22.474000000000004</v>
      </c>
      <c r="W5" s="777" t="str">
        <f t="shared" si="20"/>
        <v>có</v>
      </c>
      <c r="X5" s="778" t="str">
        <f t="shared" si="21"/>
        <v>kg</v>
      </c>
      <c r="Z5" s="316" t="b">
        <f t="shared" ref="Z5:Z68" si="23">ISNUMBER(G5)</f>
        <v>1</v>
      </c>
      <c r="AA5" s="316" t="b">
        <f t="shared" ref="AA5:AA68" si="24">ISNUMBER(H5)</f>
        <v>0</v>
      </c>
      <c r="AB5" s="316" t="b">
        <f t="shared" ref="AB5:AB68" si="25">ISNUMBER(J5)</f>
        <v>0</v>
      </c>
      <c r="AC5" s="316" t="b">
        <f t="shared" ref="AC5:AC68" si="26">ISNUMBER(K5)</f>
        <v>1</v>
      </c>
      <c r="AD5" s="316" t="b">
        <f t="shared" ref="AD5:AD68" si="27">ISNUMBER(M5)</f>
        <v>0</v>
      </c>
      <c r="AE5" s="316" t="b">
        <f t="shared" ref="AE5:AE68" si="28">ISNUMBER(N5)</f>
        <v>1</v>
      </c>
      <c r="AF5" s="316" t="b">
        <f t="shared" ref="AF5:AF68" si="29">ISNUMBER(P5)</f>
        <v>1</v>
      </c>
      <c r="AG5" s="316" t="b">
        <f t="shared" ref="AG5:AG68" si="30">ISNUMBER(Q5)</f>
        <v>1</v>
      </c>
      <c r="AH5" s="316" t="b">
        <f t="shared" ref="AH5:AH68" si="31">ISNUMBER(S5)</f>
        <v>0</v>
      </c>
      <c r="AI5" s="316" t="b">
        <f t="shared" ref="AI5:AI68" si="32">ISNUMBER(T5)</f>
        <v>0</v>
      </c>
      <c r="AJ5" s="316" t="b">
        <f t="shared" ref="AJ5:AJ68" si="33">ISNUMBER(V5)</f>
        <v>1</v>
      </c>
      <c r="AK5" s="316" t="b">
        <f t="shared" ref="AK5:AK68" si="34">ISNUMBER(W5)</f>
        <v>0</v>
      </c>
      <c r="AL5" s="810" t="str">
        <f t="shared" ref="AL5:AL68" si="35">IF(Z5=TRUE,"",1)</f>
        <v/>
      </c>
      <c r="AM5" s="811">
        <f t="shared" ref="AM5:AM68" si="36">IF(AA5=TRUE,"",1)</f>
        <v>1</v>
      </c>
      <c r="AN5" s="811">
        <f t="shared" ref="AN5:AN68" si="37">IF(AB5=TRUE,"",1)</f>
        <v>1</v>
      </c>
      <c r="AO5" s="811" t="str">
        <f t="shared" ref="AO5:AO68" si="38">IF(AC5=TRUE,"",1)</f>
        <v/>
      </c>
      <c r="AP5" s="811">
        <f t="shared" ref="AP5:AP68" si="39">IF(AD5=TRUE,"",1)</f>
        <v>1</v>
      </c>
      <c r="AQ5" s="811" t="str">
        <f t="shared" ref="AQ5:AQ68" si="40">IF(AE5=TRUE,"",1)</f>
        <v/>
      </c>
      <c r="AR5" s="811" t="str">
        <f t="shared" ref="AR5:AR68" si="41">IF(AF5=TRUE,"",1)</f>
        <v/>
      </c>
      <c r="AS5" s="811" t="str">
        <f t="shared" ref="AS5:AS68" si="42">IF(AG5=TRUE,"",1)</f>
        <v/>
      </c>
      <c r="AT5" s="811">
        <f t="shared" ref="AT5:AT68" si="43">IF(AH5=TRUE,"",1)</f>
        <v>1</v>
      </c>
      <c r="AU5" s="811">
        <f t="shared" ref="AU5:AU68" si="44">IF(AI5=TRUE,"",1)</f>
        <v>1</v>
      </c>
      <c r="AV5" s="811" t="str">
        <f t="shared" ref="AV5:AW68" si="45">IF(AJ5=TRUE,"",1)</f>
        <v/>
      </c>
      <c r="AW5" s="815">
        <f t="shared" si="45"/>
        <v>1</v>
      </c>
    </row>
    <row r="6" spans="1:49" s="316" customFormat="1">
      <c r="A6" s="795" t="str">
        <f t="shared" ref="A6:A61" si="46">IF(B6="","",$A$4)</f>
        <v>Ca 1,</v>
      </c>
      <c r="B6" s="315" t="s">
        <v>241</v>
      </c>
      <c r="C6" s="315" t="str">
        <f t="shared" si="0"/>
        <v xml:space="preserve">điện giải(1)+電解  </v>
      </c>
      <c r="D6" s="315" t="str">
        <f t="shared" si="1"/>
        <v>XL-001E</v>
      </c>
      <c r="E6" s="315" t="str">
        <f t="shared" si="2"/>
        <v>g/L</v>
      </c>
      <c r="F6" s="315" t="str">
        <f t="shared" si="3"/>
        <v>60~80</v>
      </c>
      <c r="G6" s="784">
        <f t="shared" si="4"/>
        <v>0</v>
      </c>
      <c r="H6" s="784" t="str">
        <f t="shared" si="5"/>
        <v>+</v>
      </c>
      <c r="I6" s="789">
        <f t="shared" si="6"/>
        <v>0</v>
      </c>
      <c r="J6" s="784" t="str">
        <f t="shared" si="7"/>
        <v>kg</v>
      </c>
      <c r="K6" s="784">
        <f t="shared" si="8"/>
        <v>80.92</v>
      </c>
      <c r="L6" s="789" t="str">
        <f t="shared" si="9"/>
        <v>+</v>
      </c>
      <c r="M6" s="784" t="str">
        <f t="shared" si="10"/>
        <v/>
      </c>
      <c r="N6" s="784">
        <f t="shared" si="11"/>
        <v>0</v>
      </c>
      <c r="O6" s="789">
        <f t="shared" si="12"/>
        <v>80.92</v>
      </c>
      <c r="P6" s="784">
        <f t="shared" si="13"/>
        <v>0</v>
      </c>
      <c r="Q6" s="784">
        <f t="shared" si="14"/>
        <v>0</v>
      </c>
      <c r="R6" s="789">
        <f t="shared" si="15"/>
        <v>0</v>
      </c>
      <c r="S6" s="784" t="str">
        <f t="shared" si="16"/>
        <v>+</v>
      </c>
      <c r="T6" s="777" t="str">
        <f t="shared" si="17"/>
        <v>kg</v>
      </c>
      <c r="U6" s="778">
        <f t="shared" si="18"/>
        <v>17.600000000000001</v>
      </c>
      <c r="V6" s="784">
        <f t="shared" si="19"/>
        <v>-0.46240000000000658</v>
      </c>
      <c r="W6" s="777" t="str">
        <f t="shared" si="20"/>
        <v/>
      </c>
      <c r="X6" s="778" t="str">
        <f t="shared" si="21"/>
        <v>kg</v>
      </c>
      <c r="Z6" s="316" t="b">
        <f t="shared" si="23"/>
        <v>1</v>
      </c>
      <c r="AA6" s="316" t="b">
        <f t="shared" si="24"/>
        <v>0</v>
      </c>
      <c r="AB6" s="316" t="b">
        <f t="shared" si="25"/>
        <v>0</v>
      </c>
      <c r="AC6" s="316" t="b">
        <f t="shared" si="26"/>
        <v>1</v>
      </c>
      <c r="AD6" s="316" t="b">
        <f t="shared" si="27"/>
        <v>0</v>
      </c>
      <c r="AE6" s="316" t="b">
        <f t="shared" si="28"/>
        <v>1</v>
      </c>
      <c r="AF6" s="316" t="b">
        <f t="shared" si="29"/>
        <v>1</v>
      </c>
      <c r="AG6" s="316" t="b">
        <f t="shared" si="30"/>
        <v>1</v>
      </c>
      <c r="AH6" s="316" t="b">
        <f t="shared" si="31"/>
        <v>0</v>
      </c>
      <c r="AI6" s="316" t="b">
        <f t="shared" si="32"/>
        <v>0</v>
      </c>
      <c r="AJ6" s="316" t="b">
        <f t="shared" si="33"/>
        <v>1</v>
      </c>
      <c r="AK6" s="316" t="b">
        <f t="shared" si="34"/>
        <v>0</v>
      </c>
      <c r="AL6" s="810" t="str">
        <f t="shared" si="35"/>
        <v/>
      </c>
      <c r="AM6" s="811">
        <f t="shared" si="36"/>
        <v>1</v>
      </c>
      <c r="AN6" s="811">
        <f t="shared" si="37"/>
        <v>1</v>
      </c>
      <c r="AO6" s="811" t="str">
        <f t="shared" si="38"/>
        <v/>
      </c>
      <c r="AP6" s="811">
        <f t="shared" si="39"/>
        <v>1</v>
      </c>
      <c r="AQ6" s="811" t="str">
        <f t="shared" si="40"/>
        <v/>
      </c>
      <c r="AR6" s="811" t="str">
        <f t="shared" si="41"/>
        <v/>
      </c>
      <c r="AS6" s="811" t="str">
        <f t="shared" si="42"/>
        <v/>
      </c>
      <c r="AT6" s="811">
        <f t="shared" si="43"/>
        <v>1</v>
      </c>
      <c r="AU6" s="811">
        <f t="shared" si="44"/>
        <v>1</v>
      </c>
      <c r="AV6" s="811" t="str">
        <f t="shared" si="45"/>
        <v/>
      </c>
      <c r="AW6" s="815">
        <f t="shared" si="45"/>
        <v>1</v>
      </c>
    </row>
    <row r="7" spans="1:49" s="316" customFormat="1">
      <c r="A7" s="795" t="str">
        <f t="shared" si="46"/>
        <v>Ca 1,</v>
      </c>
      <c r="B7" s="315" t="s">
        <v>242</v>
      </c>
      <c r="C7" s="315" t="str">
        <f t="shared" si="0"/>
        <v xml:space="preserve">điện giải (2)+電解  </v>
      </c>
      <c r="D7" s="315" t="str">
        <f t="shared" si="1"/>
        <v>XL-001E</v>
      </c>
      <c r="E7" s="315" t="str">
        <f t="shared" si="2"/>
        <v>g/L</v>
      </c>
      <c r="F7" s="315" t="str">
        <f t="shared" si="3"/>
        <v>60~80</v>
      </c>
      <c r="G7" s="784">
        <f t="shared" si="4"/>
        <v>0</v>
      </c>
      <c r="H7" s="784" t="str">
        <f t="shared" si="5"/>
        <v>+</v>
      </c>
      <c r="I7" s="789">
        <f t="shared" si="6"/>
        <v>0</v>
      </c>
      <c r="J7" s="784" t="str">
        <f t="shared" si="7"/>
        <v>kg</v>
      </c>
      <c r="K7" s="784">
        <f t="shared" si="8"/>
        <v>102.13</v>
      </c>
      <c r="L7" s="789" t="str">
        <f t="shared" si="9"/>
        <v>+</v>
      </c>
      <c r="M7" s="784" t="str">
        <f t="shared" si="10"/>
        <v/>
      </c>
      <c r="N7" s="784">
        <f t="shared" si="11"/>
        <v>0</v>
      </c>
      <c r="O7" s="789">
        <f t="shared" si="12"/>
        <v>102.13</v>
      </c>
      <c r="P7" s="784">
        <f t="shared" si="13"/>
        <v>0</v>
      </c>
      <c r="Q7" s="784">
        <f t="shared" si="14"/>
        <v>0</v>
      </c>
      <c r="R7" s="789">
        <f t="shared" si="15"/>
        <v>0</v>
      </c>
      <c r="S7" s="784" t="str">
        <f t="shared" si="16"/>
        <v>+</v>
      </c>
      <c r="T7" s="777" t="str">
        <f t="shared" si="17"/>
        <v>kg</v>
      </c>
      <c r="U7" s="778">
        <f t="shared" si="18"/>
        <v>18.5</v>
      </c>
      <c r="V7" s="784">
        <f t="shared" si="19"/>
        <v>-5.8360000000000003</v>
      </c>
      <c r="W7" s="777" t="str">
        <f t="shared" si="20"/>
        <v/>
      </c>
      <c r="X7" s="778" t="str">
        <f t="shared" si="21"/>
        <v>kg</v>
      </c>
      <c r="Z7" s="316" t="b">
        <f t="shared" si="23"/>
        <v>1</v>
      </c>
      <c r="AA7" s="316" t="b">
        <f t="shared" si="24"/>
        <v>0</v>
      </c>
      <c r="AB7" s="316" t="b">
        <f t="shared" si="25"/>
        <v>0</v>
      </c>
      <c r="AC7" s="316" t="b">
        <f t="shared" si="26"/>
        <v>1</v>
      </c>
      <c r="AD7" s="316" t="b">
        <f t="shared" si="27"/>
        <v>0</v>
      </c>
      <c r="AE7" s="316" t="b">
        <f t="shared" si="28"/>
        <v>1</v>
      </c>
      <c r="AF7" s="316" t="b">
        <f t="shared" si="29"/>
        <v>1</v>
      </c>
      <c r="AG7" s="316" t="b">
        <f t="shared" si="30"/>
        <v>1</v>
      </c>
      <c r="AH7" s="316" t="b">
        <f t="shared" si="31"/>
        <v>0</v>
      </c>
      <c r="AI7" s="316" t="b">
        <f t="shared" si="32"/>
        <v>0</v>
      </c>
      <c r="AJ7" s="316" t="b">
        <f t="shared" si="33"/>
        <v>1</v>
      </c>
      <c r="AK7" s="316" t="b">
        <f t="shared" si="34"/>
        <v>0</v>
      </c>
      <c r="AL7" s="810" t="str">
        <f t="shared" si="35"/>
        <v/>
      </c>
      <c r="AM7" s="811">
        <f t="shared" si="36"/>
        <v>1</v>
      </c>
      <c r="AN7" s="811">
        <f t="shared" si="37"/>
        <v>1</v>
      </c>
      <c r="AO7" s="811" t="str">
        <f t="shared" si="38"/>
        <v/>
      </c>
      <c r="AP7" s="811">
        <f t="shared" si="39"/>
        <v>1</v>
      </c>
      <c r="AQ7" s="811" t="str">
        <f t="shared" si="40"/>
        <v/>
      </c>
      <c r="AR7" s="811" t="str">
        <f t="shared" si="41"/>
        <v/>
      </c>
      <c r="AS7" s="811" t="str">
        <f t="shared" si="42"/>
        <v/>
      </c>
      <c r="AT7" s="811">
        <f t="shared" si="43"/>
        <v>1</v>
      </c>
      <c r="AU7" s="811">
        <f t="shared" si="44"/>
        <v>1</v>
      </c>
      <c r="AV7" s="811" t="str">
        <f t="shared" si="45"/>
        <v/>
      </c>
      <c r="AW7" s="815">
        <f t="shared" si="45"/>
        <v>1</v>
      </c>
    </row>
    <row r="8" spans="1:49" s="316" customFormat="1">
      <c r="A8" s="795" t="str">
        <f t="shared" si="46"/>
        <v>Ca 1,</v>
      </c>
      <c r="B8" s="315" t="s">
        <v>243</v>
      </c>
      <c r="C8" s="315" t="str">
        <f t="shared" si="0"/>
        <v>Nồng độ    NaOH
氫氧化鈉</v>
      </c>
      <c r="D8" s="315" t="str">
        <f t="shared" si="1"/>
        <v>XL-001E</v>
      </c>
      <c r="E8" s="315" t="str">
        <f t="shared" si="2"/>
        <v>g/L</v>
      </c>
      <c r="F8" s="315" t="str">
        <f t="shared" si="3"/>
        <v>130 - 150</v>
      </c>
      <c r="G8" s="784">
        <f t="shared" si="4"/>
        <v>0</v>
      </c>
      <c r="H8" s="784" t="str">
        <f t="shared" si="5"/>
        <v>+</v>
      </c>
      <c r="I8" s="789">
        <f t="shared" si="6"/>
        <v>0</v>
      </c>
      <c r="J8" s="784" t="str">
        <f t="shared" si="7"/>
        <v>kg</v>
      </c>
      <c r="K8" s="784">
        <f t="shared" si="8"/>
        <v>2793.14</v>
      </c>
      <c r="L8" s="789" t="str">
        <f t="shared" si="9"/>
        <v>+</v>
      </c>
      <c r="M8" s="784" t="str">
        <f t="shared" si="10"/>
        <v/>
      </c>
      <c r="N8" s="784">
        <f t="shared" si="11"/>
        <v>0</v>
      </c>
      <c r="O8" s="789">
        <f t="shared" si="12"/>
        <v>2793.14</v>
      </c>
      <c r="P8" s="784">
        <f t="shared" si="13"/>
        <v>0</v>
      </c>
      <c r="Q8" s="784">
        <f t="shared" si="14"/>
        <v>0</v>
      </c>
      <c r="R8" s="789">
        <f t="shared" si="15"/>
        <v>0</v>
      </c>
      <c r="S8" s="784" t="str">
        <f t="shared" si="16"/>
        <v>+</v>
      </c>
      <c r="T8" s="777" t="str">
        <f t="shared" si="17"/>
        <v>kg</v>
      </c>
      <c r="U8" s="778">
        <f t="shared" si="18"/>
        <v>17.7</v>
      </c>
      <c r="V8" s="784">
        <f t="shared" si="19"/>
        <v>-31.921599999999884</v>
      </c>
      <c r="W8" s="777" t="str">
        <f t="shared" si="20"/>
        <v/>
      </c>
      <c r="X8" s="778" t="str">
        <f t="shared" si="21"/>
        <v>kg</v>
      </c>
      <c r="Z8" s="316" t="b">
        <f t="shared" si="23"/>
        <v>1</v>
      </c>
      <c r="AA8" s="316" t="b">
        <f t="shared" si="24"/>
        <v>0</v>
      </c>
      <c r="AB8" s="316" t="b">
        <f t="shared" si="25"/>
        <v>0</v>
      </c>
      <c r="AC8" s="316" t="b">
        <f t="shared" si="26"/>
        <v>1</v>
      </c>
      <c r="AD8" s="316" t="b">
        <f t="shared" si="27"/>
        <v>0</v>
      </c>
      <c r="AE8" s="316" t="b">
        <f t="shared" si="28"/>
        <v>1</v>
      </c>
      <c r="AF8" s="316" t="b">
        <f t="shared" si="29"/>
        <v>1</v>
      </c>
      <c r="AG8" s="316" t="b">
        <f t="shared" si="30"/>
        <v>1</v>
      </c>
      <c r="AH8" s="316" t="b">
        <f t="shared" si="31"/>
        <v>0</v>
      </c>
      <c r="AI8" s="316" t="b">
        <f t="shared" si="32"/>
        <v>0</v>
      </c>
      <c r="AJ8" s="316" t="b">
        <f t="shared" si="33"/>
        <v>1</v>
      </c>
      <c r="AK8" s="316" t="b">
        <f t="shared" si="34"/>
        <v>0</v>
      </c>
      <c r="AL8" s="810" t="str">
        <f t="shared" si="35"/>
        <v/>
      </c>
      <c r="AM8" s="811">
        <f t="shared" si="36"/>
        <v>1</v>
      </c>
      <c r="AN8" s="811">
        <f t="shared" si="37"/>
        <v>1</v>
      </c>
      <c r="AO8" s="811" t="str">
        <f t="shared" si="38"/>
        <v/>
      </c>
      <c r="AP8" s="811">
        <f t="shared" si="39"/>
        <v>1</v>
      </c>
      <c r="AQ8" s="811" t="str">
        <f t="shared" si="40"/>
        <v/>
      </c>
      <c r="AR8" s="811" t="str">
        <f t="shared" si="41"/>
        <v/>
      </c>
      <c r="AS8" s="811" t="str">
        <f t="shared" si="42"/>
        <v/>
      </c>
      <c r="AT8" s="811">
        <f t="shared" si="43"/>
        <v>1</v>
      </c>
      <c r="AU8" s="811">
        <f t="shared" si="44"/>
        <v>1</v>
      </c>
      <c r="AV8" s="811" t="str">
        <f t="shared" si="45"/>
        <v/>
      </c>
      <c r="AW8" s="815">
        <f t="shared" si="45"/>
        <v>1</v>
      </c>
    </row>
    <row r="9" spans="1:49" s="316" customFormat="1">
      <c r="A9" s="795" t="str">
        <f t="shared" si="46"/>
        <v>Ca 1,</v>
      </c>
      <c r="B9" s="315" t="s">
        <v>244</v>
      </c>
      <c r="C9" s="315" t="str">
        <f t="shared" si="0"/>
        <v>Nồng độ Zn  鋅
(1 pcs Zn=25kg)</v>
      </c>
      <c r="D9" s="315" t="str">
        <f t="shared" si="1"/>
        <v>XL-001E</v>
      </c>
      <c r="E9" s="315" t="str">
        <f t="shared" si="2"/>
        <v>g/L</v>
      </c>
      <c r="F9" s="315" t="str">
        <f t="shared" si="3"/>
        <v>8~12</v>
      </c>
      <c r="G9" s="784">
        <f t="shared" si="4"/>
        <v>0</v>
      </c>
      <c r="H9" s="784" t="str">
        <f t="shared" si="5"/>
        <v>+</v>
      </c>
      <c r="I9" s="789">
        <f t="shared" si="6"/>
        <v>0</v>
      </c>
      <c r="J9" s="784" t="str">
        <f t="shared" si="7"/>
        <v>kg</v>
      </c>
      <c r="K9" s="784">
        <f t="shared" si="8"/>
        <v>199.51</v>
      </c>
      <c r="L9" s="789" t="str">
        <f t="shared" si="9"/>
        <v>+</v>
      </c>
      <c r="M9" s="784" t="str">
        <f t="shared" si="10"/>
        <v/>
      </c>
      <c r="N9" s="784">
        <f t="shared" si="11"/>
        <v>0</v>
      </c>
      <c r="O9" s="789">
        <f t="shared" si="12"/>
        <v>199.51</v>
      </c>
      <c r="P9" s="784">
        <f t="shared" si="13"/>
        <v>0</v>
      </c>
      <c r="Q9" s="784">
        <f t="shared" si="14"/>
        <v>0</v>
      </c>
      <c r="R9" s="789">
        <f t="shared" si="15"/>
        <v>0</v>
      </c>
      <c r="S9" s="784" t="str">
        <f t="shared" si="16"/>
        <v>+</v>
      </c>
      <c r="T9" s="777" t="str">
        <f t="shared" si="17"/>
        <v>kg</v>
      </c>
      <c r="U9" s="778">
        <f t="shared" si="18"/>
        <v>8.9</v>
      </c>
      <c r="V9" s="784">
        <f t="shared" si="19"/>
        <v>-31.323070000000008</v>
      </c>
      <c r="W9" s="777" t="str">
        <f t="shared" si="20"/>
        <v/>
      </c>
      <c r="X9" s="778" t="str">
        <f t="shared" si="21"/>
        <v>kg</v>
      </c>
      <c r="Z9" s="316" t="b">
        <f t="shared" si="23"/>
        <v>1</v>
      </c>
      <c r="AA9" s="316" t="b">
        <f t="shared" si="24"/>
        <v>0</v>
      </c>
      <c r="AB9" s="316" t="b">
        <f t="shared" si="25"/>
        <v>0</v>
      </c>
      <c r="AC9" s="316" t="b">
        <f t="shared" si="26"/>
        <v>1</v>
      </c>
      <c r="AD9" s="316" t="b">
        <f t="shared" si="27"/>
        <v>0</v>
      </c>
      <c r="AE9" s="316" t="b">
        <f t="shared" si="28"/>
        <v>1</v>
      </c>
      <c r="AF9" s="316" t="b">
        <f t="shared" si="29"/>
        <v>1</v>
      </c>
      <c r="AG9" s="316" t="b">
        <f t="shared" si="30"/>
        <v>1</v>
      </c>
      <c r="AH9" s="316" t="b">
        <f t="shared" si="31"/>
        <v>0</v>
      </c>
      <c r="AI9" s="316" t="b">
        <f t="shared" si="32"/>
        <v>0</v>
      </c>
      <c r="AJ9" s="316" t="b">
        <f t="shared" si="33"/>
        <v>1</v>
      </c>
      <c r="AK9" s="316" t="b">
        <f t="shared" si="34"/>
        <v>0</v>
      </c>
      <c r="AL9" s="810" t="str">
        <f t="shared" si="35"/>
        <v/>
      </c>
      <c r="AM9" s="811">
        <f t="shared" si="36"/>
        <v>1</v>
      </c>
      <c r="AN9" s="811">
        <f t="shared" si="37"/>
        <v>1</v>
      </c>
      <c r="AO9" s="811" t="str">
        <f t="shared" si="38"/>
        <v/>
      </c>
      <c r="AP9" s="811">
        <f t="shared" si="39"/>
        <v>1</v>
      </c>
      <c r="AQ9" s="811" t="str">
        <f t="shared" si="40"/>
        <v/>
      </c>
      <c r="AR9" s="811" t="str">
        <f t="shared" si="41"/>
        <v/>
      </c>
      <c r="AS9" s="811" t="str">
        <f t="shared" si="42"/>
        <v/>
      </c>
      <c r="AT9" s="811">
        <f t="shared" si="43"/>
        <v>1</v>
      </c>
      <c r="AU9" s="811">
        <f t="shared" si="44"/>
        <v>1</v>
      </c>
      <c r="AV9" s="811" t="str">
        <f t="shared" si="45"/>
        <v/>
      </c>
      <c r="AW9" s="815">
        <f t="shared" si="45"/>
        <v>1</v>
      </c>
    </row>
    <row r="10" spans="1:49" s="316" customFormat="1">
      <c r="A10" s="795" t="str">
        <f t="shared" si="46"/>
        <v>Ca 1,</v>
      </c>
      <c r="B10" s="315" t="s">
        <v>250</v>
      </c>
      <c r="C10" s="315" t="str">
        <f t="shared" si="0"/>
        <v>Nồng độ Cr2O3
三價鉻</v>
      </c>
      <c r="D10" s="315" t="str">
        <f t="shared" si="1"/>
        <v>XL-001E</v>
      </c>
      <c r="E10" s="315" t="str">
        <f t="shared" si="2"/>
        <v>%</v>
      </c>
      <c r="F10" s="315" t="str">
        <f t="shared" si="3"/>
        <v xml:space="preserve">12~18 </v>
      </c>
      <c r="G10" s="784">
        <f t="shared" si="4"/>
        <v>0</v>
      </c>
      <c r="H10" s="784" t="str">
        <f t="shared" si="5"/>
        <v>+</v>
      </c>
      <c r="I10" s="789">
        <f t="shared" si="6"/>
        <v>0</v>
      </c>
      <c r="J10" s="784" t="str">
        <f t="shared" si="7"/>
        <v>L</v>
      </c>
      <c r="K10" s="784">
        <f t="shared" si="8"/>
        <v>80.5</v>
      </c>
      <c r="L10" s="789" t="str">
        <f t="shared" si="9"/>
        <v>+</v>
      </c>
      <c r="M10" s="784" t="str">
        <f t="shared" si="10"/>
        <v/>
      </c>
      <c r="N10" s="784">
        <f t="shared" si="11"/>
        <v>0</v>
      </c>
      <c r="O10" s="789">
        <f t="shared" si="12"/>
        <v>80.5</v>
      </c>
      <c r="P10" s="784">
        <f t="shared" si="13"/>
        <v>0</v>
      </c>
      <c r="Q10" s="784">
        <f t="shared" si="14"/>
        <v>0</v>
      </c>
      <c r="R10" s="789">
        <f t="shared" si="15"/>
        <v>0</v>
      </c>
      <c r="S10" s="784" t="str">
        <f t="shared" si="16"/>
        <v>+</v>
      </c>
      <c r="T10" s="777" t="str">
        <f t="shared" si="17"/>
        <v>L</v>
      </c>
      <c r="U10" s="778">
        <f t="shared" si="18"/>
        <v>11.8</v>
      </c>
      <c r="V10" s="784">
        <f t="shared" si="19"/>
        <v>-17.125899280575524</v>
      </c>
      <c r="W10" s="777" t="str">
        <f t="shared" si="20"/>
        <v/>
      </c>
      <c r="X10" s="778" t="str">
        <f t="shared" si="21"/>
        <v>L</v>
      </c>
      <c r="Z10" s="316" t="b">
        <f t="shared" si="23"/>
        <v>1</v>
      </c>
      <c r="AA10" s="316" t="b">
        <f t="shared" si="24"/>
        <v>0</v>
      </c>
      <c r="AB10" s="316" t="b">
        <f t="shared" si="25"/>
        <v>0</v>
      </c>
      <c r="AC10" s="316" t="b">
        <f t="shared" si="26"/>
        <v>1</v>
      </c>
      <c r="AD10" s="316" t="b">
        <f t="shared" si="27"/>
        <v>0</v>
      </c>
      <c r="AE10" s="316" t="b">
        <f t="shared" si="28"/>
        <v>1</v>
      </c>
      <c r="AF10" s="316" t="b">
        <f t="shared" si="29"/>
        <v>1</v>
      </c>
      <c r="AG10" s="316" t="b">
        <f t="shared" si="30"/>
        <v>1</v>
      </c>
      <c r="AH10" s="316" t="b">
        <f t="shared" si="31"/>
        <v>0</v>
      </c>
      <c r="AI10" s="316" t="b">
        <f t="shared" si="32"/>
        <v>0</v>
      </c>
      <c r="AJ10" s="316" t="b">
        <f t="shared" si="33"/>
        <v>1</v>
      </c>
      <c r="AK10" s="316" t="b">
        <f t="shared" si="34"/>
        <v>0</v>
      </c>
      <c r="AL10" s="810" t="str">
        <f t="shared" si="35"/>
        <v/>
      </c>
      <c r="AM10" s="811">
        <f t="shared" si="36"/>
        <v>1</v>
      </c>
      <c r="AN10" s="811">
        <f t="shared" si="37"/>
        <v>1</v>
      </c>
      <c r="AO10" s="811" t="str">
        <f t="shared" si="38"/>
        <v/>
      </c>
      <c r="AP10" s="811">
        <f t="shared" si="39"/>
        <v>1</v>
      </c>
      <c r="AQ10" s="811" t="str">
        <f t="shared" si="40"/>
        <v/>
      </c>
      <c r="AR10" s="811" t="str">
        <f t="shared" si="41"/>
        <v/>
      </c>
      <c r="AS10" s="811" t="str">
        <f t="shared" si="42"/>
        <v/>
      </c>
      <c r="AT10" s="811">
        <f t="shared" si="43"/>
        <v>1</v>
      </c>
      <c r="AU10" s="811">
        <f t="shared" si="44"/>
        <v>1</v>
      </c>
      <c r="AV10" s="811" t="str">
        <f t="shared" si="45"/>
        <v/>
      </c>
      <c r="AW10" s="815">
        <f t="shared" si="45"/>
        <v>1</v>
      </c>
    </row>
    <row r="11" spans="1:49" s="316" customFormat="1">
      <c r="A11" s="795" t="str">
        <f t="shared" si="46"/>
        <v>Ca 1,</v>
      </c>
      <c r="B11" s="315" t="s">
        <v>252</v>
      </c>
      <c r="C11" s="315" t="str">
        <f t="shared" si="0"/>
        <v>Pha mới: 2024/05/22</v>
      </c>
      <c r="D11" s="315" t="str">
        <f t="shared" si="1"/>
        <v>XL-001E</v>
      </c>
      <c r="E11" s="315" t="str">
        <f t="shared" si="2"/>
        <v>pH</v>
      </c>
      <c r="F11" s="315" t="str">
        <f t="shared" si="3"/>
        <v>1.6~2.2</v>
      </c>
      <c r="G11" s="784">
        <f t="shared" si="4"/>
        <v>0</v>
      </c>
      <c r="H11" s="784">
        <f t="shared" si="5"/>
        <v>0</v>
      </c>
      <c r="I11" s="789">
        <f t="shared" si="6"/>
        <v>0</v>
      </c>
      <c r="J11" s="784">
        <f t="shared" si="7"/>
        <v>0</v>
      </c>
      <c r="K11" s="784">
        <f t="shared" si="8"/>
        <v>0</v>
      </c>
      <c r="L11" s="789">
        <f t="shared" si="9"/>
        <v>0</v>
      </c>
      <c r="M11" s="784" t="str">
        <f t="shared" si="10"/>
        <v/>
      </c>
      <c r="N11" s="784">
        <f t="shared" si="11"/>
        <v>0</v>
      </c>
      <c r="O11" s="789">
        <f t="shared" si="12"/>
        <v>0</v>
      </c>
      <c r="P11" s="784">
        <f t="shared" si="13"/>
        <v>0</v>
      </c>
      <c r="Q11" s="784">
        <f t="shared" si="14"/>
        <v>0</v>
      </c>
      <c r="R11" s="789">
        <f t="shared" si="15"/>
        <v>0</v>
      </c>
      <c r="S11" s="784">
        <f t="shared" si="16"/>
        <v>0</v>
      </c>
      <c r="T11" s="777">
        <f t="shared" si="17"/>
        <v>0</v>
      </c>
      <c r="U11" s="778">
        <f t="shared" si="18"/>
        <v>0</v>
      </c>
      <c r="V11" s="784">
        <f t="shared" si="19"/>
        <v>0</v>
      </c>
      <c r="W11" s="777" t="str">
        <f t="shared" si="20"/>
        <v/>
      </c>
      <c r="X11" s="778">
        <f t="shared" si="21"/>
        <v>0</v>
      </c>
      <c r="Z11" s="316" t="b">
        <f t="shared" si="23"/>
        <v>1</v>
      </c>
      <c r="AA11" s="316" t="b">
        <f t="shared" si="24"/>
        <v>1</v>
      </c>
      <c r="AB11" s="316" t="b">
        <f t="shared" si="25"/>
        <v>1</v>
      </c>
      <c r="AC11" s="316" t="b">
        <f t="shared" si="26"/>
        <v>1</v>
      </c>
      <c r="AD11" s="316" t="b">
        <f t="shared" si="27"/>
        <v>0</v>
      </c>
      <c r="AE11" s="316" t="b">
        <f t="shared" si="28"/>
        <v>1</v>
      </c>
      <c r="AF11" s="316" t="b">
        <f t="shared" si="29"/>
        <v>1</v>
      </c>
      <c r="AG11" s="316" t="b">
        <f t="shared" si="30"/>
        <v>1</v>
      </c>
      <c r="AH11" s="316" t="b">
        <f t="shared" si="31"/>
        <v>1</v>
      </c>
      <c r="AI11" s="316" t="b">
        <f t="shared" si="32"/>
        <v>1</v>
      </c>
      <c r="AJ11" s="316" t="b">
        <f t="shared" si="33"/>
        <v>1</v>
      </c>
      <c r="AK11" s="316" t="b">
        <f t="shared" si="34"/>
        <v>0</v>
      </c>
      <c r="AL11" s="810" t="str">
        <f t="shared" si="35"/>
        <v/>
      </c>
      <c r="AM11" s="811" t="str">
        <f t="shared" si="36"/>
        <v/>
      </c>
      <c r="AN11" s="811" t="str">
        <f t="shared" si="37"/>
        <v/>
      </c>
      <c r="AO11" s="811" t="str">
        <f t="shared" si="38"/>
        <v/>
      </c>
      <c r="AP11" s="811">
        <f t="shared" si="39"/>
        <v>1</v>
      </c>
      <c r="AQ11" s="811" t="str">
        <f t="shared" si="40"/>
        <v/>
      </c>
      <c r="AR11" s="811" t="str">
        <f t="shared" si="41"/>
        <v/>
      </c>
      <c r="AS11" s="811" t="str">
        <f t="shared" si="42"/>
        <v/>
      </c>
      <c r="AT11" s="811" t="str">
        <f t="shared" si="43"/>
        <v/>
      </c>
      <c r="AU11" s="811" t="str">
        <f t="shared" si="44"/>
        <v/>
      </c>
      <c r="AV11" s="811" t="str">
        <f t="shared" si="45"/>
        <v/>
      </c>
      <c r="AW11" s="815">
        <f t="shared" si="45"/>
        <v>1</v>
      </c>
    </row>
    <row r="12" spans="1:49" s="316" customFormat="1">
      <c r="A12" s="795" t="str">
        <f t="shared" si="46"/>
        <v>Ca 1,</v>
      </c>
      <c r="B12" s="315" t="s">
        <v>245</v>
      </c>
      <c r="C12" s="315" t="str">
        <f t="shared" si="0"/>
        <v>Nồng độ acid đặc
鹽酸 濃度</v>
      </c>
      <c r="D12" s="315" t="str">
        <f t="shared" si="1"/>
        <v>XL-001E</v>
      </c>
      <c r="E12" s="315" t="str">
        <f t="shared" si="2"/>
        <v>%V/V</v>
      </c>
      <c r="F12" s="315" t="str">
        <f t="shared" si="3"/>
        <v xml:space="preserve">40~50 </v>
      </c>
      <c r="G12" s="784">
        <f t="shared" si="4"/>
        <v>0</v>
      </c>
      <c r="H12" s="784" t="str">
        <f t="shared" si="5"/>
        <v>+</v>
      </c>
      <c r="I12" s="789">
        <f t="shared" si="6"/>
        <v>0</v>
      </c>
      <c r="J12" s="784" t="str">
        <f t="shared" si="7"/>
        <v>L</v>
      </c>
      <c r="K12" s="784">
        <f t="shared" si="8"/>
        <v>954.9</v>
      </c>
      <c r="L12" s="789" t="str">
        <f t="shared" si="9"/>
        <v>+</v>
      </c>
      <c r="M12" s="784" t="str">
        <f t="shared" si="10"/>
        <v/>
      </c>
      <c r="N12" s="784">
        <f t="shared" si="11"/>
        <v>0</v>
      </c>
      <c r="O12" s="789">
        <f t="shared" si="12"/>
        <v>954.9</v>
      </c>
      <c r="P12" s="784">
        <f t="shared" si="13"/>
        <v>0</v>
      </c>
      <c r="Q12" s="784">
        <f t="shared" si="14"/>
        <v>0</v>
      </c>
      <c r="R12" s="789">
        <f t="shared" si="15"/>
        <v>0</v>
      </c>
      <c r="S12" s="784" t="str">
        <f t="shared" si="16"/>
        <v>+</v>
      </c>
      <c r="T12" s="777" t="str">
        <f t="shared" si="17"/>
        <v>L</v>
      </c>
      <c r="U12" s="778">
        <f t="shared" si="18"/>
        <v>3.4</v>
      </c>
      <c r="V12" s="784">
        <f t="shared" si="19"/>
        <v>131.96187500000002</v>
      </c>
      <c r="W12" s="777" t="str">
        <f t="shared" si="20"/>
        <v>có</v>
      </c>
      <c r="X12" s="778" t="str">
        <f t="shared" si="21"/>
        <v>L</v>
      </c>
      <c r="Z12" s="316" t="b">
        <f t="shared" si="23"/>
        <v>1</v>
      </c>
      <c r="AA12" s="316" t="b">
        <f t="shared" si="24"/>
        <v>0</v>
      </c>
      <c r="AB12" s="316" t="b">
        <f t="shared" si="25"/>
        <v>0</v>
      </c>
      <c r="AC12" s="316" t="b">
        <f t="shared" si="26"/>
        <v>1</v>
      </c>
      <c r="AD12" s="316" t="b">
        <f t="shared" si="27"/>
        <v>0</v>
      </c>
      <c r="AE12" s="316" t="b">
        <f t="shared" si="28"/>
        <v>1</v>
      </c>
      <c r="AF12" s="316" t="b">
        <f t="shared" si="29"/>
        <v>1</v>
      </c>
      <c r="AG12" s="316" t="b">
        <f t="shared" si="30"/>
        <v>1</v>
      </c>
      <c r="AH12" s="316" t="b">
        <f t="shared" si="31"/>
        <v>0</v>
      </c>
      <c r="AI12" s="316" t="b">
        <f t="shared" si="32"/>
        <v>0</v>
      </c>
      <c r="AJ12" s="316" t="b">
        <f t="shared" si="33"/>
        <v>1</v>
      </c>
      <c r="AK12" s="316" t="b">
        <f t="shared" si="34"/>
        <v>0</v>
      </c>
      <c r="AL12" s="810" t="str">
        <f t="shared" si="35"/>
        <v/>
      </c>
      <c r="AM12" s="811">
        <f t="shared" si="36"/>
        <v>1</v>
      </c>
      <c r="AN12" s="811">
        <f t="shared" si="37"/>
        <v>1</v>
      </c>
      <c r="AO12" s="811" t="str">
        <f t="shared" si="38"/>
        <v/>
      </c>
      <c r="AP12" s="811">
        <f t="shared" si="39"/>
        <v>1</v>
      </c>
      <c r="AQ12" s="811" t="str">
        <f t="shared" si="40"/>
        <v/>
      </c>
      <c r="AR12" s="811" t="str">
        <f t="shared" si="41"/>
        <v/>
      </c>
      <c r="AS12" s="811" t="str">
        <f t="shared" si="42"/>
        <v/>
      </c>
      <c r="AT12" s="811">
        <f t="shared" si="43"/>
        <v>1</v>
      </c>
      <c r="AU12" s="811">
        <f t="shared" si="44"/>
        <v>1</v>
      </c>
      <c r="AV12" s="811" t="str">
        <f t="shared" si="45"/>
        <v/>
      </c>
      <c r="AW12" s="815">
        <f t="shared" si="45"/>
        <v>1</v>
      </c>
    </row>
    <row r="13" spans="1:49" s="316" customFormat="1">
      <c r="A13" s="795" t="str">
        <f t="shared" si="46"/>
        <v>Ca 1,</v>
      </c>
      <c r="B13" s="315" t="s">
        <v>246</v>
      </c>
      <c r="C13" s="315" t="str">
        <f t="shared" si="0"/>
        <v>Nồng độ acid loãng
稀酸 濃度</v>
      </c>
      <c r="D13" s="315" t="str">
        <f t="shared" si="1"/>
        <v>XL-001E</v>
      </c>
      <c r="E13" s="315" t="str">
        <f t="shared" si="2"/>
        <v>%V/V</v>
      </c>
      <c r="F13" s="315" t="str">
        <f t="shared" si="3"/>
        <v>(22±5) =17~27</v>
      </c>
      <c r="G13" s="784">
        <f t="shared" si="4"/>
        <v>0</v>
      </c>
      <c r="H13" s="784" t="str">
        <f t="shared" si="5"/>
        <v>+</v>
      </c>
      <c r="I13" s="789">
        <f t="shared" si="6"/>
        <v>0</v>
      </c>
      <c r="J13" s="784" t="str">
        <f t="shared" si="7"/>
        <v>L</v>
      </c>
      <c r="K13" s="784">
        <f t="shared" si="8"/>
        <v>134.64000000000001</v>
      </c>
      <c r="L13" s="789" t="str">
        <f t="shared" si="9"/>
        <v>+</v>
      </c>
      <c r="M13" s="784" t="str">
        <f t="shared" si="10"/>
        <v/>
      </c>
      <c r="N13" s="784">
        <f t="shared" si="11"/>
        <v>0</v>
      </c>
      <c r="O13" s="789">
        <f t="shared" si="12"/>
        <v>134.64000000000001</v>
      </c>
      <c r="P13" s="784">
        <f t="shared" si="13"/>
        <v>0</v>
      </c>
      <c r="Q13" s="784">
        <f t="shared" si="14"/>
        <v>0</v>
      </c>
      <c r="R13" s="789">
        <f t="shared" si="15"/>
        <v>0</v>
      </c>
      <c r="S13" s="784" t="str">
        <f t="shared" si="16"/>
        <v>+</v>
      </c>
      <c r="T13" s="777" t="str">
        <f t="shared" si="17"/>
        <v>L</v>
      </c>
      <c r="U13" s="778">
        <f t="shared" si="18"/>
        <v>0</v>
      </c>
      <c r="V13" s="784">
        <f t="shared" si="19"/>
        <v>134.64000000000001</v>
      </c>
      <c r="W13" s="777" t="str">
        <f t="shared" si="20"/>
        <v/>
      </c>
      <c r="X13" s="778" t="str">
        <f t="shared" si="21"/>
        <v>L</v>
      </c>
      <c r="Z13" s="316" t="b">
        <f t="shared" si="23"/>
        <v>1</v>
      </c>
      <c r="AA13" s="316" t="b">
        <f t="shared" si="24"/>
        <v>0</v>
      </c>
      <c r="AB13" s="316" t="b">
        <f t="shared" si="25"/>
        <v>0</v>
      </c>
      <c r="AC13" s="316" t="b">
        <f t="shared" si="26"/>
        <v>1</v>
      </c>
      <c r="AD13" s="316" t="b">
        <f t="shared" si="27"/>
        <v>0</v>
      </c>
      <c r="AE13" s="316" t="b">
        <f t="shared" si="28"/>
        <v>1</v>
      </c>
      <c r="AF13" s="316" t="b">
        <f t="shared" si="29"/>
        <v>1</v>
      </c>
      <c r="AG13" s="316" t="b">
        <f t="shared" si="30"/>
        <v>1</v>
      </c>
      <c r="AH13" s="316" t="b">
        <f t="shared" si="31"/>
        <v>0</v>
      </c>
      <c r="AI13" s="316" t="b">
        <f t="shared" si="32"/>
        <v>0</v>
      </c>
      <c r="AJ13" s="316" t="b">
        <f t="shared" si="33"/>
        <v>1</v>
      </c>
      <c r="AK13" s="316" t="b">
        <f t="shared" si="34"/>
        <v>0</v>
      </c>
      <c r="AL13" s="810" t="str">
        <f t="shared" si="35"/>
        <v/>
      </c>
      <c r="AM13" s="811">
        <f t="shared" si="36"/>
        <v>1</v>
      </c>
      <c r="AN13" s="811">
        <f t="shared" si="37"/>
        <v>1</v>
      </c>
      <c r="AO13" s="811" t="str">
        <f t="shared" si="38"/>
        <v/>
      </c>
      <c r="AP13" s="811">
        <f t="shared" si="39"/>
        <v>1</v>
      </c>
      <c r="AQ13" s="811" t="str">
        <f t="shared" si="40"/>
        <v/>
      </c>
      <c r="AR13" s="811" t="str">
        <f t="shared" si="41"/>
        <v/>
      </c>
      <c r="AS13" s="811" t="str">
        <f t="shared" si="42"/>
        <v/>
      </c>
      <c r="AT13" s="811">
        <f t="shared" si="43"/>
        <v>1</v>
      </c>
      <c r="AU13" s="811">
        <f t="shared" si="44"/>
        <v>1</v>
      </c>
      <c r="AV13" s="811" t="str">
        <f t="shared" si="45"/>
        <v/>
      </c>
      <c r="AW13" s="815">
        <f t="shared" si="45"/>
        <v>1</v>
      </c>
    </row>
    <row r="14" spans="1:49" s="316" customFormat="1">
      <c r="A14" s="795" t="str">
        <f t="shared" si="46"/>
        <v>Ca 1,</v>
      </c>
      <c r="B14" s="315" t="s">
        <v>247</v>
      </c>
      <c r="C14" s="315" t="str">
        <f t="shared" si="0"/>
        <v>Nồng độ HCl hoạt hóa
稀酸活化 濃度</v>
      </c>
      <c r="D14" s="315" t="str">
        <f t="shared" si="1"/>
        <v>XL-001E</v>
      </c>
      <c r="E14" s="315" t="str">
        <f t="shared" si="2"/>
        <v>%V/V</v>
      </c>
      <c r="F14" s="315" t="str">
        <f t="shared" si="3"/>
        <v>5~15</v>
      </c>
      <c r="G14" s="784">
        <f t="shared" si="4"/>
        <v>0</v>
      </c>
      <c r="H14" s="784" t="str">
        <f t="shared" si="5"/>
        <v>+</v>
      </c>
      <c r="I14" s="789">
        <f t="shared" si="6"/>
        <v>0</v>
      </c>
      <c r="J14" s="784" t="str">
        <f t="shared" si="7"/>
        <v>L</v>
      </c>
      <c r="K14" s="784">
        <f t="shared" si="8"/>
        <v>57.5</v>
      </c>
      <c r="L14" s="789" t="str">
        <f t="shared" si="9"/>
        <v>+</v>
      </c>
      <c r="M14" s="784" t="str">
        <f t="shared" si="10"/>
        <v/>
      </c>
      <c r="N14" s="784">
        <f t="shared" si="11"/>
        <v>0</v>
      </c>
      <c r="O14" s="789">
        <f t="shared" si="12"/>
        <v>57.5</v>
      </c>
      <c r="P14" s="784">
        <f t="shared" si="13"/>
        <v>0</v>
      </c>
      <c r="Q14" s="784">
        <f t="shared" si="14"/>
        <v>0</v>
      </c>
      <c r="R14" s="789">
        <f t="shared" si="15"/>
        <v>0</v>
      </c>
      <c r="S14" s="784" t="str">
        <f t="shared" si="16"/>
        <v>+</v>
      </c>
      <c r="T14" s="777" t="str">
        <f t="shared" si="17"/>
        <v>L</v>
      </c>
      <c r="U14" s="778">
        <f t="shared" si="18"/>
        <v>0</v>
      </c>
      <c r="V14" s="784">
        <f t="shared" si="19"/>
        <v>57.5</v>
      </c>
      <c r="W14" s="777" t="str">
        <f t="shared" si="20"/>
        <v/>
      </c>
      <c r="X14" s="778" t="str">
        <f t="shared" si="21"/>
        <v>L</v>
      </c>
      <c r="Z14" s="316" t="b">
        <f t="shared" si="23"/>
        <v>1</v>
      </c>
      <c r="AA14" s="316" t="b">
        <f t="shared" si="24"/>
        <v>0</v>
      </c>
      <c r="AB14" s="316" t="b">
        <f t="shared" si="25"/>
        <v>0</v>
      </c>
      <c r="AC14" s="316" t="b">
        <f t="shared" si="26"/>
        <v>1</v>
      </c>
      <c r="AD14" s="316" t="b">
        <f t="shared" si="27"/>
        <v>0</v>
      </c>
      <c r="AE14" s="316" t="b">
        <f t="shared" si="28"/>
        <v>1</v>
      </c>
      <c r="AF14" s="316" t="b">
        <f t="shared" si="29"/>
        <v>1</v>
      </c>
      <c r="AG14" s="316" t="b">
        <f t="shared" si="30"/>
        <v>1</v>
      </c>
      <c r="AH14" s="316" t="b">
        <f t="shared" si="31"/>
        <v>0</v>
      </c>
      <c r="AI14" s="316" t="b">
        <f t="shared" si="32"/>
        <v>0</v>
      </c>
      <c r="AJ14" s="316" t="b">
        <f t="shared" si="33"/>
        <v>1</v>
      </c>
      <c r="AK14" s="316" t="b">
        <f t="shared" si="34"/>
        <v>0</v>
      </c>
      <c r="AL14" s="810" t="str">
        <f t="shared" si="35"/>
        <v/>
      </c>
      <c r="AM14" s="811">
        <f t="shared" si="36"/>
        <v>1</v>
      </c>
      <c r="AN14" s="811">
        <f t="shared" si="37"/>
        <v>1</v>
      </c>
      <c r="AO14" s="811" t="str">
        <f t="shared" si="38"/>
        <v/>
      </c>
      <c r="AP14" s="811">
        <f t="shared" si="39"/>
        <v>1</v>
      </c>
      <c r="AQ14" s="811" t="str">
        <f t="shared" si="40"/>
        <v/>
      </c>
      <c r="AR14" s="811" t="str">
        <f t="shared" si="41"/>
        <v/>
      </c>
      <c r="AS14" s="811" t="str">
        <f t="shared" si="42"/>
        <v/>
      </c>
      <c r="AT14" s="811">
        <f t="shared" si="43"/>
        <v>1</v>
      </c>
      <c r="AU14" s="811">
        <f t="shared" si="44"/>
        <v>1</v>
      </c>
      <c r="AV14" s="811" t="str">
        <f t="shared" si="45"/>
        <v/>
      </c>
      <c r="AW14" s="815">
        <f t="shared" si="45"/>
        <v>1</v>
      </c>
    </row>
    <row r="15" spans="1:49" s="316" customFormat="1">
      <c r="A15" s="795" t="str">
        <f t="shared" si="46"/>
        <v>Ca 1,</v>
      </c>
      <c r="B15" s="315" t="s">
        <v>248</v>
      </c>
      <c r="C15" s="315" t="str">
        <f t="shared" si="0"/>
        <v>Nồng độ  HNO3
硝酸濃度</v>
      </c>
      <c r="D15" s="315" t="str">
        <f t="shared" si="1"/>
        <v>XL-001E</v>
      </c>
      <c r="E15" s="315" t="str">
        <f t="shared" si="2"/>
        <v>%</v>
      </c>
      <c r="F15" s="315" t="str">
        <f t="shared" si="3"/>
        <v>0.5~1.5</v>
      </c>
      <c r="G15" s="784">
        <f t="shared" si="4"/>
        <v>0</v>
      </c>
      <c r="H15" s="784" t="str">
        <f t="shared" si="5"/>
        <v>+</v>
      </c>
      <c r="I15" s="789">
        <f t="shared" si="6"/>
        <v>0</v>
      </c>
      <c r="J15" s="784" t="str">
        <f t="shared" si="7"/>
        <v>L</v>
      </c>
      <c r="K15" s="784">
        <f t="shared" si="8"/>
        <v>5.3998981151299033</v>
      </c>
      <c r="L15" s="789" t="str">
        <f t="shared" si="9"/>
        <v>+</v>
      </c>
      <c r="M15" s="784" t="str">
        <f t="shared" si="10"/>
        <v/>
      </c>
      <c r="N15" s="784">
        <f t="shared" si="11"/>
        <v>0</v>
      </c>
      <c r="O15" s="789">
        <f t="shared" si="12"/>
        <v>5.3998981151299033</v>
      </c>
      <c r="P15" s="784">
        <f t="shared" si="13"/>
        <v>0</v>
      </c>
      <c r="Q15" s="784">
        <f t="shared" si="14"/>
        <v>0</v>
      </c>
      <c r="R15" s="789">
        <f t="shared" si="15"/>
        <v>0</v>
      </c>
      <c r="S15" s="784" t="str">
        <f t="shared" si="16"/>
        <v>+</v>
      </c>
      <c r="T15" s="777" t="str">
        <f t="shared" si="17"/>
        <v>L</v>
      </c>
      <c r="U15" s="778">
        <f t="shared" si="18"/>
        <v>0</v>
      </c>
      <c r="V15" s="784" t="str">
        <f t="shared" si="19"/>
        <v/>
      </c>
      <c r="W15" s="777" t="str">
        <f t="shared" si="20"/>
        <v/>
      </c>
      <c r="X15" s="778" t="str">
        <f t="shared" si="21"/>
        <v>L</v>
      </c>
      <c r="Z15" s="316" t="b">
        <f t="shared" si="23"/>
        <v>1</v>
      </c>
      <c r="AA15" s="316" t="b">
        <f t="shared" si="24"/>
        <v>0</v>
      </c>
      <c r="AB15" s="316" t="b">
        <f t="shared" si="25"/>
        <v>0</v>
      </c>
      <c r="AC15" s="316" t="b">
        <f t="shared" si="26"/>
        <v>1</v>
      </c>
      <c r="AD15" s="316" t="b">
        <f t="shared" si="27"/>
        <v>0</v>
      </c>
      <c r="AE15" s="316" t="b">
        <f t="shared" si="28"/>
        <v>1</v>
      </c>
      <c r="AF15" s="316" t="b">
        <f t="shared" si="29"/>
        <v>1</v>
      </c>
      <c r="AG15" s="316" t="b">
        <f t="shared" si="30"/>
        <v>1</v>
      </c>
      <c r="AH15" s="316" t="b">
        <f t="shared" si="31"/>
        <v>0</v>
      </c>
      <c r="AI15" s="316" t="b">
        <f t="shared" si="32"/>
        <v>0</v>
      </c>
      <c r="AJ15" s="316" t="b">
        <f t="shared" si="33"/>
        <v>0</v>
      </c>
      <c r="AK15" s="316" t="b">
        <f t="shared" si="34"/>
        <v>0</v>
      </c>
      <c r="AL15" s="810" t="str">
        <f t="shared" si="35"/>
        <v/>
      </c>
      <c r="AM15" s="811">
        <f t="shared" si="36"/>
        <v>1</v>
      </c>
      <c r="AN15" s="811">
        <f t="shared" si="37"/>
        <v>1</v>
      </c>
      <c r="AO15" s="811" t="str">
        <f t="shared" si="38"/>
        <v/>
      </c>
      <c r="AP15" s="811">
        <f t="shared" si="39"/>
        <v>1</v>
      </c>
      <c r="AQ15" s="811" t="str">
        <f t="shared" si="40"/>
        <v/>
      </c>
      <c r="AR15" s="811" t="str">
        <f t="shared" si="41"/>
        <v/>
      </c>
      <c r="AS15" s="811" t="str">
        <f t="shared" si="42"/>
        <v/>
      </c>
      <c r="AT15" s="811">
        <f t="shared" si="43"/>
        <v>1</v>
      </c>
      <c r="AU15" s="811">
        <f t="shared" si="44"/>
        <v>1</v>
      </c>
      <c r="AV15" s="811">
        <f t="shared" si="45"/>
        <v>1</v>
      </c>
      <c r="AW15" s="815">
        <f t="shared" si="45"/>
        <v>1</v>
      </c>
    </row>
    <row r="16" spans="1:49" s="316" customFormat="1">
      <c r="A16" s="795" t="str">
        <f t="shared" si="46"/>
        <v>Ca 1,</v>
      </c>
      <c r="B16" s="315" t="s">
        <v>260</v>
      </c>
      <c r="C16" s="315" t="str">
        <f t="shared" si="0"/>
        <v>chất mềm (merlin starer)
開缸劑</v>
      </c>
      <c r="D16" s="315" t="str">
        <f t="shared" si="1"/>
        <v>XL-001E</v>
      </c>
      <c r="E16" s="315" t="str">
        <f t="shared" si="2"/>
        <v>ml/KAH</v>
      </c>
      <c r="F16" s="315" t="str">
        <f t="shared" si="3"/>
        <v>300-360</v>
      </c>
      <c r="G16" s="784">
        <f t="shared" si="4"/>
        <v>0</v>
      </c>
      <c r="H16" s="784">
        <f t="shared" si="5"/>
        <v>0</v>
      </c>
      <c r="I16" s="789">
        <f t="shared" si="6"/>
        <v>0</v>
      </c>
      <c r="J16" s="784">
        <f t="shared" si="7"/>
        <v>0</v>
      </c>
      <c r="K16" s="784">
        <f t="shared" si="8"/>
        <v>0</v>
      </c>
      <c r="L16" s="789">
        <f t="shared" si="9"/>
        <v>0</v>
      </c>
      <c r="M16" s="784">
        <f t="shared" si="10"/>
        <v>0</v>
      </c>
      <c r="N16" s="784">
        <f t="shared" si="11"/>
        <v>0</v>
      </c>
      <c r="O16" s="789">
        <f t="shared" si="12"/>
        <v>0</v>
      </c>
      <c r="P16" s="784">
        <f t="shared" si="13"/>
        <v>0</v>
      </c>
      <c r="Q16" s="784">
        <f t="shared" si="14"/>
        <v>0</v>
      </c>
      <c r="R16" s="789">
        <f t="shared" si="15"/>
        <v>0</v>
      </c>
      <c r="S16" s="784">
        <f t="shared" si="16"/>
        <v>0</v>
      </c>
      <c r="T16" s="777">
        <f t="shared" si="17"/>
        <v>0</v>
      </c>
      <c r="U16" s="778">
        <f t="shared" si="18"/>
        <v>0</v>
      </c>
      <c r="V16" s="784">
        <f t="shared" si="19"/>
        <v>0</v>
      </c>
      <c r="W16" s="777">
        <f t="shared" si="20"/>
        <v>0</v>
      </c>
      <c r="X16" s="778">
        <f t="shared" si="21"/>
        <v>0</v>
      </c>
      <c r="Z16" s="316" t="b">
        <f t="shared" si="23"/>
        <v>1</v>
      </c>
      <c r="AA16" s="316" t="b">
        <f t="shared" si="24"/>
        <v>1</v>
      </c>
      <c r="AB16" s="316" t="b">
        <f t="shared" si="25"/>
        <v>1</v>
      </c>
      <c r="AC16" s="316" t="b">
        <f t="shared" si="26"/>
        <v>1</v>
      </c>
      <c r="AD16" s="316" t="b">
        <f t="shared" si="27"/>
        <v>1</v>
      </c>
      <c r="AE16" s="316" t="b">
        <f t="shared" si="28"/>
        <v>1</v>
      </c>
      <c r="AF16" s="316" t="b">
        <f t="shared" si="29"/>
        <v>1</v>
      </c>
      <c r="AG16" s="316" t="b">
        <f t="shared" si="30"/>
        <v>1</v>
      </c>
      <c r="AH16" s="316" t="b">
        <f t="shared" si="31"/>
        <v>1</v>
      </c>
      <c r="AI16" s="316" t="b">
        <f t="shared" si="32"/>
        <v>1</v>
      </c>
      <c r="AJ16" s="316" t="b">
        <f t="shared" si="33"/>
        <v>1</v>
      </c>
      <c r="AK16" s="316" t="b">
        <f t="shared" si="34"/>
        <v>1</v>
      </c>
      <c r="AL16" s="810" t="str">
        <f t="shared" si="35"/>
        <v/>
      </c>
      <c r="AM16" s="811" t="str">
        <f t="shared" si="36"/>
        <v/>
      </c>
      <c r="AN16" s="811" t="str">
        <f t="shared" si="37"/>
        <v/>
      </c>
      <c r="AO16" s="811" t="str">
        <f t="shared" si="38"/>
        <v/>
      </c>
      <c r="AP16" s="811" t="str">
        <f t="shared" si="39"/>
        <v/>
      </c>
      <c r="AQ16" s="811" t="str">
        <f t="shared" si="40"/>
        <v/>
      </c>
      <c r="AR16" s="811" t="str">
        <f t="shared" si="41"/>
        <v/>
      </c>
      <c r="AS16" s="811" t="str">
        <f t="shared" si="42"/>
        <v/>
      </c>
      <c r="AT16" s="811" t="str">
        <f t="shared" si="43"/>
        <v/>
      </c>
      <c r="AU16" s="811" t="str">
        <f t="shared" si="44"/>
        <v/>
      </c>
      <c r="AV16" s="811" t="str">
        <f t="shared" si="45"/>
        <v/>
      </c>
      <c r="AW16" s="815" t="str">
        <f t="shared" si="45"/>
        <v/>
      </c>
    </row>
    <row r="17" spans="1:49" s="316" customFormat="1">
      <c r="A17" s="795" t="str">
        <f t="shared" si="46"/>
        <v>Ca 1,</v>
      </c>
      <c r="B17" s="315" t="s">
        <v>261</v>
      </c>
      <c r="C17" s="315" t="str">
        <f t="shared" si="0"/>
        <v>chaát boùng (merlin brightener)
光亮劑</v>
      </c>
      <c r="D17" s="315" t="str">
        <f t="shared" si="1"/>
        <v>XL-001E</v>
      </c>
      <c r="E17" s="315" t="str">
        <f t="shared" si="2"/>
        <v>ml/KAH</v>
      </c>
      <c r="F17" s="315" t="str">
        <f t="shared" si="3"/>
        <v>30-50</v>
      </c>
      <c r="G17" s="784">
        <f t="shared" si="4"/>
        <v>0</v>
      </c>
      <c r="H17" s="784">
        <f t="shared" si="5"/>
        <v>0</v>
      </c>
      <c r="I17" s="789">
        <f t="shared" si="6"/>
        <v>0</v>
      </c>
      <c r="J17" s="784">
        <f t="shared" si="7"/>
        <v>0</v>
      </c>
      <c r="K17" s="784">
        <f t="shared" si="8"/>
        <v>0</v>
      </c>
      <c r="L17" s="789">
        <f t="shared" si="9"/>
        <v>0</v>
      </c>
      <c r="M17" s="784">
        <f t="shared" si="10"/>
        <v>0</v>
      </c>
      <c r="N17" s="784">
        <f t="shared" si="11"/>
        <v>0</v>
      </c>
      <c r="O17" s="789">
        <f t="shared" si="12"/>
        <v>0</v>
      </c>
      <c r="P17" s="784">
        <f t="shared" si="13"/>
        <v>0</v>
      </c>
      <c r="Q17" s="784">
        <f t="shared" si="14"/>
        <v>0</v>
      </c>
      <c r="R17" s="789">
        <f t="shared" si="15"/>
        <v>0</v>
      </c>
      <c r="S17" s="784">
        <f t="shared" si="16"/>
        <v>0</v>
      </c>
      <c r="T17" s="777">
        <f t="shared" si="17"/>
        <v>0</v>
      </c>
      <c r="U17" s="778">
        <f t="shared" si="18"/>
        <v>0</v>
      </c>
      <c r="V17" s="784">
        <f t="shared" si="19"/>
        <v>0</v>
      </c>
      <c r="W17" s="777">
        <f t="shared" si="20"/>
        <v>0</v>
      </c>
      <c r="X17" s="778">
        <f t="shared" si="21"/>
        <v>0</v>
      </c>
      <c r="Z17" s="316" t="b">
        <f t="shared" si="23"/>
        <v>1</v>
      </c>
      <c r="AA17" s="316" t="b">
        <f t="shared" si="24"/>
        <v>1</v>
      </c>
      <c r="AB17" s="316" t="b">
        <f t="shared" si="25"/>
        <v>1</v>
      </c>
      <c r="AC17" s="316" t="b">
        <f t="shared" si="26"/>
        <v>1</v>
      </c>
      <c r="AD17" s="316" t="b">
        <f t="shared" si="27"/>
        <v>1</v>
      </c>
      <c r="AE17" s="316" t="b">
        <f t="shared" si="28"/>
        <v>1</v>
      </c>
      <c r="AF17" s="316" t="b">
        <f t="shared" si="29"/>
        <v>1</v>
      </c>
      <c r="AG17" s="316" t="b">
        <f t="shared" si="30"/>
        <v>1</v>
      </c>
      <c r="AH17" s="316" t="b">
        <f t="shared" si="31"/>
        <v>1</v>
      </c>
      <c r="AI17" s="316" t="b">
        <f t="shared" si="32"/>
        <v>1</v>
      </c>
      <c r="AJ17" s="316" t="b">
        <f t="shared" si="33"/>
        <v>1</v>
      </c>
      <c r="AK17" s="316" t="b">
        <f t="shared" si="34"/>
        <v>1</v>
      </c>
      <c r="AL17" s="810" t="str">
        <f t="shared" si="35"/>
        <v/>
      </c>
      <c r="AM17" s="811" t="str">
        <f t="shared" si="36"/>
        <v/>
      </c>
      <c r="AN17" s="811" t="str">
        <f t="shared" si="37"/>
        <v/>
      </c>
      <c r="AO17" s="811" t="str">
        <f t="shared" si="38"/>
        <v/>
      </c>
      <c r="AP17" s="811" t="str">
        <f t="shared" si="39"/>
        <v/>
      </c>
      <c r="AQ17" s="811" t="str">
        <f t="shared" si="40"/>
        <v/>
      </c>
      <c r="AR17" s="811" t="str">
        <f t="shared" si="41"/>
        <v/>
      </c>
      <c r="AS17" s="811" t="str">
        <f t="shared" si="42"/>
        <v/>
      </c>
      <c r="AT17" s="811" t="str">
        <f t="shared" si="43"/>
        <v/>
      </c>
      <c r="AU17" s="811" t="str">
        <f t="shared" si="44"/>
        <v/>
      </c>
      <c r="AV17" s="811" t="str">
        <f t="shared" si="45"/>
        <v/>
      </c>
      <c r="AW17" s="815" t="str">
        <f t="shared" si="45"/>
        <v/>
      </c>
    </row>
    <row r="18" spans="1:49" s="316" customFormat="1">
      <c r="A18" s="795" t="str">
        <f t="shared" si="46"/>
        <v>Ca 1,</v>
      </c>
      <c r="B18" s="315" t="s">
        <v>262</v>
      </c>
      <c r="C18" s="315" t="str">
        <f t="shared" si="0"/>
        <v>Xà bông (1)脫脂 
 CT-21A</v>
      </c>
      <c r="D18" s="315" t="str">
        <f t="shared" si="1"/>
        <v>XL-001F</v>
      </c>
      <c r="E18" s="315" t="str">
        <f t="shared" si="2"/>
        <v>g/L</v>
      </c>
      <c r="F18" s="315" t="str">
        <f t="shared" si="3"/>
        <v>60~80</v>
      </c>
      <c r="G18" s="784">
        <f t="shared" si="4"/>
        <v>10.85</v>
      </c>
      <c r="H18" s="784" t="str">
        <f t="shared" si="5"/>
        <v>+</v>
      </c>
      <c r="I18" s="789">
        <f t="shared" si="6"/>
        <v>0</v>
      </c>
      <c r="J18" s="784" t="str">
        <f t="shared" si="7"/>
        <v>kg</v>
      </c>
      <c r="K18" s="784">
        <f t="shared" si="8"/>
        <v>-1.1216344999999979</v>
      </c>
      <c r="L18" s="789" t="str">
        <f t="shared" si="9"/>
        <v>+</v>
      </c>
      <c r="M18" s="784" t="str">
        <f t="shared" si="10"/>
        <v/>
      </c>
      <c r="N18" s="784">
        <f t="shared" si="11"/>
        <v>68.144999999999996</v>
      </c>
      <c r="O18" s="789">
        <f t="shared" si="12"/>
        <v>4.9955150000000099</v>
      </c>
      <c r="P18" s="784">
        <f t="shared" si="13"/>
        <v>4.9955150000000099</v>
      </c>
      <c r="Q18" s="784">
        <f t="shared" si="14"/>
        <v>10</v>
      </c>
      <c r="R18" s="789">
        <f t="shared" si="15"/>
        <v>64.900000000000006</v>
      </c>
      <c r="S18" s="784" t="str">
        <f t="shared" si="16"/>
        <v>+</v>
      </c>
      <c r="T18" s="777" t="str">
        <f t="shared" si="17"/>
        <v>kg</v>
      </c>
      <c r="U18" s="778">
        <f t="shared" si="18"/>
        <v>10.6</v>
      </c>
      <c r="V18" s="784">
        <f t="shared" si="19"/>
        <v>3.2477580000000086</v>
      </c>
      <c r="W18" s="777" t="str">
        <f t="shared" si="20"/>
        <v/>
      </c>
      <c r="X18" s="778" t="str">
        <f t="shared" si="21"/>
        <v>kg</v>
      </c>
      <c r="Z18" s="316" t="b">
        <f t="shared" si="23"/>
        <v>1</v>
      </c>
      <c r="AA18" s="316" t="b">
        <f t="shared" si="24"/>
        <v>0</v>
      </c>
      <c r="AB18" s="316" t="b">
        <f t="shared" si="25"/>
        <v>0</v>
      </c>
      <c r="AC18" s="316" t="b">
        <f t="shared" si="26"/>
        <v>1</v>
      </c>
      <c r="AD18" s="316" t="b">
        <f t="shared" si="27"/>
        <v>0</v>
      </c>
      <c r="AE18" s="316" t="b">
        <f t="shared" si="28"/>
        <v>1</v>
      </c>
      <c r="AF18" s="316" t="b">
        <f t="shared" si="29"/>
        <v>1</v>
      </c>
      <c r="AG18" s="316" t="b">
        <f t="shared" si="30"/>
        <v>1</v>
      </c>
      <c r="AH18" s="316" t="b">
        <f t="shared" si="31"/>
        <v>0</v>
      </c>
      <c r="AI18" s="316" t="b">
        <f t="shared" si="32"/>
        <v>0</v>
      </c>
      <c r="AJ18" s="316" t="b">
        <f t="shared" si="33"/>
        <v>1</v>
      </c>
      <c r="AK18" s="316" t="b">
        <f t="shared" si="34"/>
        <v>0</v>
      </c>
      <c r="AL18" s="810" t="str">
        <f t="shared" si="35"/>
        <v/>
      </c>
      <c r="AM18" s="811">
        <f t="shared" si="36"/>
        <v>1</v>
      </c>
      <c r="AN18" s="811">
        <f t="shared" si="37"/>
        <v>1</v>
      </c>
      <c r="AO18" s="811" t="str">
        <f t="shared" si="38"/>
        <v/>
      </c>
      <c r="AP18" s="811">
        <f t="shared" si="39"/>
        <v>1</v>
      </c>
      <c r="AQ18" s="811" t="str">
        <f t="shared" si="40"/>
        <v/>
      </c>
      <c r="AR18" s="811" t="str">
        <f t="shared" si="41"/>
        <v/>
      </c>
      <c r="AS18" s="811" t="str">
        <f t="shared" si="42"/>
        <v/>
      </c>
      <c r="AT18" s="811">
        <f t="shared" si="43"/>
        <v>1</v>
      </c>
      <c r="AU18" s="811">
        <f t="shared" si="44"/>
        <v>1</v>
      </c>
      <c r="AV18" s="811" t="str">
        <f t="shared" si="45"/>
        <v/>
      </c>
      <c r="AW18" s="815">
        <f t="shared" si="45"/>
        <v>1</v>
      </c>
    </row>
    <row r="19" spans="1:49" s="316" customFormat="1">
      <c r="A19" s="795" t="str">
        <f t="shared" si="46"/>
        <v>Ca 1,</v>
      </c>
      <c r="B19" s="315" t="s">
        <v>263</v>
      </c>
      <c r="C19" s="315" t="str">
        <f t="shared" si="0"/>
        <v>Xà bông (2)脫脂 
 CT-21A</v>
      </c>
      <c r="D19" s="315" t="str">
        <f t="shared" si="1"/>
        <v>XL-001F</v>
      </c>
      <c r="E19" s="315" t="str">
        <f t="shared" si="2"/>
        <v>g/L</v>
      </c>
      <c r="F19" s="315" t="str">
        <f t="shared" si="3"/>
        <v>60~80</v>
      </c>
      <c r="G19" s="784">
        <f t="shared" si="4"/>
        <v>11.2</v>
      </c>
      <c r="H19" s="784" t="str">
        <f t="shared" si="5"/>
        <v>+</v>
      </c>
      <c r="I19" s="789">
        <f t="shared" si="6"/>
        <v>0</v>
      </c>
      <c r="J19" s="784" t="str">
        <f t="shared" si="7"/>
        <v>kg</v>
      </c>
      <c r="K19" s="784">
        <f t="shared" si="8"/>
        <v>-8.8838400000000082</v>
      </c>
      <c r="L19" s="789" t="str">
        <f t="shared" si="9"/>
        <v>+</v>
      </c>
      <c r="M19" s="784" t="str">
        <f t="shared" si="10"/>
        <v/>
      </c>
      <c r="N19" s="784">
        <f t="shared" si="11"/>
        <v>71.714500000000001</v>
      </c>
      <c r="O19" s="789">
        <f t="shared" si="12"/>
        <v>-5.666422500000003</v>
      </c>
      <c r="P19" s="784">
        <f t="shared" si="13"/>
        <v>0</v>
      </c>
      <c r="Q19" s="784">
        <f t="shared" si="14"/>
        <v>10.9</v>
      </c>
      <c r="R19" s="789">
        <f t="shared" si="15"/>
        <v>70.741</v>
      </c>
      <c r="S19" s="784" t="str">
        <f t="shared" si="16"/>
        <v>+</v>
      </c>
      <c r="T19" s="777" t="str">
        <f t="shared" si="17"/>
        <v>kg</v>
      </c>
      <c r="U19" s="778">
        <f t="shared" si="18"/>
        <v>11</v>
      </c>
      <c r="V19" s="784">
        <f t="shared" si="19"/>
        <v>-4.5939500000000013</v>
      </c>
      <c r="W19" s="777" t="str">
        <f t="shared" si="20"/>
        <v/>
      </c>
      <c r="X19" s="778" t="str">
        <f t="shared" si="21"/>
        <v>kg</v>
      </c>
      <c r="Z19" s="316" t="b">
        <f t="shared" si="23"/>
        <v>1</v>
      </c>
      <c r="AA19" s="316" t="b">
        <f t="shared" si="24"/>
        <v>0</v>
      </c>
      <c r="AB19" s="316" t="b">
        <f t="shared" si="25"/>
        <v>0</v>
      </c>
      <c r="AC19" s="316" t="b">
        <f t="shared" si="26"/>
        <v>1</v>
      </c>
      <c r="AD19" s="316" t="b">
        <f t="shared" si="27"/>
        <v>0</v>
      </c>
      <c r="AE19" s="316" t="b">
        <f t="shared" si="28"/>
        <v>1</v>
      </c>
      <c r="AF19" s="316" t="b">
        <f t="shared" si="29"/>
        <v>1</v>
      </c>
      <c r="AG19" s="316" t="b">
        <f t="shared" si="30"/>
        <v>1</v>
      </c>
      <c r="AH19" s="316" t="b">
        <f t="shared" si="31"/>
        <v>0</v>
      </c>
      <c r="AI19" s="316" t="b">
        <f t="shared" si="32"/>
        <v>0</v>
      </c>
      <c r="AJ19" s="316" t="b">
        <f t="shared" si="33"/>
        <v>1</v>
      </c>
      <c r="AK19" s="316" t="b">
        <f t="shared" si="34"/>
        <v>0</v>
      </c>
      <c r="AL19" s="810" t="str">
        <f t="shared" si="35"/>
        <v/>
      </c>
      <c r="AM19" s="811">
        <f t="shared" si="36"/>
        <v>1</v>
      </c>
      <c r="AN19" s="811">
        <f t="shared" si="37"/>
        <v>1</v>
      </c>
      <c r="AO19" s="811" t="str">
        <f t="shared" si="38"/>
        <v/>
      </c>
      <c r="AP19" s="811">
        <f t="shared" si="39"/>
        <v>1</v>
      </c>
      <c r="AQ19" s="811" t="str">
        <f t="shared" si="40"/>
        <v/>
      </c>
      <c r="AR19" s="811" t="str">
        <f t="shared" si="41"/>
        <v/>
      </c>
      <c r="AS19" s="811" t="str">
        <f t="shared" si="42"/>
        <v/>
      </c>
      <c r="AT19" s="811">
        <f t="shared" si="43"/>
        <v>1</v>
      </c>
      <c r="AU19" s="811">
        <f t="shared" si="44"/>
        <v>1</v>
      </c>
      <c r="AV19" s="811" t="str">
        <f t="shared" si="45"/>
        <v/>
      </c>
      <c r="AW19" s="815">
        <f t="shared" si="45"/>
        <v>1</v>
      </c>
    </row>
    <row r="20" spans="1:49" s="316" customFormat="1">
      <c r="A20" s="795" t="str">
        <f t="shared" si="46"/>
        <v>Ca 1,</v>
      </c>
      <c r="B20" s="315" t="s">
        <v>264</v>
      </c>
      <c r="C20" s="315" t="str">
        <f t="shared" si="0"/>
        <v>điện giải(1)+電解 
EC-508A</v>
      </c>
      <c r="D20" s="315" t="str">
        <f t="shared" si="1"/>
        <v>XL-001F</v>
      </c>
      <c r="E20" s="315" t="str">
        <f t="shared" si="2"/>
        <v>g/L</v>
      </c>
      <c r="F20" s="315" t="str">
        <f t="shared" si="3"/>
        <v>50~70</v>
      </c>
      <c r="G20" s="784">
        <f t="shared" si="4"/>
        <v>13.55</v>
      </c>
      <c r="H20" s="784" t="str">
        <f t="shared" si="5"/>
        <v>+</v>
      </c>
      <c r="I20" s="789">
        <f t="shared" si="6"/>
        <v>0</v>
      </c>
      <c r="J20" s="784" t="str">
        <f t="shared" si="7"/>
        <v>kg</v>
      </c>
      <c r="K20" s="784">
        <f t="shared" si="8"/>
        <v>-3.5408280000000025</v>
      </c>
      <c r="L20" s="789" t="str">
        <f t="shared" si="9"/>
        <v>+</v>
      </c>
      <c r="M20" s="784" t="str">
        <f t="shared" si="10"/>
        <v/>
      </c>
      <c r="N20" s="784">
        <f t="shared" si="11"/>
        <v>64.680000000000007</v>
      </c>
      <c r="O20" s="789">
        <f t="shared" si="12"/>
        <v>-5.4100800000000078</v>
      </c>
      <c r="P20" s="784">
        <f t="shared" si="13"/>
        <v>0</v>
      </c>
      <c r="Q20" s="784">
        <f t="shared" si="14"/>
        <v>13.7</v>
      </c>
      <c r="R20" s="789">
        <f t="shared" si="15"/>
        <v>63.293999999999997</v>
      </c>
      <c r="S20" s="784" t="str">
        <f t="shared" si="16"/>
        <v>+</v>
      </c>
      <c r="T20" s="777" t="str">
        <f t="shared" si="17"/>
        <v>kg</v>
      </c>
      <c r="U20" s="778">
        <f t="shared" si="18"/>
        <v>13.5</v>
      </c>
      <c r="V20" s="784">
        <f t="shared" si="19"/>
        <v>-2.739720000000005</v>
      </c>
      <c r="W20" s="777" t="str">
        <f t="shared" si="20"/>
        <v/>
      </c>
      <c r="X20" s="778" t="str">
        <f t="shared" si="21"/>
        <v>kg</v>
      </c>
      <c r="Z20" s="316" t="b">
        <f t="shared" si="23"/>
        <v>1</v>
      </c>
      <c r="AA20" s="316" t="b">
        <f t="shared" si="24"/>
        <v>0</v>
      </c>
      <c r="AB20" s="316" t="b">
        <f t="shared" si="25"/>
        <v>0</v>
      </c>
      <c r="AC20" s="316" t="b">
        <f t="shared" si="26"/>
        <v>1</v>
      </c>
      <c r="AD20" s="316" t="b">
        <f t="shared" si="27"/>
        <v>0</v>
      </c>
      <c r="AE20" s="316" t="b">
        <f t="shared" si="28"/>
        <v>1</v>
      </c>
      <c r="AF20" s="316" t="b">
        <f t="shared" si="29"/>
        <v>1</v>
      </c>
      <c r="AG20" s="316" t="b">
        <f t="shared" si="30"/>
        <v>1</v>
      </c>
      <c r="AH20" s="316" t="b">
        <f t="shared" si="31"/>
        <v>0</v>
      </c>
      <c r="AI20" s="316" t="b">
        <f t="shared" si="32"/>
        <v>0</v>
      </c>
      <c r="AJ20" s="316" t="b">
        <f t="shared" si="33"/>
        <v>1</v>
      </c>
      <c r="AK20" s="316" t="b">
        <f t="shared" si="34"/>
        <v>0</v>
      </c>
      <c r="AL20" s="810" t="str">
        <f t="shared" si="35"/>
        <v/>
      </c>
      <c r="AM20" s="811">
        <f t="shared" si="36"/>
        <v>1</v>
      </c>
      <c r="AN20" s="811">
        <f t="shared" si="37"/>
        <v>1</v>
      </c>
      <c r="AO20" s="811" t="str">
        <f t="shared" si="38"/>
        <v/>
      </c>
      <c r="AP20" s="811">
        <f t="shared" si="39"/>
        <v>1</v>
      </c>
      <c r="AQ20" s="811" t="str">
        <f t="shared" si="40"/>
        <v/>
      </c>
      <c r="AR20" s="811" t="str">
        <f t="shared" si="41"/>
        <v/>
      </c>
      <c r="AS20" s="811" t="str">
        <f t="shared" si="42"/>
        <v/>
      </c>
      <c r="AT20" s="811">
        <f t="shared" si="43"/>
        <v>1</v>
      </c>
      <c r="AU20" s="811">
        <f t="shared" si="44"/>
        <v>1</v>
      </c>
      <c r="AV20" s="811" t="str">
        <f t="shared" si="45"/>
        <v/>
      </c>
      <c r="AW20" s="815">
        <f t="shared" si="45"/>
        <v>1</v>
      </c>
    </row>
    <row r="21" spans="1:49" s="316" customFormat="1">
      <c r="A21" s="795" t="str">
        <f t="shared" si="46"/>
        <v>Ca 1,</v>
      </c>
      <c r="B21" s="315" t="s">
        <v>265</v>
      </c>
      <c r="C21" s="315" t="str">
        <f t="shared" si="0"/>
        <v xml:space="preserve">điện giải (2)+電解 
EC-508A
 </v>
      </c>
      <c r="D21" s="315" t="str">
        <f t="shared" si="1"/>
        <v>XL-001F</v>
      </c>
      <c r="E21" s="315" t="str">
        <f t="shared" si="2"/>
        <v>g/L</v>
      </c>
      <c r="F21" s="315" t="str">
        <f t="shared" si="3"/>
        <v>50~70</v>
      </c>
      <c r="G21" s="784">
        <f t="shared" si="4"/>
        <v>13.45</v>
      </c>
      <c r="H21" s="784" t="str">
        <f t="shared" si="5"/>
        <v>+</v>
      </c>
      <c r="I21" s="789">
        <f t="shared" si="6"/>
        <v>0</v>
      </c>
      <c r="J21" s="784" t="str">
        <f t="shared" si="7"/>
        <v>kg</v>
      </c>
      <c r="K21" s="784">
        <f t="shared" si="8"/>
        <v>-0.42456900000000569</v>
      </c>
      <c r="L21" s="789" t="str">
        <f t="shared" si="9"/>
        <v>+</v>
      </c>
      <c r="M21" s="784" t="str">
        <f t="shared" si="10"/>
        <v/>
      </c>
      <c r="N21" s="784">
        <f t="shared" si="11"/>
        <v>60.06</v>
      </c>
      <c r="O21" s="789">
        <f t="shared" si="12"/>
        <v>-8.7540000000003323E-2</v>
      </c>
      <c r="P21" s="784">
        <f t="shared" si="13"/>
        <v>0</v>
      </c>
      <c r="Q21" s="784">
        <f t="shared" si="14"/>
        <v>11.8</v>
      </c>
      <c r="R21" s="789">
        <f t="shared" si="15"/>
        <v>54.516000000000005</v>
      </c>
      <c r="S21" s="784" t="str">
        <f t="shared" si="16"/>
        <v>+</v>
      </c>
      <c r="T21" s="777" t="str">
        <f t="shared" si="17"/>
        <v>kg</v>
      </c>
      <c r="U21" s="778">
        <f t="shared" si="18"/>
        <v>14.5</v>
      </c>
      <c r="V21" s="784">
        <f t="shared" si="19"/>
        <v>-10.198409999999992</v>
      </c>
      <c r="W21" s="777" t="str">
        <f t="shared" si="20"/>
        <v/>
      </c>
      <c r="X21" s="778" t="str">
        <f t="shared" si="21"/>
        <v>kg</v>
      </c>
      <c r="Z21" s="316" t="b">
        <f t="shared" si="23"/>
        <v>1</v>
      </c>
      <c r="AA21" s="316" t="b">
        <f t="shared" si="24"/>
        <v>0</v>
      </c>
      <c r="AB21" s="316" t="b">
        <f t="shared" si="25"/>
        <v>0</v>
      </c>
      <c r="AC21" s="316" t="b">
        <f t="shared" si="26"/>
        <v>1</v>
      </c>
      <c r="AD21" s="316" t="b">
        <f t="shared" si="27"/>
        <v>0</v>
      </c>
      <c r="AE21" s="316" t="b">
        <f t="shared" si="28"/>
        <v>1</v>
      </c>
      <c r="AF21" s="316" t="b">
        <f t="shared" si="29"/>
        <v>1</v>
      </c>
      <c r="AG21" s="316" t="b">
        <f t="shared" si="30"/>
        <v>1</v>
      </c>
      <c r="AH21" s="316" t="b">
        <f t="shared" si="31"/>
        <v>0</v>
      </c>
      <c r="AI21" s="316" t="b">
        <f t="shared" si="32"/>
        <v>0</v>
      </c>
      <c r="AJ21" s="316" t="b">
        <f t="shared" si="33"/>
        <v>1</v>
      </c>
      <c r="AK21" s="316" t="b">
        <f t="shared" si="34"/>
        <v>0</v>
      </c>
      <c r="AL21" s="810" t="str">
        <f t="shared" si="35"/>
        <v/>
      </c>
      <c r="AM21" s="811">
        <f t="shared" si="36"/>
        <v>1</v>
      </c>
      <c r="AN21" s="811">
        <f t="shared" si="37"/>
        <v>1</v>
      </c>
      <c r="AO21" s="811" t="str">
        <f t="shared" si="38"/>
        <v/>
      </c>
      <c r="AP21" s="811">
        <f t="shared" si="39"/>
        <v>1</v>
      </c>
      <c r="AQ21" s="811" t="str">
        <f t="shared" si="40"/>
        <v/>
      </c>
      <c r="AR21" s="811" t="str">
        <f t="shared" si="41"/>
        <v/>
      </c>
      <c r="AS21" s="811" t="str">
        <f t="shared" si="42"/>
        <v/>
      </c>
      <c r="AT21" s="811">
        <f t="shared" si="43"/>
        <v>1</v>
      </c>
      <c r="AU21" s="811">
        <f t="shared" si="44"/>
        <v>1</v>
      </c>
      <c r="AV21" s="811" t="str">
        <f t="shared" si="45"/>
        <v/>
      </c>
      <c r="AW21" s="815">
        <f t="shared" si="45"/>
        <v>1</v>
      </c>
    </row>
    <row r="22" spans="1:49" s="316" customFormat="1">
      <c r="A22" s="795" t="str">
        <f t="shared" si="46"/>
        <v>Ca 1,</v>
      </c>
      <c r="B22" s="315" t="s">
        <v>266</v>
      </c>
      <c r="C22" s="315" t="str">
        <f t="shared" si="0"/>
        <v>Nồng độ    NaOH
氫氧化鈉</v>
      </c>
      <c r="D22" s="315" t="str">
        <f t="shared" si="1"/>
        <v>XL-001F</v>
      </c>
      <c r="E22" s="315" t="str">
        <f t="shared" si="2"/>
        <v>g/L</v>
      </c>
      <c r="F22" s="315" t="str">
        <f t="shared" si="3"/>
        <v>130 - 150</v>
      </c>
      <c r="G22" s="784">
        <f t="shared" si="4"/>
        <v>18</v>
      </c>
      <c r="H22" s="784" t="str">
        <f t="shared" si="5"/>
        <v>+</v>
      </c>
      <c r="I22" s="789">
        <f t="shared" si="6"/>
        <v>0</v>
      </c>
      <c r="J22" s="784" t="str">
        <f t="shared" si="7"/>
        <v>kg</v>
      </c>
      <c r="K22" s="784">
        <f t="shared" si="8"/>
        <v>-31.921599999999884</v>
      </c>
      <c r="L22" s="789" t="str">
        <f t="shared" si="9"/>
        <v>+</v>
      </c>
      <c r="M22" s="784" t="str">
        <f t="shared" si="10"/>
        <v/>
      </c>
      <c r="N22" s="784">
        <f t="shared" si="11"/>
        <v>141.19999999999999</v>
      </c>
      <c r="O22" s="789">
        <f t="shared" si="12"/>
        <v>-23.941199999999771</v>
      </c>
      <c r="P22" s="784">
        <f t="shared" si="13"/>
        <v>0</v>
      </c>
      <c r="Q22" s="784">
        <f t="shared" si="14"/>
        <v>17.600000000000001</v>
      </c>
      <c r="R22" s="789">
        <f t="shared" si="15"/>
        <v>140.80000000000001</v>
      </c>
      <c r="S22" s="784" t="str">
        <f t="shared" si="16"/>
        <v>+</v>
      </c>
      <c r="T22" s="777" t="str">
        <f t="shared" si="17"/>
        <v>kg</v>
      </c>
      <c r="U22" s="778">
        <f t="shared" si="18"/>
        <v>17.7</v>
      </c>
      <c r="V22" s="784">
        <f t="shared" si="19"/>
        <v>-31.921599999999884</v>
      </c>
      <c r="W22" s="777" t="str">
        <f t="shared" si="20"/>
        <v/>
      </c>
      <c r="X22" s="778" t="str">
        <f t="shared" si="21"/>
        <v>kg</v>
      </c>
      <c r="Z22" s="316" t="b">
        <f t="shared" si="23"/>
        <v>1</v>
      </c>
      <c r="AA22" s="316" t="b">
        <f t="shared" si="24"/>
        <v>0</v>
      </c>
      <c r="AB22" s="316" t="b">
        <f t="shared" si="25"/>
        <v>0</v>
      </c>
      <c r="AC22" s="316" t="b">
        <f t="shared" si="26"/>
        <v>1</v>
      </c>
      <c r="AD22" s="316" t="b">
        <f t="shared" si="27"/>
        <v>0</v>
      </c>
      <c r="AE22" s="316" t="b">
        <f t="shared" si="28"/>
        <v>1</v>
      </c>
      <c r="AF22" s="316" t="b">
        <f t="shared" si="29"/>
        <v>1</v>
      </c>
      <c r="AG22" s="316" t="b">
        <f t="shared" si="30"/>
        <v>1</v>
      </c>
      <c r="AH22" s="316" t="b">
        <f t="shared" si="31"/>
        <v>0</v>
      </c>
      <c r="AI22" s="316" t="b">
        <f t="shared" si="32"/>
        <v>0</v>
      </c>
      <c r="AJ22" s="316" t="b">
        <f t="shared" si="33"/>
        <v>1</v>
      </c>
      <c r="AK22" s="316" t="b">
        <f t="shared" si="34"/>
        <v>0</v>
      </c>
      <c r="AL22" s="810" t="str">
        <f t="shared" si="35"/>
        <v/>
      </c>
      <c r="AM22" s="811">
        <f t="shared" si="36"/>
        <v>1</v>
      </c>
      <c r="AN22" s="811">
        <f t="shared" si="37"/>
        <v>1</v>
      </c>
      <c r="AO22" s="811" t="str">
        <f t="shared" si="38"/>
        <v/>
      </c>
      <c r="AP22" s="811">
        <f t="shared" si="39"/>
        <v>1</v>
      </c>
      <c r="AQ22" s="811" t="str">
        <f t="shared" si="40"/>
        <v/>
      </c>
      <c r="AR22" s="811" t="str">
        <f t="shared" si="41"/>
        <v/>
      </c>
      <c r="AS22" s="811" t="str">
        <f t="shared" si="42"/>
        <v/>
      </c>
      <c r="AT22" s="811">
        <f t="shared" si="43"/>
        <v>1</v>
      </c>
      <c r="AU22" s="811">
        <f t="shared" si="44"/>
        <v>1</v>
      </c>
      <c r="AV22" s="811" t="str">
        <f t="shared" si="45"/>
        <v/>
      </c>
      <c r="AW22" s="815">
        <f t="shared" si="45"/>
        <v>1</v>
      </c>
    </row>
    <row r="23" spans="1:49" s="316" customFormat="1">
      <c r="A23" s="795" t="str">
        <f t="shared" si="46"/>
        <v>Ca 1,</v>
      </c>
      <c r="B23" s="315" t="s">
        <v>267</v>
      </c>
      <c r="C23" s="315" t="str">
        <f t="shared" si="0"/>
        <v>Nồng độ Zn  鋅
(1 pcs Zn=25kg)</v>
      </c>
      <c r="D23" s="315" t="str">
        <f t="shared" si="1"/>
        <v>XL-001F</v>
      </c>
      <c r="E23" s="315" t="str">
        <f t="shared" si="2"/>
        <v>g/L</v>
      </c>
      <c r="F23" s="315" t="str">
        <f t="shared" si="3"/>
        <v>8~12</v>
      </c>
      <c r="G23" s="784">
        <f t="shared" si="4"/>
        <v>7.9</v>
      </c>
      <c r="H23" s="784" t="str">
        <f t="shared" si="5"/>
        <v>+</v>
      </c>
      <c r="I23" s="789">
        <f t="shared" si="6"/>
        <v>0</v>
      </c>
      <c r="J23" s="784" t="str">
        <f t="shared" si="7"/>
        <v>kg</v>
      </c>
      <c r="K23" s="784">
        <f t="shared" si="8"/>
        <v>-13.167660000000003</v>
      </c>
      <c r="L23" s="789" t="str">
        <f t="shared" si="9"/>
        <v>+</v>
      </c>
      <c r="M23" s="784" t="str">
        <f t="shared" si="10"/>
        <v/>
      </c>
      <c r="N23" s="784">
        <f t="shared" si="11"/>
        <v>10.790000000000001</v>
      </c>
      <c r="O23" s="789">
        <f t="shared" si="12"/>
        <v>-15.761290000000018</v>
      </c>
      <c r="P23" s="784">
        <f t="shared" si="13"/>
        <v>0</v>
      </c>
      <c r="Q23" s="784">
        <f t="shared" si="14"/>
        <v>8.6999999999999993</v>
      </c>
      <c r="R23" s="789">
        <f t="shared" si="15"/>
        <v>11.309999999999999</v>
      </c>
      <c r="S23" s="784" t="str">
        <f t="shared" si="16"/>
        <v>+</v>
      </c>
      <c r="T23" s="777" t="str">
        <f t="shared" si="17"/>
        <v>kg</v>
      </c>
      <c r="U23" s="778">
        <f t="shared" si="18"/>
        <v>8.5</v>
      </c>
      <c r="V23" s="784">
        <f t="shared" si="19"/>
        <v>-20.948550000000015</v>
      </c>
      <c r="W23" s="777" t="str">
        <f t="shared" si="20"/>
        <v/>
      </c>
      <c r="X23" s="778" t="str">
        <f t="shared" si="21"/>
        <v>kg</v>
      </c>
      <c r="Z23" s="316" t="b">
        <f t="shared" si="23"/>
        <v>1</v>
      </c>
      <c r="AA23" s="316" t="b">
        <f t="shared" si="24"/>
        <v>0</v>
      </c>
      <c r="AB23" s="316" t="b">
        <f t="shared" si="25"/>
        <v>0</v>
      </c>
      <c r="AC23" s="316" t="b">
        <f t="shared" si="26"/>
        <v>1</v>
      </c>
      <c r="AD23" s="316" t="b">
        <f t="shared" si="27"/>
        <v>0</v>
      </c>
      <c r="AE23" s="316" t="b">
        <f t="shared" si="28"/>
        <v>1</v>
      </c>
      <c r="AF23" s="316" t="b">
        <f t="shared" si="29"/>
        <v>1</v>
      </c>
      <c r="AG23" s="316" t="b">
        <f t="shared" si="30"/>
        <v>1</v>
      </c>
      <c r="AH23" s="316" t="b">
        <f t="shared" si="31"/>
        <v>0</v>
      </c>
      <c r="AI23" s="316" t="b">
        <f t="shared" si="32"/>
        <v>0</v>
      </c>
      <c r="AJ23" s="316" t="b">
        <f t="shared" si="33"/>
        <v>1</v>
      </c>
      <c r="AK23" s="316" t="b">
        <f t="shared" si="34"/>
        <v>0</v>
      </c>
      <c r="AL23" s="810" t="str">
        <f t="shared" si="35"/>
        <v/>
      </c>
      <c r="AM23" s="811">
        <f t="shared" si="36"/>
        <v>1</v>
      </c>
      <c r="AN23" s="811">
        <f t="shared" si="37"/>
        <v>1</v>
      </c>
      <c r="AO23" s="811" t="str">
        <f t="shared" si="38"/>
        <v/>
      </c>
      <c r="AP23" s="811">
        <f t="shared" si="39"/>
        <v>1</v>
      </c>
      <c r="AQ23" s="811" t="str">
        <f t="shared" si="40"/>
        <v/>
      </c>
      <c r="AR23" s="811" t="str">
        <f t="shared" si="41"/>
        <v/>
      </c>
      <c r="AS23" s="811" t="str">
        <f t="shared" si="42"/>
        <v/>
      </c>
      <c r="AT23" s="811">
        <f t="shared" si="43"/>
        <v>1</v>
      </c>
      <c r="AU23" s="811">
        <f t="shared" si="44"/>
        <v>1</v>
      </c>
      <c r="AV23" s="811" t="str">
        <f t="shared" si="45"/>
        <v/>
      </c>
      <c r="AW23" s="815">
        <f t="shared" si="45"/>
        <v>1</v>
      </c>
    </row>
    <row r="24" spans="1:49" s="316" customFormat="1">
      <c r="A24" s="795" t="str">
        <f t="shared" si="46"/>
        <v>Ca 1,</v>
      </c>
      <c r="B24" s="315" t="s">
        <v>268</v>
      </c>
      <c r="C24" s="315" t="str">
        <f t="shared" si="0"/>
        <v>Nồng độ Cr2O3 三價鉻
LANTHANE 318</v>
      </c>
      <c r="D24" s="315" t="str">
        <f t="shared" si="1"/>
        <v>XL-001F</v>
      </c>
      <c r="E24" s="315" t="str">
        <f t="shared" si="2"/>
        <v>%</v>
      </c>
      <c r="F24" s="315" t="str">
        <f t="shared" si="3"/>
        <v xml:space="preserve">6~10 </v>
      </c>
      <c r="G24" s="784">
        <f t="shared" si="4"/>
        <v>17.25</v>
      </c>
      <c r="H24" s="784" t="str">
        <f t="shared" si="5"/>
        <v>+</v>
      </c>
      <c r="I24" s="789">
        <f t="shared" si="6"/>
        <v>4.2393312499999967</v>
      </c>
      <c r="J24" s="784" t="str">
        <f t="shared" si="7"/>
        <v>L</v>
      </c>
      <c r="K24" s="784">
        <f t="shared" si="8"/>
        <v>3.8738900000000016</v>
      </c>
      <c r="L24" s="789" t="str">
        <f t="shared" si="9"/>
        <v>+</v>
      </c>
      <c r="M24" s="784" t="str">
        <f t="shared" si="10"/>
        <v/>
      </c>
      <c r="N24" s="784">
        <f t="shared" si="11"/>
        <v>6.1568000000000005</v>
      </c>
      <c r="O24" s="789">
        <f t="shared" si="12"/>
        <v>4.8483999999999972</v>
      </c>
      <c r="P24" s="784">
        <f t="shared" si="13"/>
        <v>4.8483999999999972</v>
      </c>
      <c r="Q24" s="784">
        <f t="shared" si="14"/>
        <v>16.399999999999999</v>
      </c>
      <c r="R24" s="789">
        <f t="shared" si="15"/>
        <v>5.9025799999999995</v>
      </c>
      <c r="S24" s="784" t="str">
        <f t="shared" si="16"/>
        <v>+</v>
      </c>
      <c r="T24" s="777" t="str">
        <f t="shared" si="17"/>
        <v>L</v>
      </c>
      <c r="U24" s="778">
        <f t="shared" si="18"/>
        <v>16.7</v>
      </c>
      <c r="V24" s="784">
        <f t="shared" si="19"/>
        <v>5.579282499999997</v>
      </c>
      <c r="W24" s="777" t="str">
        <f t="shared" si="20"/>
        <v/>
      </c>
      <c r="X24" s="778" t="str">
        <f t="shared" si="21"/>
        <v>L</v>
      </c>
      <c r="Z24" s="316" t="b">
        <f t="shared" si="23"/>
        <v>1</v>
      </c>
      <c r="AA24" s="316" t="b">
        <f t="shared" si="24"/>
        <v>0</v>
      </c>
      <c r="AB24" s="316" t="b">
        <f t="shared" si="25"/>
        <v>0</v>
      </c>
      <c r="AC24" s="316" t="b">
        <f t="shared" si="26"/>
        <v>1</v>
      </c>
      <c r="AD24" s="316" t="b">
        <f t="shared" si="27"/>
        <v>0</v>
      </c>
      <c r="AE24" s="316" t="b">
        <f t="shared" si="28"/>
        <v>1</v>
      </c>
      <c r="AF24" s="316" t="b">
        <f t="shared" si="29"/>
        <v>1</v>
      </c>
      <c r="AG24" s="316" t="b">
        <f t="shared" si="30"/>
        <v>1</v>
      </c>
      <c r="AH24" s="316" t="b">
        <f t="shared" si="31"/>
        <v>0</v>
      </c>
      <c r="AI24" s="316" t="b">
        <f t="shared" si="32"/>
        <v>0</v>
      </c>
      <c r="AJ24" s="316" t="b">
        <f t="shared" si="33"/>
        <v>1</v>
      </c>
      <c r="AK24" s="316" t="b">
        <f t="shared" si="34"/>
        <v>0</v>
      </c>
      <c r="AL24" s="810" t="str">
        <f t="shared" si="35"/>
        <v/>
      </c>
      <c r="AM24" s="811">
        <f t="shared" si="36"/>
        <v>1</v>
      </c>
      <c r="AN24" s="811">
        <f t="shared" si="37"/>
        <v>1</v>
      </c>
      <c r="AO24" s="811" t="str">
        <f t="shared" si="38"/>
        <v/>
      </c>
      <c r="AP24" s="811">
        <f t="shared" si="39"/>
        <v>1</v>
      </c>
      <c r="AQ24" s="811" t="str">
        <f t="shared" si="40"/>
        <v/>
      </c>
      <c r="AR24" s="811" t="str">
        <f t="shared" si="41"/>
        <v/>
      </c>
      <c r="AS24" s="811" t="str">
        <f t="shared" si="42"/>
        <v/>
      </c>
      <c r="AT24" s="811">
        <f t="shared" si="43"/>
        <v>1</v>
      </c>
      <c r="AU24" s="811">
        <f t="shared" si="44"/>
        <v>1</v>
      </c>
      <c r="AV24" s="811" t="str">
        <f t="shared" si="45"/>
        <v/>
      </c>
      <c r="AW24" s="815">
        <f t="shared" si="45"/>
        <v>1</v>
      </c>
    </row>
    <row r="25" spans="1:49" s="316" customFormat="1">
      <c r="A25" s="795" t="str">
        <f t="shared" si="46"/>
        <v>Ca 1,</v>
      </c>
      <c r="B25" s="315" t="s">
        <v>269</v>
      </c>
      <c r="C25" s="315" t="str">
        <f t="shared" si="0"/>
        <v>Pha mới: 2024/05/18</v>
      </c>
      <c r="D25" s="315" t="str">
        <f t="shared" si="1"/>
        <v>XL-001F</v>
      </c>
      <c r="E25" s="315" t="str">
        <f t="shared" si="2"/>
        <v>pH</v>
      </c>
      <c r="F25" s="315" t="str">
        <f t="shared" si="3"/>
        <v>2~2.5</v>
      </c>
      <c r="G25" s="784">
        <f t="shared" si="4"/>
        <v>0</v>
      </c>
      <c r="H25" s="784">
        <f t="shared" si="5"/>
        <v>0</v>
      </c>
      <c r="I25" s="789">
        <f t="shared" si="6"/>
        <v>0</v>
      </c>
      <c r="J25" s="784">
        <f t="shared" si="7"/>
        <v>0</v>
      </c>
      <c r="K25" s="784">
        <f t="shared" si="8"/>
        <v>0</v>
      </c>
      <c r="L25" s="789">
        <f t="shared" si="9"/>
        <v>0</v>
      </c>
      <c r="M25" s="784" t="str">
        <f t="shared" si="10"/>
        <v/>
      </c>
      <c r="N25" s="784">
        <f t="shared" si="11"/>
        <v>2.2000000000000002</v>
      </c>
      <c r="O25" s="789">
        <f t="shared" si="12"/>
        <v>0</v>
      </c>
      <c r="P25" s="784">
        <f t="shared" si="13"/>
        <v>0</v>
      </c>
      <c r="Q25" s="784">
        <f t="shared" si="14"/>
        <v>0</v>
      </c>
      <c r="R25" s="789">
        <f t="shared" si="15"/>
        <v>2.68</v>
      </c>
      <c r="S25" s="784">
        <f t="shared" si="16"/>
        <v>0</v>
      </c>
      <c r="T25" s="777">
        <f t="shared" si="17"/>
        <v>0</v>
      </c>
      <c r="U25" s="778">
        <f t="shared" si="18"/>
        <v>0</v>
      </c>
      <c r="V25" s="784">
        <f t="shared" si="19"/>
        <v>0</v>
      </c>
      <c r="W25" s="777" t="str">
        <f t="shared" si="20"/>
        <v/>
      </c>
      <c r="X25" s="778">
        <f t="shared" si="21"/>
        <v>0</v>
      </c>
      <c r="Z25" s="316" t="b">
        <f t="shared" si="23"/>
        <v>1</v>
      </c>
      <c r="AA25" s="316" t="b">
        <f t="shared" si="24"/>
        <v>1</v>
      </c>
      <c r="AB25" s="316" t="b">
        <f t="shared" si="25"/>
        <v>1</v>
      </c>
      <c r="AC25" s="316" t="b">
        <f t="shared" si="26"/>
        <v>1</v>
      </c>
      <c r="AD25" s="316" t="b">
        <f t="shared" si="27"/>
        <v>0</v>
      </c>
      <c r="AE25" s="316" t="b">
        <f t="shared" si="28"/>
        <v>1</v>
      </c>
      <c r="AF25" s="316" t="b">
        <f t="shared" si="29"/>
        <v>1</v>
      </c>
      <c r="AG25" s="316" t="b">
        <f t="shared" si="30"/>
        <v>1</v>
      </c>
      <c r="AH25" s="316" t="b">
        <f t="shared" si="31"/>
        <v>1</v>
      </c>
      <c r="AI25" s="316" t="b">
        <f t="shared" si="32"/>
        <v>1</v>
      </c>
      <c r="AJ25" s="316" t="b">
        <f t="shared" si="33"/>
        <v>1</v>
      </c>
      <c r="AK25" s="316" t="b">
        <f t="shared" si="34"/>
        <v>0</v>
      </c>
      <c r="AL25" s="810" t="str">
        <f t="shared" si="35"/>
        <v/>
      </c>
      <c r="AM25" s="811" t="str">
        <f t="shared" si="36"/>
        <v/>
      </c>
      <c r="AN25" s="811" t="str">
        <f t="shared" si="37"/>
        <v/>
      </c>
      <c r="AO25" s="811" t="str">
        <f t="shared" si="38"/>
        <v/>
      </c>
      <c r="AP25" s="811">
        <f t="shared" si="39"/>
        <v>1</v>
      </c>
      <c r="AQ25" s="811" t="str">
        <f t="shared" si="40"/>
        <v/>
      </c>
      <c r="AR25" s="811" t="str">
        <f t="shared" si="41"/>
        <v/>
      </c>
      <c r="AS25" s="811" t="str">
        <f t="shared" si="42"/>
        <v/>
      </c>
      <c r="AT25" s="811" t="str">
        <f t="shared" si="43"/>
        <v/>
      </c>
      <c r="AU25" s="811" t="str">
        <f t="shared" si="44"/>
        <v/>
      </c>
      <c r="AV25" s="811" t="str">
        <f t="shared" si="45"/>
        <v/>
      </c>
      <c r="AW25" s="815">
        <f t="shared" si="45"/>
        <v>1</v>
      </c>
    </row>
    <row r="26" spans="1:49" s="316" customFormat="1">
      <c r="A26" s="795" t="str">
        <f t="shared" si="46"/>
        <v>Ca 1,</v>
      </c>
      <c r="B26" s="315" t="s">
        <v>270</v>
      </c>
      <c r="C26" s="315" t="str">
        <f t="shared" si="0"/>
        <v>Nồng độ acid đặc
鹽酸 濃度</v>
      </c>
      <c r="D26" s="315" t="str">
        <f t="shared" si="1"/>
        <v>XL-001F</v>
      </c>
      <c r="E26" s="315" t="str">
        <f t="shared" si="2"/>
        <v>%V/V</v>
      </c>
      <c r="F26" s="315" t="str">
        <f t="shared" si="3"/>
        <v xml:space="preserve">40~50 </v>
      </c>
      <c r="G26" s="784">
        <f t="shared" si="4"/>
        <v>3.85</v>
      </c>
      <c r="H26" s="784" t="str">
        <f t="shared" si="5"/>
        <v>+</v>
      </c>
      <c r="I26" s="789">
        <f t="shared" si="6"/>
        <v>23.04359375000001</v>
      </c>
      <c r="J26" s="784" t="str">
        <f t="shared" si="7"/>
        <v>L</v>
      </c>
      <c r="K26" s="784">
        <f t="shared" si="8"/>
        <v>-37.466562499999853</v>
      </c>
      <c r="L26" s="789" t="str">
        <f t="shared" si="9"/>
        <v>+</v>
      </c>
      <c r="M26" s="784" t="str">
        <f t="shared" si="10"/>
        <v/>
      </c>
      <c r="N26" s="784">
        <f t="shared" si="11"/>
        <v>0.45624999999999999</v>
      </c>
      <c r="O26" s="789">
        <f t="shared" si="12"/>
        <v>-13.262499999999953</v>
      </c>
      <c r="P26" s="784">
        <f t="shared" si="13"/>
        <v>0</v>
      </c>
      <c r="Q26" s="784">
        <f t="shared" si="14"/>
        <v>3.95</v>
      </c>
      <c r="R26" s="789">
        <f t="shared" si="15"/>
        <v>0.45054687500000001</v>
      </c>
      <c r="S26" s="784" t="str">
        <f t="shared" si="16"/>
        <v>+</v>
      </c>
      <c r="T26" s="777" t="str">
        <f t="shared" si="17"/>
        <v>L</v>
      </c>
      <c r="U26" s="778">
        <f t="shared" si="18"/>
        <v>4.2</v>
      </c>
      <c r="V26" s="784">
        <f t="shared" si="19"/>
        <v>-61.670625000000101</v>
      </c>
      <c r="W26" s="777" t="str">
        <f t="shared" si="20"/>
        <v/>
      </c>
      <c r="X26" s="778" t="str">
        <f t="shared" si="21"/>
        <v>L</v>
      </c>
      <c r="Z26" s="316" t="b">
        <f t="shared" si="23"/>
        <v>1</v>
      </c>
      <c r="AA26" s="316" t="b">
        <f t="shared" si="24"/>
        <v>0</v>
      </c>
      <c r="AB26" s="316" t="b">
        <f t="shared" si="25"/>
        <v>0</v>
      </c>
      <c r="AC26" s="316" t="b">
        <f t="shared" si="26"/>
        <v>1</v>
      </c>
      <c r="AD26" s="316" t="b">
        <f t="shared" si="27"/>
        <v>0</v>
      </c>
      <c r="AE26" s="316" t="b">
        <f t="shared" si="28"/>
        <v>1</v>
      </c>
      <c r="AF26" s="316" t="b">
        <f t="shared" si="29"/>
        <v>1</v>
      </c>
      <c r="AG26" s="316" t="b">
        <f t="shared" si="30"/>
        <v>1</v>
      </c>
      <c r="AH26" s="316" t="b">
        <f t="shared" si="31"/>
        <v>0</v>
      </c>
      <c r="AI26" s="316" t="b">
        <f t="shared" si="32"/>
        <v>0</v>
      </c>
      <c r="AJ26" s="316" t="b">
        <f t="shared" si="33"/>
        <v>1</v>
      </c>
      <c r="AK26" s="316" t="b">
        <f t="shared" si="34"/>
        <v>0</v>
      </c>
      <c r="AL26" s="810" t="str">
        <f t="shared" si="35"/>
        <v/>
      </c>
      <c r="AM26" s="811">
        <f t="shared" si="36"/>
        <v>1</v>
      </c>
      <c r="AN26" s="811">
        <f t="shared" si="37"/>
        <v>1</v>
      </c>
      <c r="AO26" s="811" t="str">
        <f t="shared" si="38"/>
        <v/>
      </c>
      <c r="AP26" s="811">
        <f t="shared" si="39"/>
        <v>1</v>
      </c>
      <c r="AQ26" s="811" t="str">
        <f t="shared" si="40"/>
        <v/>
      </c>
      <c r="AR26" s="811" t="str">
        <f t="shared" si="41"/>
        <v/>
      </c>
      <c r="AS26" s="811" t="str">
        <f t="shared" si="42"/>
        <v/>
      </c>
      <c r="AT26" s="811">
        <f t="shared" si="43"/>
        <v>1</v>
      </c>
      <c r="AU26" s="811">
        <f t="shared" si="44"/>
        <v>1</v>
      </c>
      <c r="AV26" s="811" t="str">
        <f t="shared" si="45"/>
        <v/>
      </c>
      <c r="AW26" s="815">
        <f t="shared" si="45"/>
        <v>1</v>
      </c>
    </row>
    <row r="27" spans="1:49" s="316" customFormat="1">
      <c r="A27" s="795" t="str">
        <f t="shared" si="46"/>
        <v>Ca 1,</v>
      </c>
      <c r="B27" s="315" t="s">
        <v>271</v>
      </c>
      <c r="C27" s="315" t="str">
        <f t="shared" si="0"/>
        <v>Nồng độ acid loãng
稀酸 濃度</v>
      </c>
      <c r="D27" s="315" t="str">
        <f t="shared" si="1"/>
        <v>XL-001F</v>
      </c>
      <c r="E27" s="315" t="str">
        <f t="shared" si="2"/>
        <v>%V/V</v>
      </c>
      <c r="F27" s="315" t="str">
        <f t="shared" si="3"/>
        <v>(22±5) =17~27</v>
      </c>
      <c r="G27" s="784">
        <f t="shared" si="4"/>
        <v>0</v>
      </c>
      <c r="H27" s="784" t="str">
        <f t="shared" si="5"/>
        <v>+</v>
      </c>
      <c r="I27" s="789">
        <f t="shared" si="6"/>
        <v>0</v>
      </c>
      <c r="J27" s="784" t="str">
        <f t="shared" si="7"/>
        <v>L</v>
      </c>
      <c r="K27" s="784">
        <f t="shared" si="8"/>
        <v>134.64000000000001</v>
      </c>
      <c r="L27" s="789" t="str">
        <f t="shared" si="9"/>
        <v>+</v>
      </c>
      <c r="M27" s="784" t="str">
        <f t="shared" si="10"/>
        <v/>
      </c>
      <c r="N27" s="784">
        <f t="shared" si="11"/>
        <v>0</v>
      </c>
      <c r="O27" s="789">
        <f t="shared" si="12"/>
        <v>134.64000000000001</v>
      </c>
      <c r="P27" s="784">
        <f t="shared" si="13"/>
        <v>0</v>
      </c>
      <c r="Q27" s="784">
        <f t="shared" si="14"/>
        <v>0</v>
      </c>
      <c r="R27" s="789">
        <f t="shared" si="15"/>
        <v>0</v>
      </c>
      <c r="S27" s="784" t="str">
        <f t="shared" si="16"/>
        <v>+</v>
      </c>
      <c r="T27" s="777" t="str">
        <f t="shared" si="17"/>
        <v>L</v>
      </c>
      <c r="U27" s="778">
        <f t="shared" si="18"/>
        <v>0</v>
      </c>
      <c r="V27" s="784">
        <f t="shared" si="19"/>
        <v>134.64000000000001</v>
      </c>
      <c r="W27" s="777" t="str">
        <f t="shared" si="20"/>
        <v/>
      </c>
      <c r="X27" s="778" t="str">
        <f t="shared" si="21"/>
        <v>L</v>
      </c>
      <c r="Z27" s="316" t="b">
        <f t="shared" si="23"/>
        <v>1</v>
      </c>
      <c r="AA27" s="316" t="b">
        <f t="shared" si="24"/>
        <v>0</v>
      </c>
      <c r="AB27" s="316" t="b">
        <f t="shared" si="25"/>
        <v>0</v>
      </c>
      <c r="AC27" s="316" t="b">
        <f t="shared" si="26"/>
        <v>1</v>
      </c>
      <c r="AD27" s="316" t="b">
        <f t="shared" si="27"/>
        <v>0</v>
      </c>
      <c r="AE27" s="316" t="b">
        <f t="shared" si="28"/>
        <v>1</v>
      </c>
      <c r="AF27" s="316" t="b">
        <f t="shared" si="29"/>
        <v>1</v>
      </c>
      <c r="AG27" s="316" t="b">
        <f t="shared" si="30"/>
        <v>1</v>
      </c>
      <c r="AH27" s="316" t="b">
        <f t="shared" si="31"/>
        <v>0</v>
      </c>
      <c r="AI27" s="316" t="b">
        <f t="shared" si="32"/>
        <v>0</v>
      </c>
      <c r="AJ27" s="316" t="b">
        <f t="shared" si="33"/>
        <v>1</v>
      </c>
      <c r="AK27" s="316" t="b">
        <f t="shared" si="34"/>
        <v>0</v>
      </c>
      <c r="AL27" s="810" t="str">
        <f t="shared" si="35"/>
        <v/>
      </c>
      <c r="AM27" s="811">
        <f t="shared" si="36"/>
        <v>1</v>
      </c>
      <c r="AN27" s="811">
        <f t="shared" si="37"/>
        <v>1</v>
      </c>
      <c r="AO27" s="811" t="str">
        <f t="shared" si="38"/>
        <v/>
      </c>
      <c r="AP27" s="811">
        <f t="shared" si="39"/>
        <v>1</v>
      </c>
      <c r="AQ27" s="811" t="str">
        <f t="shared" si="40"/>
        <v/>
      </c>
      <c r="AR27" s="811" t="str">
        <f t="shared" si="41"/>
        <v/>
      </c>
      <c r="AS27" s="811" t="str">
        <f t="shared" si="42"/>
        <v/>
      </c>
      <c r="AT27" s="811">
        <f t="shared" si="43"/>
        <v>1</v>
      </c>
      <c r="AU27" s="811">
        <f t="shared" si="44"/>
        <v>1</v>
      </c>
      <c r="AV27" s="811" t="str">
        <f t="shared" si="45"/>
        <v/>
      </c>
      <c r="AW27" s="815">
        <f t="shared" si="45"/>
        <v>1</v>
      </c>
    </row>
    <row r="28" spans="1:49" s="316" customFormat="1">
      <c r="A28" s="795" t="str">
        <f t="shared" si="46"/>
        <v>Ca 1,</v>
      </c>
      <c r="B28" s="315" t="s">
        <v>272</v>
      </c>
      <c r="C28" s="315" t="str">
        <f t="shared" si="0"/>
        <v>Nồng độ HCl hoạt hóa
稀酸活化 濃度</v>
      </c>
      <c r="D28" s="315" t="str">
        <f t="shared" si="1"/>
        <v>XL-001F</v>
      </c>
      <c r="E28" s="315" t="str">
        <f t="shared" si="2"/>
        <v>%V/V</v>
      </c>
      <c r="F28" s="315" t="str">
        <f t="shared" si="3"/>
        <v>5~15</v>
      </c>
      <c r="G28" s="784">
        <f t="shared" si="4"/>
        <v>0</v>
      </c>
      <c r="H28" s="784" t="str">
        <f t="shared" si="5"/>
        <v>+</v>
      </c>
      <c r="I28" s="789">
        <f t="shared" si="6"/>
        <v>0</v>
      </c>
      <c r="J28" s="784" t="str">
        <f t="shared" si="7"/>
        <v>L</v>
      </c>
      <c r="K28" s="784">
        <f t="shared" si="8"/>
        <v>57.5</v>
      </c>
      <c r="L28" s="789" t="str">
        <f t="shared" si="9"/>
        <v>+</v>
      </c>
      <c r="M28" s="784" t="str">
        <f t="shared" si="10"/>
        <v/>
      </c>
      <c r="N28" s="784">
        <f t="shared" si="11"/>
        <v>0</v>
      </c>
      <c r="O28" s="789">
        <f t="shared" si="12"/>
        <v>57.5</v>
      </c>
      <c r="P28" s="784">
        <f t="shared" si="13"/>
        <v>0</v>
      </c>
      <c r="Q28" s="784">
        <f t="shared" si="14"/>
        <v>0</v>
      </c>
      <c r="R28" s="789">
        <f t="shared" si="15"/>
        <v>0</v>
      </c>
      <c r="S28" s="784" t="str">
        <f t="shared" si="16"/>
        <v>+</v>
      </c>
      <c r="T28" s="777" t="str">
        <f t="shared" si="17"/>
        <v>L</v>
      </c>
      <c r="U28" s="778">
        <f t="shared" si="18"/>
        <v>0</v>
      </c>
      <c r="V28" s="784">
        <f t="shared" si="19"/>
        <v>57.5</v>
      </c>
      <c r="W28" s="777" t="str">
        <f t="shared" si="20"/>
        <v/>
      </c>
      <c r="X28" s="778" t="str">
        <f t="shared" si="21"/>
        <v>L</v>
      </c>
      <c r="Z28" s="316" t="b">
        <f t="shared" si="23"/>
        <v>1</v>
      </c>
      <c r="AA28" s="316" t="b">
        <f t="shared" si="24"/>
        <v>0</v>
      </c>
      <c r="AB28" s="316" t="b">
        <f t="shared" si="25"/>
        <v>0</v>
      </c>
      <c r="AC28" s="316" t="b">
        <f t="shared" si="26"/>
        <v>1</v>
      </c>
      <c r="AD28" s="316" t="b">
        <f t="shared" si="27"/>
        <v>0</v>
      </c>
      <c r="AE28" s="316" t="b">
        <f t="shared" si="28"/>
        <v>1</v>
      </c>
      <c r="AF28" s="316" t="b">
        <f t="shared" si="29"/>
        <v>1</v>
      </c>
      <c r="AG28" s="316" t="b">
        <f t="shared" si="30"/>
        <v>1</v>
      </c>
      <c r="AH28" s="316" t="b">
        <f t="shared" si="31"/>
        <v>0</v>
      </c>
      <c r="AI28" s="316" t="b">
        <f t="shared" si="32"/>
        <v>0</v>
      </c>
      <c r="AJ28" s="316" t="b">
        <f t="shared" si="33"/>
        <v>1</v>
      </c>
      <c r="AK28" s="316" t="b">
        <f t="shared" si="34"/>
        <v>0</v>
      </c>
      <c r="AL28" s="810" t="str">
        <f t="shared" si="35"/>
        <v/>
      </c>
      <c r="AM28" s="811">
        <f t="shared" si="36"/>
        <v>1</v>
      </c>
      <c r="AN28" s="811">
        <f t="shared" si="37"/>
        <v>1</v>
      </c>
      <c r="AO28" s="811" t="str">
        <f t="shared" si="38"/>
        <v/>
      </c>
      <c r="AP28" s="811">
        <f t="shared" si="39"/>
        <v>1</v>
      </c>
      <c r="AQ28" s="811" t="str">
        <f t="shared" si="40"/>
        <v/>
      </c>
      <c r="AR28" s="811" t="str">
        <f t="shared" si="41"/>
        <v/>
      </c>
      <c r="AS28" s="811" t="str">
        <f t="shared" si="42"/>
        <v/>
      </c>
      <c r="AT28" s="811">
        <f t="shared" si="43"/>
        <v>1</v>
      </c>
      <c r="AU28" s="811">
        <f t="shared" si="44"/>
        <v>1</v>
      </c>
      <c r="AV28" s="811" t="str">
        <f t="shared" si="45"/>
        <v/>
      </c>
      <c r="AW28" s="815">
        <f t="shared" si="45"/>
        <v>1</v>
      </c>
    </row>
    <row r="29" spans="1:49" s="316" customFormat="1">
      <c r="A29" s="795" t="str">
        <f t="shared" si="46"/>
        <v>Ca 1,</v>
      </c>
      <c r="B29" s="315" t="s">
        <v>273</v>
      </c>
      <c r="C29" s="315" t="str">
        <f t="shared" si="0"/>
        <v>Nồng độ  HNO3
硝酸濃度</v>
      </c>
      <c r="D29" s="315" t="str">
        <f t="shared" si="1"/>
        <v>XL-001F</v>
      </c>
      <c r="E29" s="315" t="str">
        <f t="shared" si="2"/>
        <v>%</v>
      </c>
      <c r="F29" s="315" t="str">
        <f t="shared" si="3"/>
        <v>0.5~1.5</v>
      </c>
      <c r="G29" s="784">
        <f t="shared" si="4"/>
        <v>8.3000000000000007</v>
      </c>
      <c r="H29" s="784" t="str">
        <f t="shared" si="5"/>
        <v>+</v>
      </c>
      <c r="I29" s="789">
        <f t="shared" si="6"/>
        <v>0</v>
      </c>
      <c r="J29" s="784" t="str">
        <f t="shared" si="7"/>
        <v>L</v>
      </c>
      <c r="K29" s="784">
        <f t="shared" si="8"/>
        <v>-0.38339276617422241</v>
      </c>
      <c r="L29" s="789" t="str">
        <f t="shared" si="9"/>
        <v>+</v>
      </c>
      <c r="M29" s="784" t="str">
        <f t="shared" si="10"/>
        <v/>
      </c>
      <c r="N29" s="784">
        <f t="shared" si="11"/>
        <v>1.008E-2</v>
      </c>
      <c r="O29" s="789">
        <f t="shared" si="12"/>
        <v>-4.3199184921039337E-2</v>
      </c>
      <c r="P29" s="784">
        <f t="shared" si="13"/>
        <v>0</v>
      </c>
      <c r="Q29" s="784">
        <f t="shared" si="14"/>
        <v>11.2</v>
      </c>
      <c r="R29" s="789">
        <f t="shared" si="15"/>
        <v>1.4112E-2</v>
      </c>
      <c r="S29" s="784" t="str">
        <f t="shared" si="16"/>
        <v>+</v>
      </c>
      <c r="T29" s="777" t="str">
        <f t="shared" si="17"/>
        <v>L</v>
      </c>
      <c r="U29" s="778">
        <f t="shared" si="18"/>
        <v>8.4</v>
      </c>
      <c r="V29" s="784">
        <f t="shared" si="19"/>
        <v>-0.31535404992358601</v>
      </c>
      <c r="W29" s="777" t="str">
        <f t="shared" si="20"/>
        <v/>
      </c>
      <c r="X29" s="778" t="str">
        <f t="shared" si="21"/>
        <v>L</v>
      </c>
      <c r="Z29" s="316" t="b">
        <f t="shared" si="23"/>
        <v>1</v>
      </c>
      <c r="AA29" s="316" t="b">
        <f t="shared" si="24"/>
        <v>0</v>
      </c>
      <c r="AB29" s="316" t="b">
        <f t="shared" si="25"/>
        <v>0</v>
      </c>
      <c r="AC29" s="316" t="b">
        <f t="shared" si="26"/>
        <v>1</v>
      </c>
      <c r="AD29" s="316" t="b">
        <f t="shared" si="27"/>
        <v>0</v>
      </c>
      <c r="AE29" s="316" t="b">
        <f t="shared" si="28"/>
        <v>1</v>
      </c>
      <c r="AF29" s="316" t="b">
        <f t="shared" si="29"/>
        <v>1</v>
      </c>
      <c r="AG29" s="316" t="b">
        <f t="shared" si="30"/>
        <v>1</v>
      </c>
      <c r="AH29" s="316" t="b">
        <f t="shared" si="31"/>
        <v>0</v>
      </c>
      <c r="AI29" s="316" t="b">
        <f t="shared" si="32"/>
        <v>0</v>
      </c>
      <c r="AJ29" s="316" t="b">
        <f t="shared" si="33"/>
        <v>1</v>
      </c>
      <c r="AK29" s="316" t="b">
        <f t="shared" si="34"/>
        <v>0</v>
      </c>
      <c r="AL29" s="810" t="str">
        <f t="shared" si="35"/>
        <v/>
      </c>
      <c r="AM29" s="811">
        <f t="shared" si="36"/>
        <v>1</v>
      </c>
      <c r="AN29" s="811">
        <f t="shared" si="37"/>
        <v>1</v>
      </c>
      <c r="AO29" s="811" t="str">
        <f t="shared" si="38"/>
        <v/>
      </c>
      <c r="AP29" s="811">
        <f t="shared" si="39"/>
        <v>1</v>
      </c>
      <c r="AQ29" s="811" t="str">
        <f t="shared" si="40"/>
        <v/>
      </c>
      <c r="AR29" s="811" t="str">
        <f t="shared" si="41"/>
        <v/>
      </c>
      <c r="AS29" s="811" t="str">
        <f t="shared" si="42"/>
        <v/>
      </c>
      <c r="AT29" s="811">
        <f t="shared" si="43"/>
        <v>1</v>
      </c>
      <c r="AU29" s="811">
        <f t="shared" si="44"/>
        <v>1</v>
      </c>
      <c r="AV29" s="811" t="str">
        <f t="shared" si="45"/>
        <v/>
      </c>
      <c r="AW29" s="815">
        <f t="shared" si="45"/>
        <v>1</v>
      </c>
    </row>
    <row r="30" spans="1:49" s="316" customFormat="1">
      <c r="A30" s="795" t="str">
        <f t="shared" si="46"/>
        <v>Ca 1,</v>
      </c>
      <c r="B30" s="315" t="s">
        <v>283</v>
      </c>
      <c r="C30" s="315" t="str">
        <f t="shared" si="0"/>
        <v>開缸劑
250 Base</v>
      </c>
      <c r="D30" s="315" t="str">
        <f t="shared" si="1"/>
        <v>XL-001F</v>
      </c>
      <c r="E30" s="315" t="str">
        <f t="shared" si="2"/>
        <v>ml/
1000AH</v>
      </c>
      <c r="F30" s="315" t="str">
        <f t="shared" si="3"/>
        <v>100-200</v>
      </c>
      <c r="G30" s="784">
        <f t="shared" si="4"/>
        <v>0</v>
      </c>
      <c r="H30" s="784">
        <f t="shared" si="5"/>
        <v>0</v>
      </c>
      <c r="I30" s="789">
        <f t="shared" si="6"/>
        <v>0</v>
      </c>
      <c r="J30" s="784">
        <f t="shared" si="7"/>
        <v>0</v>
      </c>
      <c r="K30" s="784">
        <f t="shared" si="8"/>
        <v>0</v>
      </c>
      <c r="L30" s="789">
        <f t="shared" si="9"/>
        <v>0</v>
      </c>
      <c r="M30" s="784">
        <f t="shared" si="10"/>
        <v>0</v>
      </c>
      <c r="N30" s="784">
        <f t="shared" si="11"/>
        <v>142</v>
      </c>
      <c r="O30" s="789">
        <f t="shared" si="12"/>
        <v>0</v>
      </c>
      <c r="P30" s="784">
        <f t="shared" si="13"/>
        <v>0</v>
      </c>
      <c r="Q30" s="784">
        <f t="shared" si="14"/>
        <v>0</v>
      </c>
      <c r="R30" s="789">
        <f t="shared" si="15"/>
        <v>130</v>
      </c>
      <c r="S30" s="784">
        <f t="shared" si="16"/>
        <v>0</v>
      </c>
      <c r="T30" s="777">
        <f t="shared" si="17"/>
        <v>0</v>
      </c>
      <c r="U30" s="778">
        <f t="shared" si="18"/>
        <v>0</v>
      </c>
      <c r="V30" s="784">
        <f t="shared" si="19"/>
        <v>0</v>
      </c>
      <c r="W30" s="777">
        <f t="shared" si="20"/>
        <v>0</v>
      </c>
      <c r="X30" s="778">
        <f t="shared" si="21"/>
        <v>0</v>
      </c>
      <c r="Z30" s="316" t="b">
        <f t="shared" si="23"/>
        <v>1</v>
      </c>
      <c r="AA30" s="316" t="b">
        <f t="shared" si="24"/>
        <v>1</v>
      </c>
      <c r="AB30" s="316" t="b">
        <f t="shared" si="25"/>
        <v>1</v>
      </c>
      <c r="AC30" s="316" t="b">
        <f t="shared" si="26"/>
        <v>1</v>
      </c>
      <c r="AD30" s="316" t="b">
        <f t="shared" si="27"/>
        <v>1</v>
      </c>
      <c r="AE30" s="316" t="b">
        <f t="shared" si="28"/>
        <v>1</v>
      </c>
      <c r="AF30" s="316" t="b">
        <f t="shared" si="29"/>
        <v>1</v>
      </c>
      <c r="AG30" s="316" t="b">
        <f t="shared" si="30"/>
        <v>1</v>
      </c>
      <c r="AH30" s="316" t="b">
        <f t="shared" si="31"/>
        <v>1</v>
      </c>
      <c r="AI30" s="316" t="b">
        <f t="shared" si="32"/>
        <v>1</v>
      </c>
      <c r="AJ30" s="316" t="b">
        <f t="shared" si="33"/>
        <v>1</v>
      </c>
      <c r="AK30" s="316" t="b">
        <f t="shared" si="34"/>
        <v>1</v>
      </c>
      <c r="AL30" s="810" t="str">
        <f t="shared" si="35"/>
        <v/>
      </c>
      <c r="AM30" s="811" t="str">
        <f t="shared" si="36"/>
        <v/>
      </c>
      <c r="AN30" s="811" t="str">
        <f t="shared" si="37"/>
        <v/>
      </c>
      <c r="AO30" s="811" t="str">
        <f t="shared" si="38"/>
        <v/>
      </c>
      <c r="AP30" s="811" t="str">
        <f t="shared" si="39"/>
        <v/>
      </c>
      <c r="AQ30" s="811" t="str">
        <f t="shared" si="40"/>
        <v/>
      </c>
      <c r="AR30" s="811" t="str">
        <f t="shared" si="41"/>
        <v/>
      </c>
      <c r="AS30" s="811" t="str">
        <f t="shared" si="42"/>
        <v/>
      </c>
      <c r="AT30" s="811" t="str">
        <f t="shared" si="43"/>
        <v/>
      </c>
      <c r="AU30" s="811" t="str">
        <f t="shared" si="44"/>
        <v/>
      </c>
      <c r="AV30" s="811" t="str">
        <f t="shared" si="45"/>
        <v/>
      </c>
      <c r="AW30" s="815" t="str">
        <f t="shared" si="45"/>
        <v/>
      </c>
    </row>
    <row r="31" spans="1:49" s="794" customFormat="1">
      <c r="A31" s="880" t="str">
        <f t="shared" si="46"/>
        <v>Ca 1,</v>
      </c>
      <c r="B31" s="756" t="s">
        <v>284</v>
      </c>
      <c r="C31" s="756" t="str">
        <f t="shared" si="0"/>
        <v>光亮劑
250 Brightener</v>
      </c>
      <c r="D31" s="756" t="str">
        <f t="shared" si="1"/>
        <v>XL-001F</v>
      </c>
      <c r="E31" s="756" t="str">
        <f t="shared" si="2"/>
        <v>ml/
1000AH</v>
      </c>
      <c r="F31" s="756" t="str">
        <f t="shared" si="3"/>
        <v>20-50</v>
      </c>
      <c r="G31" s="779">
        <f t="shared" si="4"/>
        <v>0</v>
      </c>
      <c r="H31" s="779">
        <f t="shared" si="5"/>
        <v>0</v>
      </c>
      <c r="I31" s="780">
        <f t="shared" si="6"/>
        <v>0</v>
      </c>
      <c r="J31" s="779">
        <f t="shared" si="7"/>
        <v>0</v>
      </c>
      <c r="K31" s="779">
        <f t="shared" si="8"/>
        <v>0</v>
      </c>
      <c r="L31" s="780">
        <f t="shared" si="9"/>
        <v>0</v>
      </c>
      <c r="M31" s="779">
        <f t="shared" si="10"/>
        <v>0</v>
      </c>
      <c r="N31" s="779">
        <f t="shared" si="11"/>
        <v>42</v>
      </c>
      <c r="O31" s="780">
        <f t="shared" si="12"/>
        <v>0</v>
      </c>
      <c r="P31" s="779">
        <f t="shared" si="13"/>
        <v>0</v>
      </c>
      <c r="Q31" s="779">
        <f t="shared" si="14"/>
        <v>0</v>
      </c>
      <c r="R31" s="780">
        <f t="shared" si="15"/>
        <v>40</v>
      </c>
      <c r="S31" s="779">
        <f t="shared" si="16"/>
        <v>0</v>
      </c>
      <c r="T31" s="779">
        <f t="shared" si="17"/>
        <v>0</v>
      </c>
      <c r="U31" s="780">
        <f t="shared" si="18"/>
        <v>0</v>
      </c>
      <c r="V31" s="779">
        <f t="shared" si="19"/>
        <v>0</v>
      </c>
      <c r="W31" s="779">
        <f t="shared" si="20"/>
        <v>0</v>
      </c>
      <c r="X31" s="780">
        <f t="shared" si="21"/>
        <v>0</v>
      </c>
      <c r="Z31" s="794" t="b">
        <f t="shared" si="23"/>
        <v>1</v>
      </c>
      <c r="AA31" s="794" t="b">
        <f t="shared" si="24"/>
        <v>1</v>
      </c>
      <c r="AB31" s="794" t="b">
        <f t="shared" si="25"/>
        <v>1</v>
      </c>
      <c r="AC31" s="794" t="b">
        <f t="shared" si="26"/>
        <v>1</v>
      </c>
      <c r="AD31" s="794" t="b">
        <f t="shared" si="27"/>
        <v>1</v>
      </c>
      <c r="AE31" s="794" t="b">
        <f t="shared" si="28"/>
        <v>1</v>
      </c>
      <c r="AF31" s="794" t="b">
        <f t="shared" si="29"/>
        <v>1</v>
      </c>
      <c r="AG31" s="794" t="b">
        <f t="shared" si="30"/>
        <v>1</v>
      </c>
      <c r="AH31" s="794" t="b">
        <f t="shared" si="31"/>
        <v>1</v>
      </c>
      <c r="AI31" s="794" t="b">
        <f t="shared" si="32"/>
        <v>1</v>
      </c>
      <c r="AJ31" s="794" t="b">
        <f t="shared" si="33"/>
        <v>1</v>
      </c>
      <c r="AK31" s="794" t="b">
        <f t="shared" si="34"/>
        <v>1</v>
      </c>
      <c r="AL31" s="881" t="str">
        <f t="shared" si="35"/>
        <v/>
      </c>
      <c r="AM31" s="882" t="str">
        <f t="shared" si="36"/>
        <v/>
      </c>
      <c r="AN31" s="882" t="str">
        <f t="shared" si="37"/>
        <v/>
      </c>
      <c r="AO31" s="882" t="str">
        <f t="shared" si="38"/>
        <v/>
      </c>
      <c r="AP31" s="882" t="str">
        <f t="shared" si="39"/>
        <v/>
      </c>
      <c r="AQ31" s="882" t="str">
        <f t="shared" si="40"/>
        <v/>
      </c>
      <c r="AR31" s="882" t="str">
        <f t="shared" si="41"/>
        <v/>
      </c>
      <c r="AS31" s="882" t="str">
        <f t="shared" si="42"/>
        <v/>
      </c>
      <c r="AT31" s="882" t="str">
        <f t="shared" si="43"/>
        <v/>
      </c>
      <c r="AU31" s="882" t="str">
        <f t="shared" si="44"/>
        <v/>
      </c>
      <c r="AV31" s="882" t="str">
        <f t="shared" si="45"/>
        <v/>
      </c>
      <c r="AW31" s="883" t="str">
        <f t="shared" si="45"/>
        <v/>
      </c>
    </row>
    <row r="32" spans="1:49" s="316" customFormat="1">
      <c r="A32" s="795" t="str">
        <f t="shared" si="46"/>
        <v>Ca 1,</v>
      </c>
      <c r="B32" s="315" t="s">
        <v>285</v>
      </c>
      <c r="C32" s="315" t="str">
        <f t="shared" si="0"/>
        <v xml:space="preserve"> Xà bông  脫脂 (2,3,4)
CT-21A</v>
      </c>
      <c r="D32" s="315" t="str">
        <f t="shared" si="1"/>
        <v>XT-000C</v>
      </c>
      <c r="E32" s="315" t="str">
        <f t="shared" si="2"/>
        <v>g/L</v>
      </c>
      <c r="F32" s="315" t="str">
        <f t="shared" si="3"/>
        <v>40~60</v>
      </c>
      <c r="G32" s="784">
        <f t="shared" si="4"/>
        <v>7.35</v>
      </c>
      <c r="H32" s="784" t="str">
        <f t="shared" si="5"/>
        <v>+</v>
      </c>
      <c r="I32" s="789">
        <f t="shared" si="6"/>
        <v>35.66582450000007</v>
      </c>
      <c r="J32" s="784" t="str">
        <f t="shared" si="7"/>
        <v>kg</v>
      </c>
      <c r="K32" s="784">
        <f t="shared" si="8"/>
        <v>20.560024999999932</v>
      </c>
      <c r="L32" s="789" t="str">
        <f t="shared" si="9"/>
        <v>+</v>
      </c>
      <c r="M32" s="784">
        <f t="shared" si="10"/>
        <v>25</v>
      </c>
      <c r="N32" s="784">
        <f t="shared" si="11"/>
        <v>52.244500000000009</v>
      </c>
      <c r="O32" s="789">
        <f t="shared" si="12"/>
        <v>-34.82790650000014</v>
      </c>
      <c r="P32" s="784">
        <f t="shared" si="13"/>
        <v>0</v>
      </c>
      <c r="Q32" s="784">
        <f t="shared" si="14"/>
        <v>7.7</v>
      </c>
      <c r="R32" s="789">
        <f t="shared" si="15"/>
        <v>49.973000000000006</v>
      </c>
      <c r="S32" s="784" t="str">
        <f t="shared" si="16"/>
        <v>+</v>
      </c>
      <c r="T32" s="777" t="str">
        <f t="shared" si="17"/>
        <v>kg</v>
      </c>
      <c r="U32" s="778">
        <f t="shared" si="18"/>
        <v>7.7</v>
      </c>
      <c r="V32" s="784">
        <f t="shared" si="19"/>
        <v>0.41895899999990566</v>
      </c>
      <c r="W32" s="777" t="str">
        <f t="shared" si="20"/>
        <v/>
      </c>
      <c r="X32" s="778" t="str">
        <f t="shared" si="21"/>
        <v>kg</v>
      </c>
      <c r="Z32" s="316" t="b">
        <f t="shared" si="23"/>
        <v>1</v>
      </c>
      <c r="AA32" s="316" t="b">
        <f t="shared" si="24"/>
        <v>0</v>
      </c>
      <c r="AB32" s="316" t="b">
        <f t="shared" si="25"/>
        <v>0</v>
      </c>
      <c r="AC32" s="316" t="b">
        <f t="shared" si="26"/>
        <v>1</v>
      </c>
      <c r="AD32" s="316" t="b">
        <f t="shared" si="27"/>
        <v>1</v>
      </c>
      <c r="AE32" s="316" t="b">
        <f t="shared" si="28"/>
        <v>1</v>
      </c>
      <c r="AF32" s="316" t="b">
        <f t="shared" si="29"/>
        <v>1</v>
      </c>
      <c r="AG32" s="316" t="b">
        <f t="shared" si="30"/>
        <v>1</v>
      </c>
      <c r="AH32" s="316" t="b">
        <f t="shared" si="31"/>
        <v>0</v>
      </c>
      <c r="AI32" s="316" t="b">
        <f t="shared" si="32"/>
        <v>0</v>
      </c>
      <c r="AJ32" s="316" t="b">
        <f t="shared" si="33"/>
        <v>1</v>
      </c>
      <c r="AK32" s="316" t="b">
        <f t="shared" si="34"/>
        <v>0</v>
      </c>
      <c r="AL32" s="810" t="str">
        <f t="shared" si="35"/>
        <v/>
      </c>
      <c r="AM32" s="811">
        <f t="shared" si="36"/>
        <v>1</v>
      </c>
      <c r="AN32" s="811">
        <f t="shared" si="37"/>
        <v>1</v>
      </c>
      <c r="AO32" s="811" t="str">
        <f t="shared" si="38"/>
        <v/>
      </c>
      <c r="AP32" s="811" t="str">
        <f t="shared" si="39"/>
        <v/>
      </c>
      <c r="AQ32" s="811" t="str">
        <f t="shared" si="40"/>
        <v/>
      </c>
      <c r="AR32" s="811" t="str">
        <f t="shared" si="41"/>
        <v/>
      </c>
      <c r="AS32" s="811" t="str">
        <f t="shared" si="42"/>
        <v/>
      </c>
      <c r="AT32" s="811">
        <f t="shared" si="43"/>
        <v>1</v>
      </c>
      <c r="AU32" s="811">
        <f t="shared" si="44"/>
        <v>1</v>
      </c>
      <c r="AV32" s="811" t="str">
        <f t="shared" si="45"/>
        <v/>
      </c>
      <c r="AW32" s="815">
        <f t="shared" si="45"/>
        <v>1</v>
      </c>
    </row>
    <row r="33" spans="1:49" s="316" customFormat="1">
      <c r="A33" s="795" t="str">
        <f t="shared" si="46"/>
        <v>Ca 1,</v>
      </c>
      <c r="B33" s="315" t="s">
        <v>286</v>
      </c>
      <c r="C33" s="315" t="str">
        <f t="shared" si="0"/>
        <v>Xà bông  脫脂  (5,6)
CT-21A</v>
      </c>
      <c r="D33" s="315" t="str">
        <f t="shared" si="1"/>
        <v>XT-000C</v>
      </c>
      <c r="E33" s="315" t="str">
        <f t="shared" si="2"/>
        <v>g/L</v>
      </c>
      <c r="F33" s="315" t="str">
        <f t="shared" si="3"/>
        <v>40~60</v>
      </c>
      <c r="G33" s="784">
        <f t="shared" si="4"/>
        <v>7.15</v>
      </c>
      <c r="H33" s="784" t="str">
        <f t="shared" si="5"/>
        <v>+</v>
      </c>
      <c r="I33" s="789">
        <f t="shared" si="6"/>
        <v>41.269837499999987</v>
      </c>
      <c r="J33" s="784" t="str">
        <f t="shared" si="7"/>
        <v>kg</v>
      </c>
      <c r="K33" s="784">
        <f t="shared" si="8"/>
        <v>26.375287500000049</v>
      </c>
      <c r="L33" s="789" t="str">
        <f t="shared" si="9"/>
        <v>+</v>
      </c>
      <c r="M33" s="784">
        <f t="shared" si="10"/>
        <v>25</v>
      </c>
      <c r="N33" s="784">
        <f t="shared" si="11"/>
        <v>49.973000000000006</v>
      </c>
      <c r="O33" s="789">
        <f t="shared" si="12"/>
        <v>0.30982499999993018</v>
      </c>
      <c r="P33" s="784">
        <f t="shared" si="13"/>
        <v>0.30982499999993018</v>
      </c>
      <c r="Q33" s="784">
        <f t="shared" si="14"/>
        <v>7.5</v>
      </c>
      <c r="R33" s="789">
        <f t="shared" si="15"/>
        <v>48.675000000000004</v>
      </c>
      <c r="S33" s="784" t="str">
        <f t="shared" si="16"/>
        <v>+</v>
      </c>
      <c r="T33" s="777" t="str">
        <f t="shared" si="17"/>
        <v>kg</v>
      </c>
      <c r="U33" s="778">
        <f t="shared" si="18"/>
        <v>7.6</v>
      </c>
      <c r="V33" s="784">
        <f t="shared" si="19"/>
        <v>7.7571000000000225</v>
      </c>
      <c r="W33" s="777" t="str">
        <f t="shared" si="20"/>
        <v/>
      </c>
      <c r="X33" s="778" t="str">
        <f t="shared" si="21"/>
        <v>kg</v>
      </c>
      <c r="Z33" s="316" t="b">
        <f t="shared" si="23"/>
        <v>1</v>
      </c>
      <c r="AA33" s="316" t="b">
        <f t="shared" si="24"/>
        <v>0</v>
      </c>
      <c r="AB33" s="316" t="b">
        <f t="shared" si="25"/>
        <v>0</v>
      </c>
      <c r="AC33" s="316" t="b">
        <f t="shared" si="26"/>
        <v>1</v>
      </c>
      <c r="AD33" s="316" t="b">
        <f t="shared" si="27"/>
        <v>1</v>
      </c>
      <c r="AE33" s="316" t="b">
        <f t="shared" si="28"/>
        <v>1</v>
      </c>
      <c r="AF33" s="316" t="b">
        <f t="shared" si="29"/>
        <v>1</v>
      </c>
      <c r="AG33" s="316" t="b">
        <f t="shared" si="30"/>
        <v>1</v>
      </c>
      <c r="AH33" s="316" t="b">
        <f t="shared" si="31"/>
        <v>0</v>
      </c>
      <c r="AI33" s="316" t="b">
        <f t="shared" si="32"/>
        <v>0</v>
      </c>
      <c r="AJ33" s="316" t="b">
        <f t="shared" si="33"/>
        <v>1</v>
      </c>
      <c r="AK33" s="316" t="b">
        <f t="shared" si="34"/>
        <v>0</v>
      </c>
      <c r="AL33" s="810" t="str">
        <f t="shared" si="35"/>
        <v/>
      </c>
      <c r="AM33" s="811">
        <f t="shared" si="36"/>
        <v>1</v>
      </c>
      <c r="AN33" s="811">
        <f t="shared" si="37"/>
        <v>1</v>
      </c>
      <c r="AO33" s="811" t="str">
        <f t="shared" si="38"/>
        <v/>
      </c>
      <c r="AP33" s="811" t="str">
        <f t="shared" si="39"/>
        <v/>
      </c>
      <c r="AQ33" s="811" t="str">
        <f t="shared" si="40"/>
        <v/>
      </c>
      <c r="AR33" s="811" t="str">
        <f t="shared" si="41"/>
        <v/>
      </c>
      <c r="AS33" s="811" t="str">
        <f t="shared" si="42"/>
        <v/>
      </c>
      <c r="AT33" s="811">
        <f t="shared" si="43"/>
        <v>1</v>
      </c>
      <c r="AU33" s="811">
        <f t="shared" si="44"/>
        <v>1</v>
      </c>
      <c r="AV33" s="811" t="str">
        <f t="shared" si="45"/>
        <v/>
      </c>
      <c r="AW33" s="815">
        <f t="shared" si="45"/>
        <v>1</v>
      </c>
    </row>
    <row r="34" spans="1:49" s="316" customFormat="1">
      <c r="A34" s="795" t="str">
        <f t="shared" si="46"/>
        <v>Ca 1,</v>
      </c>
      <c r="B34" s="315" t="s">
        <v>287</v>
      </c>
      <c r="C34" s="315" t="str">
        <f t="shared" ref="C34:C45" si="47">IFERROR(VLOOKUP($B34,_XM_XT_THUCTE,3,0),"")</f>
        <v>Điện giải  電解 (8)
EC-508A</v>
      </c>
      <c r="D34" s="315" t="str">
        <f t="shared" ref="D34:D45" si="48">IFERROR(VLOOKUP($B34,_XM_XT_THUCTE,2,0),"")</f>
        <v>XT-000C</v>
      </c>
      <c r="E34" s="315" t="str">
        <f t="shared" ref="E34:E45" si="49">IFERROR(VLOOKUP($B34,_XM_XT_THUCTE,4,0),"")</f>
        <v>g/L</v>
      </c>
      <c r="F34" s="315" t="str">
        <f t="shared" ref="F34:F45" si="50">IFERROR(VLOOKUP($B34,_XM_XT_THUCTE,5,0),"")</f>
        <v>50~70</v>
      </c>
      <c r="G34" s="784">
        <f t="shared" ref="G34:G45" si="51">IFERROR(VLOOKUP($B34,_XM_XT_THUCTE,8,0),"")</f>
        <v>12.65</v>
      </c>
      <c r="H34" s="784" t="str">
        <f t="shared" ref="H34:H45" si="52">IFERROR(VLOOKUP($B34,_XM_XT_THUCTE,11,0),"")</f>
        <v>+</v>
      </c>
      <c r="I34" s="789">
        <f t="shared" ref="I34:I45" si="53">IFERROR(VLOOKUP($B34,_XM_XT_THUCTE,12,0),"")</f>
        <v>12.767399999999959</v>
      </c>
      <c r="J34" s="784" t="str">
        <f t="shared" si="7"/>
        <v>kg</v>
      </c>
      <c r="K34" s="784">
        <f t="shared" ref="K34:K45" si="54">IFERROR(VLOOKUP($B34,_XM_XT_THUCTE,17,0),"")</f>
        <v>14.661600000000032</v>
      </c>
      <c r="L34" s="789" t="str">
        <f t="shared" ref="L34:L45" si="55">IFERROR(VLOOKUP($B34,_XM_XT_THUCTE,18,0),"")</f>
        <v>+</v>
      </c>
      <c r="M34" s="784">
        <f t="shared" ref="M34:M45" si="56">IFERROR(VLOOKUP($B34,_XM_XT_THUCTE,20,0),"")</f>
        <v>15</v>
      </c>
      <c r="N34" s="784">
        <f t="shared" ref="N34:N45" si="57">IFERROR(VLOOKUP($B34,_XM_XT_THUCTE,23,0),"")</f>
        <v>64.680000000000007</v>
      </c>
      <c r="O34" s="789">
        <f t="shared" ref="O34:O45" si="58">IFERROR(VLOOKUP($B34,_XM_XT_THUCTE,24,0),"")</f>
        <v>-38.376000000000062</v>
      </c>
      <c r="P34" s="784">
        <f t="shared" ref="P34:P45" si="59">IFERROR(VLOOKUP($B34,_XM_XT_THUCTE,26,0),"")</f>
        <v>0</v>
      </c>
      <c r="Q34" s="784">
        <f t="shared" ref="Q34:Q45" si="60">IFERROR(VLOOKUP($B34,_XM_XT_THUCTE,29,0),"")</f>
        <v>13.4</v>
      </c>
      <c r="R34" s="789">
        <f t="shared" ref="R34:R45" si="61">IFERROR(VLOOKUP($B34,_XM_XT_THUCTE,30,0),"")</f>
        <v>61.908000000000001</v>
      </c>
      <c r="S34" s="784" t="str">
        <f t="shared" ref="S34:S45" si="62">IFERROR(VLOOKUP($B34,_XM_XT_THUCTE,32,0),"")</f>
        <v>+</v>
      </c>
      <c r="T34" s="777" t="str">
        <f t="shared" ref="T34:T45" si="63">IFERROR(VLOOKUP($B34,_XM_XT_THUCTE,35,0),"")</f>
        <v>kg</v>
      </c>
      <c r="U34" s="778">
        <f t="shared" ref="U34:U45" si="64">IFERROR(VLOOKUP($B34,_XM_XT_THUCTE,36,0),"")</f>
        <v>13.3</v>
      </c>
      <c r="V34" s="784">
        <f t="shared" ref="V34:V45" si="65">IFERROR(VLOOKUP($B34,_XM_XT_THUCTE,38,0),"")</f>
        <v>-11.857200000000041</v>
      </c>
      <c r="W34" s="777" t="str">
        <f t="shared" ref="W34:W45" si="66">IFERROR(VLOOKUP($B34,_XM_XT_THUCTE,41,0),"")</f>
        <v/>
      </c>
      <c r="X34" s="778" t="str">
        <f t="shared" ref="X34:X45" si="67">IFERROR(VLOOKUP($B34,_XM_XT_THUCTE,42,0),"")</f>
        <v>kg</v>
      </c>
      <c r="Z34" s="316" t="b">
        <f t="shared" si="23"/>
        <v>1</v>
      </c>
      <c r="AA34" s="316" t="b">
        <f t="shared" si="24"/>
        <v>0</v>
      </c>
      <c r="AB34" s="316" t="b">
        <f t="shared" si="25"/>
        <v>0</v>
      </c>
      <c r="AC34" s="316" t="b">
        <f t="shared" si="26"/>
        <v>1</v>
      </c>
      <c r="AD34" s="316" t="b">
        <f t="shared" si="27"/>
        <v>1</v>
      </c>
      <c r="AE34" s="316" t="b">
        <f t="shared" si="28"/>
        <v>1</v>
      </c>
      <c r="AF34" s="316" t="b">
        <f t="shared" si="29"/>
        <v>1</v>
      </c>
      <c r="AG34" s="316" t="b">
        <f t="shared" si="30"/>
        <v>1</v>
      </c>
      <c r="AH34" s="316" t="b">
        <f t="shared" si="31"/>
        <v>0</v>
      </c>
      <c r="AI34" s="316" t="b">
        <f t="shared" si="32"/>
        <v>0</v>
      </c>
      <c r="AJ34" s="316" t="b">
        <f t="shared" si="33"/>
        <v>1</v>
      </c>
      <c r="AK34" s="316" t="b">
        <f t="shared" si="34"/>
        <v>0</v>
      </c>
      <c r="AL34" s="810" t="str">
        <f t="shared" si="35"/>
        <v/>
      </c>
      <c r="AM34" s="811">
        <f t="shared" si="36"/>
        <v>1</v>
      </c>
      <c r="AN34" s="811">
        <f t="shared" si="37"/>
        <v>1</v>
      </c>
      <c r="AO34" s="811" t="str">
        <f t="shared" si="38"/>
        <v/>
      </c>
      <c r="AP34" s="811" t="str">
        <f t="shared" si="39"/>
        <v/>
      </c>
      <c r="AQ34" s="811" t="str">
        <f t="shared" si="40"/>
        <v/>
      </c>
      <c r="AR34" s="811" t="str">
        <f t="shared" si="41"/>
        <v/>
      </c>
      <c r="AS34" s="811" t="str">
        <f t="shared" si="42"/>
        <v/>
      </c>
      <c r="AT34" s="811">
        <f t="shared" si="43"/>
        <v>1</v>
      </c>
      <c r="AU34" s="811">
        <f t="shared" si="44"/>
        <v>1</v>
      </c>
      <c r="AV34" s="811" t="str">
        <f t="shared" si="45"/>
        <v/>
      </c>
      <c r="AW34" s="815">
        <f t="shared" si="45"/>
        <v>1</v>
      </c>
    </row>
    <row r="35" spans="1:49" s="316" customFormat="1">
      <c r="A35" s="795" t="str">
        <f t="shared" si="46"/>
        <v>Ca 1,</v>
      </c>
      <c r="B35" s="315" t="s">
        <v>288</v>
      </c>
      <c r="C35" s="315" t="str">
        <f t="shared" si="47"/>
        <v>Điện giải  電解  (20,21)
EC-508A</v>
      </c>
      <c r="D35" s="315" t="str">
        <f t="shared" si="48"/>
        <v>XT-000C</v>
      </c>
      <c r="E35" s="315" t="str">
        <f t="shared" si="49"/>
        <v>g/L</v>
      </c>
      <c r="F35" s="315" t="str">
        <f t="shared" si="50"/>
        <v>50~70</v>
      </c>
      <c r="G35" s="784">
        <f t="shared" si="51"/>
        <v>13</v>
      </c>
      <c r="H35" s="784" t="str">
        <f t="shared" si="52"/>
        <v>+</v>
      </c>
      <c r="I35" s="789">
        <f t="shared" si="53"/>
        <v>0</v>
      </c>
      <c r="J35" s="784" t="str">
        <f t="shared" si="7"/>
        <v>kg</v>
      </c>
      <c r="K35" s="784">
        <f t="shared" si="54"/>
        <v>3.4845359999999475</v>
      </c>
      <c r="L35" s="789" t="str">
        <f t="shared" si="55"/>
        <v>+</v>
      </c>
      <c r="M35" s="784">
        <f t="shared" si="56"/>
        <v>10</v>
      </c>
      <c r="N35" s="784">
        <f t="shared" si="57"/>
        <v>60.983999999999995</v>
      </c>
      <c r="O35" s="789">
        <f t="shared" si="58"/>
        <v>-8.5293119999999547</v>
      </c>
      <c r="P35" s="784">
        <f t="shared" si="59"/>
        <v>0</v>
      </c>
      <c r="Q35" s="784">
        <f t="shared" si="60"/>
        <v>13</v>
      </c>
      <c r="R35" s="789">
        <f t="shared" si="61"/>
        <v>60.06</v>
      </c>
      <c r="S35" s="784" t="str">
        <f t="shared" si="62"/>
        <v>+</v>
      </c>
      <c r="T35" s="777" t="str">
        <f t="shared" si="63"/>
        <v>kg</v>
      </c>
      <c r="U35" s="778">
        <f t="shared" si="64"/>
        <v>13</v>
      </c>
      <c r="V35" s="784">
        <f t="shared" si="65"/>
        <v>-0.52008000000001975</v>
      </c>
      <c r="W35" s="777" t="str">
        <f t="shared" si="66"/>
        <v/>
      </c>
      <c r="X35" s="778" t="str">
        <f t="shared" si="67"/>
        <v>kg</v>
      </c>
      <c r="Z35" s="316" t="b">
        <f t="shared" si="23"/>
        <v>1</v>
      </c>
      <c r="AA35" s="316" t="b">
        <f t="shared" si="24"/>
        <v>0</v>
      </c>
      <c r="AB35" s="316" t="b">
        <f t="shared" si="25"/>
        <v>0</v>
      </c>
      <c r="AC35" s="316" t="b">
        <f t="shared" si="26"/>
        <v>1</v>
      </c>
      <c r="AD35" s="316" t="b">
        <f t="shared" si="27"/>
        <v>1</v>
      </c>
      <c r="AE35" s="316" t="b">
        <f t="shared" si="28"/>
        <v>1</v>
      </c>
      <c r="AF35" s="316" t="b">
        <f t="shared" si="29"/>
        <v>1</v>
      </c>
      <c r="AG35" s="316" t="b">
        <f t="shared" si="30"/>
        <v>1</v>
      </c>
      <c r="AH35" s="316" t="b">
        <f t="shared" si="31"/>
        <v>0</v>
      </c>
      <c r="AI35" s="316" t="b">
        <f t="shared" si="32"/>
        <v>0</v>
      </c>
      <c r="AJ35" s="316" t="b">
        <f t="shared" si="33"/>
        <v>1</v>
      </c>
      <c r="AK35" s="316" t="b">
        <f t="shared" si="34"/>
        <v>0</v>
      </c>
      <c r="AL35" s="810" t="str">
        <f t="shared" si="35"/>
        <v/>
      </c>
      <c r="AM35" s="811">
        <f t="shared" si="36"/>
        <v>1</v>
      </c>
      <c r="AN35" s="811">
        <f t="shared" si="37"/>
        <v>1</v>
      </c>
      <c r="AO35" s="811" t="str">
        <f t="shared" si="38"/>
        <v/>
      </c>
      <c r="AP35" s="811" t="str">
        <f t="shared" si="39"/>
        <v/>
      </c>
      <c r="AQ35" s="811" t="str">
        <f t="shared" si="40"/>
        <v/>
      </c>
      <c r="AR35" s="811" t="str">
        <f t="shared" si="41"/>
        <v/>
      </c>
      <c r="AS35" s="811" t="str">
        <f t="shared" si="42"/>
        <v/>
      </c>
      <c r="AT35" s="811">
        <f t="shared" si="43"/>
        <v>1</v>
      </c>
      <c r="AU35" s="811">
        <f t="shared" si="44"/>
        <v>1</v>
      </c>
      <c r="AV35" s="811" t="str">
        <f t="shared" si="45"/>
        <v/>
      </c>
      <c r="AW35" s="815">
        <f t="shared" si="45"/>
        <v>1</v>
      </c>
    </row>
    <row r="36" spans="1:49" s="316" customFormat="1">
      <c r="A36" s="795" t="str">
        <f t="shared" si="46"/>
        <v>Ca 1,</v>
      </c>
      <c r="B36" s="315" t="s">
        <v>289</v>
      </c>
      <c r="C36" s="315" t="str">
        <f t="shared" si="47"/>
        <v>NaOH (26-37)
氫氧化鈉</v>
      </c>
      <c r="D36" s="315" t="str">
        <f t="shared" si="48"/>
        <v>XT-000C</v>
      </c>
      <c r="E36" s="315" t="str">
        <f t="shared" si="49"/>
        <v>g/L</v>
      </c>
      <c r="F36" s="315" t="str">
        <f t="shared" si="50"/>
        <v>135~ 145</v>
      </c>
      <c r="G36" s="784">
        <f t="shared" si="51"/>
        <v>17.25</v>
      </c>
      <c r="H36" s="784" t="str">
        <f t="shared" si="52"/>
        <v>+</v>
      </c>
      <c r="I36" s="789">
        <f t="shared" si="53"/>
        <v>106.13200000000001</v>
      </c>
      <c r="J36" s="784" t="str">
        <f t="shared" si="7"/>
        <v>kg</v>
      </c>
      <c r="K36" s="784">
        <f t="shared" si="54"/>
        <v>0</v>
      </c>
      <c r="L36" s="789" t="str">
        <f t="shared" si="55"/>
        <v>+</v>
      </c>
      <c r="M36" s="784" t="str">
        <f t="shared" si="56"/>
        <v/>
      </c>
      <c r="N36" s="784">
        <f t="shared" si="57"/>
        <v>137.6</v>
      </c>
      <c r="O36" s="789">
        <f t="shared" si="58"/>
        <v>127.3584000000003</v>
      </c>
      <c r="P36" s="784">
        <f t="shared" si="59"/>
        <v>127.3584000000003</v>
      </c>
      <c r="Q36" s="784">
        <f t="shared" si="60"/>
        <v>17.5</v>
      </c>
      <c r="R36" s="789">
        <f t="shared" si="61"/>
        <v>140</v>
      </c>
      <c r="S36" s="784" t="str">
        <f t="shared" si="62"/>
        <v>+</v>
      </c>
      <c r="T36" s="777" t="str">
        <f t="shared" si="63"/>
        <v>kg</v>
      </c>
      <c r="U36" s="778">
        <f t="shared" si="64"/>
        <v>17.5</v>
      </c>
      <c r="V36" s="784">
        <f t="shared" si="65"/>
        <v>0</v>
      </c>
      <c r="W36" s="777" t="str">
        <f t="shared" si="66"/>
        <v/>
      </c>
      <c r="X36" s="778" t="str">
        <f t="shared" si="67"/>
        <v>kg</v>
      </c>
      <c r="Z36" s="316" t="b">
        <f t="shared" si="23"/>
        <v>1</v>
      </c>
      <c r="AA36" s="316" t="b">
        <f t="shared" si="24"/>
        <v>0</v>
      </c>
      <c r="AB36" s="316" t="b">
        <f t="shared" si="25"/>
        <v>0</v>
      </c>
      <c r="AC36" s="316" t="b">
        <f t="shared" si="26"/>
        <v>1</v>
      </c>
      <c r="AD36" s="316" t="b">
        <f t="shared" si="27"/>
        <v>0</v>
      </c>
      <c r="AE36" s="316" t="b">
        <f t="shared" si="28"/>
        <v>1</v>
      </c>
      <c r="AF36" s="316" t="b">
        <f t="shared" si="29"/>
        <v>1</v>
      </c>
      <c r="AG36" s="316" t="b">
        <f t="shared" si="30"/>
        <v>1</v>
      </c>
      <c r="AH36" s="316" t="b">
        <f t="shared" si="31"/>
        <v>0</v>
      </c>
      <c r="AI36" s="316" t="b">
        <f t="shared" si="32"/>
        <v>0</v>
      </c>
      <c r="AJ36" s="316" t="b">
        <f t="shared" si="33"/>
        <v>1</v>
      </c>
      <c r="AK36" s="316" t="b">
        <f t="shared" si="34"/>
        <v>0</v>
      </c>
      <c r="AL36" s="810" t="str">
        <f t="shared" si="35"/>
        <v/>
      </c>
      <c r="AM36" s="811">
        <f t="shared" si="36"/>
        <v>1</v>
      </c>
      <c r="AN36" s="811">
        <f t="shared" si="37"/>
        <v>1</v>
      </c>
      <c r="AO36" s="811" t="str">
        <f t="shared" si="38"/>
        <v/>
      </c>
      <c r="AP36" s="811">
        <f t="shared" si="39"/>
        <v>1</v>
      </c>
      <c r="AQ36" s="811" t="str">
        <f t="shared" si="40"/>
        <v/>
      </c>
      <c r="AR36" s="811" t="str">
        <f t="shared" si="41"/>
        <v/>
      </c>
      <c r="AS36" s="811" t="str">
        <f t="shared" si="42"/>
        <v/>
      </c>
      <c r="AT36" s="811">
        <f t="shared" si="43"/>
        <v>1</v>
      </c>
      <c r="AU36" s="811">
        <f t="shared" si="44"/>
        <v>1</v>
      </c>
      <c r="AV36" s="811" t="str">
        <f t="shared" si="45"/>
        <v/>
      </c>
      <c r="AW36" s="815">
        <f t="shared" si="45"/>
        <v>1</v>
      </c>
    </row>
    <row r="37" spans="1:49" s="316" customFormat="1">
      <c r="A37" s="795" t="str">
        <f t="shared" si="46"/>
        <v>Ca 1,</v>
      </c>
      <c r="B37" s="315" t="s">
        <v>290</v>
      </c>
      <c r="C37" s="315" t="str">
        <f t="shared" si="47"/>
        <v>Zn  鋅 (26-37)
(1 pcs Zn=25kg)</v>
      </c>
      <c r="D37" s="315" t="str">
        <f t="shared" si="48"/>
        <v>XT-000C</v>
      </c>
      <c r="E37" s="315" t="str">
        <f t="shared" si="49"/>
        <v>g/L</v>
      </c>
      <c r="F37" s="315" t="str">
        <f t="shared" si="50"/>
        <v>7~10</v>
      </c>
      <c r="G37" s="784">
        <f t="shared" si="51"/>
        <v>6.5</v>
      </c>
      <c r="H37" s="784" t="str">
        <f t="shared" si="52"/>
        <v>+</v>
      </c>
      <c r="I37" s="789">
        <f t="shared" si="53"/>
        <v>2.6532999999999434</v>
      </c>
      <c r="J37" s="784" t="str">
        <f t="shared" si="7"/>
        <v>kg</v>
      </c>
      <c r="K37" s="784">
        <f t="shared" si="54"/>
        <v>2.6532999999999434</v>
      </c>
      <c r="L37" s="789" t="str">
        <f t="shared" si="55"/>
        <v>+</v>
      </c>
      <c r="M37" s="784" t="str">
        <f t="shared" si="56"/>
        <v/>
      </c>
      <c r="N37" s="784">
        <f t="shared" si="57"/>
        <v>8.3849999999999998</v>
      </c>
      <c r="O37" s="789">
        <f t="shared" si="58"/>
        <v>6.1025900000000108</v>
      </c>
      <c r="P37" s="784">
        <f t="shared" si="59"/>
        <v>6.1025900000000108</v>
      </c>
      <c r="Q37" s="784">
        <f t="shared" si="60"/>
        <v>6.55</v>
      </c>
      <c r="R37" s="789">
        <f t="shared" si="61"/>
        <v>8.5150000000000006</v>
      </c>
      <c r="S37" s="784" t="str">
        <f t="shared" si="62"/>
        <v>+</v>
      </c>
      <c r="T37" s="777" t="str">
        <f t="shared" si="63"/>
        <v>kg</v>
      </c>
      <c r="U37" s="778">
        <f t="shared" si="64"/>
        <v>6.5</v>
      </c>
      <c r="V37" s="784">
        <f t="shared" si="65"/>
        <v>2.6532999999999434</v>
      </c>
      <c r="W37" s="777" t="str">
        <f t="shared" si="66"/>
        <v/>
      </c>
      <c r="X37" s="778" t="str">
        <f t="shared" si="67"/>
        <v>kg</v>
      </c>
      <c r="Z37" s="316" t="b">
        <f t="shared" si="23"/>
        <v>1</v>
      </c>
      <c r="AA37" s="316" t="b">
        <f t="shared" si="24"/>
        <v>0</v>
      </c>
      <c r="AB37" s="316" t="b">
        <f t="shared" si="25"/>
        <v>0</v>
      </c>
      <c r="AC37" s="316" t="b">
        <f t="shared" si="26"/>
        <v>1</v>
      </c>
      <c r="AD37" s="316" t="b">
        <f t="shared" si="27"/>
        <v>0</v>
      </c>
      <c r="AE37" s="316" t="b">
        <f t="shared" si="28"/>
        <v>1</v>
      </c>
      <c r="AF37" s="316" t="b">
        <f t="shared" si="29"/>
        <v>1</v>
      </c>
      <c r="AG37" s="316" t="b">
        <f t="shared" si="30"/>
        <v>1</v>
      </c>
      <c r="AH37" s="316" t="b">
        <f t="shared" si="31"/>
        <v>0</v>
      </c>
      <c r="AI37" s="316" t="b">
        <f t="shared" si="32"/>
        <v>0</v>
      </c>
      <c r="AJ37" s="316" t="b">
        <f t="shared" si="33"/>
        <v>1</v>
      </c>
      <c r="AK37" s="316" t="b">
        <f t="shared" si="34"/>
        <v>0</v>
      </c>
      <c r="AL37" s="810" t="str">
        <f t="shared" si="35"/>
        <v/>
      </c>
      <c r="AM37" s="811">
        <f t="shared" si="36"/>
        <v>1</v>
      </c>
      <c r="AN37" s="811">
        <f t="shared" si="37"/>
        <v>1</v>
      </c>
      <c r="AO37" s="811" t="str">
        <f t="shared" si="38"/>
        <v/>
      </c>
      <c r="AP37" s="811">
        <f t="shared" si="39"/>
        <v>1</v>
      </c>
      <c r="AQ37" s="811" t="str">
        <f t="shared" si="40"/>
        <v/>
      </c>
      <c r="AR37" s="811" t="str">
        <f t="shared" si="41"/>
        <v/>
      </c>
      <c r="AS37" s="811" t="str">
        <f t="shared" si="42"/>
        <v/>
      </c>
      <c r="AT37" s="811">
        <f t="shared" si="43"/>
        <v>1</v>
      </c>
      <c r="AU37" s="811">
        <f t="shared" si="44"/>
        <v>1</v>
      </c>
      <c r="AV37" s="811" t="str">
        <f t="shared" si="45"/>
        <v/>
      </c>
      <c r="AW37" s="815">
        <f t="shared" si="45"/>
        <v>1</v>
      </c>
    </row>
    <row r="38" spans="1:49" s="316" customFormat="1">
      <c r="A38" s="795" t="str">
        <f t="shared" si="46"/>
        <v>Ca 1,</v>
      </c>
      <c r="B38" s="315" t="s">
        <v>291</v>
      </c>
      <c r="C38" s="315" t="str">
        <f t="shared" si="47"/>
        <v>Nồng độ Cr2O3 三價鉻(46)
LANTHANE 318 (HALO)</v>
      </c>
      <c r="D38" s="315" t="str">
        <f t="shared" si="48"/>
        <v>XT-000C</v>
      </c>
      <c r="E38" s="315" t="str">
        <f t="shared" si="49"/>
        <v>%</v>
      </c>
      <c r="F38" s="315" t="str">
        <f t="shared" si="50"/>
        <v>5~8</v>
      </c>
      <c r="G38" s="784">
        <f t="shared" si="51"/>
        <v>17.8</v>
      </c>
      <c r="H38" s="784" t="str">
        <f t="shared" si="52"/>
        <v>+</v>
      </c>
      <c r="I38" s="789">
        <f t="shared" si="53"/>
        <v>0</v>
      </c>
      <c r="J38" s="784" t="str">
        <f t="shared" si="7"/>
        <v>L</v>
      </c>
      <c r="K38" s="784">
        <f t="shared" si="54"/>
        <v>-15.945720000000021</v>
      </c>
      <c r="L38" s="789" t="str">
        <f t="shared" si="55"/>
        <v>+</v>
      </c>
      <c r="M38" s="784" t="str">
        <f t="shared" si="56"/>
        <v/>
      </c>
      <c r="N38" s="784">
        <f t="shared" si="57"/>
        <v>6.1568000000000005</v>
      </c>
      <c r="O38" s="789">
        <f t="shared" si="58"/>
        <v>-5.2684800000000163</v>
      </c>
      <c r="P38" s="784">
        <f t="shared" si="59"/>
        <v>0</v>
      </c>
      <c r="Q38" s="784">
        <f t="shared" si="60"/>
        <v>17.3</v>
      </c>
      <c r="R38" s="789">
        <f t="shared" si="61"/>
        <v>6.2839100000000006</v>
      </c>
      <c r="S38" s="784" t="str">
        <f t="shared" si="62"/>
        <v>+</v>
      </c>
      <c r="T38" s="777" t="str">
        <f t="shared" si="63"/>
        <v>L</v>
      </c>
      <c r="U38" s="778">
        <f t="shared" si="64"/>
        <v>17.2</v>
      </c>
      <c r="V38" s="784">
        <f t="shared" si="65"/>
        <v>-8.1157439999999887</v>
      </c>
      <c r="W38" s="777" t="str">
        <f t="shared" si="66"/>
        <v/>
      </c>
      <c r="X38" s="778" t="str">
        <f t="shared" si="67"/>
        <v>L</v>
      </c>
      <c r="Z38" s="316" t="b">
        <f t="shared" si="23"/>
        <v>1</v>
      </c>
      <c r="AA38" s="316" t="b">
        <f t="shared" si="24"/>
        <v>0</v>
      </c>
      <c r="AB38" s="316" t="b">
        <f t="shared" si="25"/>
        <v>0</v>
      </c>
      <c r="AC38" s="316" t="b">
        <f t="shared" si="26"/>
        <v>1</v>
      </c>
      <c r="AD38" s="316" t="b">
        <f t="shared" si="27"/>
        <v>0</v>
      </c>
      <c r="AE38" s="316" t="b">
        <f t="shared" si="28"/>
        <v>1</v>
      </c>
      <c r="AF38" s="316" t="b">
        <f t="shared" si="29"/>
        <v>1</v>
      </c>
      <c r="AG38" s="316" t="b">
        <f t="shared" si="30"/>
        <v>1</v>
      </c>
      <c r="AH38" s="316" t="b">
        <f t="shared" si="31"/>
        <v>0</v>
      </c>
      <c r="AI38" s="316" t="b">
        <f t="shared" si="32"/>
        <v>0</v>
      </c>
      <c r="AJ38" s="316" t="b">
        <f t="shared" si="33"/>
        <v>1</v>
      </c>
      <c r="AK38" s="316" t="b">
        <f t="shared" si="34"/>
        <v>0</v>
      </c>
      <c r="AL38" s="810" t="str">
        <f t="shared" si="35"/>
        <v/>
      </c>
      <c r="AM38" s="811">
        <f t="shared" si="36"/>
        <v>1</v>
      </c>
      <c r="AN38" s="811">
        <f t="shared" si="37"/>
        <v>1</v>
      </c>
      <c r="AO38" s="811" t="str">
        <f t="shared" si="38"/>
        <v/>
      </c>
      <c r="AP38" s="811">
        <f t="shared" si="39"/>
        <v>1</v>
      </c>
      <c r="AQ38" s="811" t="str">
        <f t="shared" si="40"/>
        <v/>
      </c>
      <c r="AR38" s="811" t="str">
        <f t="shared" si="41"/>
        <v/>
      </c>
      <c r="AS38" s="811" t="str">
        <f t="shared" si="42"/>
        <v/>
      </c>
      <c r="AT38" s="811">
        <f t="shared" si="43"/>
        <v>1</v>
      </c>
      <c r="AU38" s="811">
        <f t="shared" si="44"/>
        <v>1</v>
      </c>
      <c r="AV38" s="811" t="str">
        <f t="shared" si="45"/>
        <v/>
      </c>
      <c r="AW38" s="815">
        <f t="shared" si="45"/>
        <v>1</v>
      </c>
    </row>
    <row r="39" spans="1:49" s="316" customFormat="1">
      <c r="A39" s="795" t="str">
        <f t="shared" si="46"/>
        <v>Ca 1,</v>
      </c>
      <c r="B39" s="315" t="s">
        <v>292</v>
      </c>
      <c r="C39" s="315" t="str">
        <f t="shared" si="47"/>
        <v>Pha mới: 2024/05/19</v>
      </c>
      <c r="D39" s="315" t="str">
        <f t="shared" si="48"/>
        <v>XT-000C</v>
      </c>
      <c r="E39" s="315" t="str">
        <f t="shared" si="49"/>
        <v>pH</v>
      </c>
      <c r="F39" s="315" t="str">
        <f t="shared" si="50"/>
        <v>2.0~2.4</v>
      </c>
      <c r="G39" s="784">
        <f t="shared" si="51"/>
        <v>0</v>
      </c>
      <c r="H39" s="784">
        <f t="shared" si="52"/>
        <v>0</v>
      </c>
      <c r="I39" s="789">
        <f t="shared" si="53"/>
        <v>0</v>
      </c>
      <c r="J39" s="784">
        <f t="shared" si="7"/>
        <v>0</v>
      </c>
      <c r="K39" s="784">
        <f t="shared" si="54"/>
        <v>0</v>
      </c>
      <c r="L39" s="789">
        <f t="shared" si="55"/>
        <v>0</v>
      </c>
      <c r="M39" s="784" t="str">
        <f t="shared" si="56"/>
        <v/>
      </c>
      <c r="N39" s="784">
        <f t="shared" si="57"/>
        <v>2.2000000000000002</v>
      </c>
      <c r="O39" s="789">
        <f t="shared" si="58"/>
        <v>0</v>
      </c>
      <c r="P39" s="784">
        <f t="shared" si="59"/>
        <v>0</v>
      </c>
      <c r="Q39" s="784">
        <f t="shared" si="60"/>
        <v>0</v>
      </c>
      <c r="R39" s="789">
        <f t="shared" si="61"/>
        <v>2.1800000000000002</v>
      </c>
      <c r="S39" s="784">
        <f t="shared" si="62"/>
        <v>0</v>
      </c>
      <c r="T39" s="777">
        <f t="shared" si="63"/>
        <v>0</v>
      </c>
      <c r="U39" s="778">
        <f t="shared" si="64"/>
        <v>0</v>
      </c>
      <c r="V39" s="784">
        <f t="shared" si="65"/>
        <v>0</v>
      </c>
      <c r="W39" s="777" t="str">
        <f t="shared" si="66"/>
        <v/>
      </c>
      <c r="X39" s="778">
        <f t="shared" si="67"/>
        <v>0</v>
      </c>
      <c r="Z39" s="316" t="b">
        <f t="shared" si="23"/>
        <v>1</v>
      </c>
      <c r="AA39" s="316" t="b">
        <f t="shared" si="24"/>
        <v>1</v>
      </c>
      <c r="AB39" s="316" t="b">
        <f t="shared" si="25"/>
        <v>1</v>
      </c>
      <c r="AC39" s="316" t="b">
        <f t="shared" si="26"/>
        <v>1</v>
      </c>
      <c r="AD39" s="316" t="b">
        <f t="shared" si="27"/>
        <v>0</v>
      </c>
      <c r="AE39" s="316" t="b">
        <f t="shared" si="28"/>
        <v>1</v>
      </c>
      <c r="AF39" s="316" t="b">
        <f t="shared" si="29"/>
        <v>1</v>
      </c>
      <c r="AG39" s="316" t="b">
        <f t="shared" si="30"/>
        <v>1</v>
      </c>
      <c r="AH39" s="316" t="b">
        <f t="shared" si="31"/>
        <v>1</v>
      </c>
      <c r="AI39" s="316" t="b">
        <f t="shared" si="32"/>
        <v>1</v>
      </c>
      <c r="AJ39" s="316" t="b">
        <f t="shared" si="33"/>
        <v>1</v>
      </c>
      <c r="AK39" s="316" t="b">
        <f t="shared" si="34"/>
        <v>0</v>
      </c>
      <c r="AL39" s="810" t="str">
        <f t="shared" si="35"/>
        <v/>
      </c>
      <c r="AM39" s="811" t="str">
        <f t="shared" si="36"/>
        <v/>
      </c>
      <c r="AN39" s="811" t="str">
        <f t="shared" si="37"/>
        <v/>
      </c>
      <c r="AO39" s="811" t="str">
        <f t="shared" si="38"/>
        <v/>
      </c>
      <c r="AP39" s="811">
        <f t="shared" si="39"/>
        <v>1</v>
      </c>
      <c r="AQ39" s="811" t="str">
        <f t="shared" si="40"/>
        <v/>
      </c>
      <c r="AR39" s="811" t="str">
        <f t="shared" si="41"/>
        <v/>
      </c>
      <c r="AS39" s="811" t="str">
        <f t="shared" si="42"/>
        <v/>
      </c>
      <c r="AT39" s="811" t="str">
        <f t="shared" si="43"/>
        <v/>
      </c>
      <c r="AU39" s="811" t="str">
        <f t="shared" si="44"/>
        <v/>
      </c>
      <c r="AV39" s="811" t="str">
        <f t="shared" si="45"/>
        <v/>
      </c>
      <c r="AW39" s="815">
        <f t="shared" si="45"/>
        <v>1</v>
      </c>
    </row>
    <row r="40" spans="1:49" s="316" customFormat="1">
      <c r="A40" s="795" t="str">
        <f t="shared" si="46"/>
        <v>Ca 1,</v>
      </c>
      <c r="B40" s="315" t="s">
        <v>293</v>
      </c>
      <c r="C40" s="315" t="str">
        <f t="shared" si="47"/>
        <v>Nồng độ acid loãng (13)
稀酸 濃度</v>
      </c>
      <c r="D40" s="315" t="str">
        <f t="shared" si="48"/>
        <v>XT-000C</v>
      </c>
      <c r="E40" s="315" t="str">
        <f t="shared" si="49"/>
        <v>%V/V</v>
      </c>
      <c r="F40" s="315" t="str">
        <f t="shared" si="50"/>
        <v>15~25</v>
      </c>
      <c r="G40" s="784">
        <f t="shared" si="51"/>
        <v>0</v>
      </c>
      <c r="H40" s="784" t="str">
        <f t="shared" si="52"/>
        <v>+</v>
      </c>
      <c r="I40" s="789">
        <f t="shared" si="53"/>
        <v>0</v>
      </c>
      <c r="J40" s="784" t="str">
        <f t="shared" si="7"/>
        <v>L</v>
      </c>
      <c r="K40" s="784">
        <f t="shared" si="54"/>
        <v>604.98</v>
      </c>
      <c r="L40" s="789" t="str">
        <f t="shared" si="55"/>
        <v>+</v>
      </c>
      <c r="M40" s="784" t="str">
        <f t="shared" si="56"/>
        <v/>
      </c>
      <c r="N40" s="784">
        <f t="shared" si="57"/>
        <v>0</v>
      </c>
      <c r="O40" s="789">
        <f t="shared" si="58"/>
        <v>604.98</v>
      </c>
      <c r="P40" s="784">
        <f t="shared" si="59"/>
        <v>0</v>
      </c>
      <c r="Q40" s="784">
        <f t="shared" si="60"/>
        <v>0</v>
      </c>
      <c r="R40" s="789">
        <f t="shared" si="61"/>
        <v>0</v>
      </c>
      <c r="S40" s="784" t="str">
        <f t="shared" si="62"/>
        <v>+</v>
      </c>
      <c r="T40" s="777" t="str">
        <f t="shared" si="63"/>
        <v>L</v>
      </c>
      <c r="U40" s="778">
        <f t="shared" si="64"/>
        <v>0</v>
      </c>
      <c r="V40" s="784">
        <f t="shared" si="65"/>
        <v>604.98</v>
      </c>
      <c r="W40" s="777" t="str">
        <f t="shared" si="66"/>
        <v/>
      </c>
      <c r="X40" s="778" t="str">
        <f t="shared" si="67"/>
        <v>L</v>
      </c>
      <c r="Z40" s="316" t="b">
        <f t="shared" si="23"/>
        <v>1</v>
      </c>
      <c r="AA40" s="316" t="b">
        <f t="shared" si="24"/>
        <v>0</v>
      </c>
      <c r="AB40" s="316" t="b">
        <f t="shared" si="25"/>
        <v>0</v>
      </c>
      <c r="AC40" s="316" t="b">
        <f t="shared" si="26"/>
        <v>1</v>
      </c>
      <c r="AD40" s="316" t="b">
        <f t="shared" si="27"/>
        <v>0</v>
      </c>
      <c r="AE40" s="316" t="b">
        <f t="shared" si="28"/>
        <v>1</v>
      </c>
      <c r="AF40" s="316" t="b">
        <f t="shared" si="29"/>
        <v>1</v>
      </c>
      <c r="AG40" s="316" t="b">
        <f t="shared" si="30"/>
        <v>1</v>
      </c>
      <c r="AH40" s="316" t="b">
        <f t="shared" si="31"/>
        <v>0</v>
      </c>
      <c r="AI40" s="316" t="b">
        <f t="shared" si="32"/>
        <v>0</v>
      </c>
      <c r="AJ40" s="316" t="b">
        <f t="shared" si="33"/>
        <v>1</v>
      </c>
      <c r="AK40" s="316" t="b">
        <f t="shared" si="34"/>
        <v>0</v>
      </c>
      <c r="AL40" s="810" t="str">
        <f t="shared" si="35"/>
        <v/>
      </c>
      <c r="AM40" s="811">
        <f t="shared" si="36"/>
        <v>1</v>
      </c>
      <c r="AN40" s="811">
        <f t="shared" si="37"/>
        <v>1</v>
      </c>
      <c r="AO40" s="811" t="str">
        <f t="shared" si="38"/>
        <v/>
      </c>
      <c r="AP40" s="811">
        <f t="shared" si="39"/>
        <v>1</v>
      </c>
      <c r="AQ40" s="811" t="str">
        <f t="shared" si="40"/>
        <v/>
      </c>
      <c r="AR40" s="811" t="str">
        <f t="shared" si="41"/>
        <v/>
      </c>
      <c r="AS40" s="811" t="str">
        <f t="shared" si="42"/>
        <v/>
      </c>
      <c r="AT40" s="811">
        <f t="shared" si="43"/>
        <v>1</v>
      </c>
      <c r="AU40" s="811">
        <f t="shared" si="44"/>
        <v>1</v>
      </c>
      <c r="AV40" s="811" t="str">
        <f t="shared" si="45"/>
        <v/>
      </c>
      <c r="AW40" s="815">
        <f t="shared" si="45"/>
        <v>1</v>
      </c>
    </row>
    <row r="41" spans="1:49" s="316" customFormat="1">
      <c r="A41" s="795" t="str">
        <f t="shared" si="46"/>
        <v>Ca 1,</v>
      </c>
      <c r="B41" s="315" t="s">
        <v>294</v>
      </c>
      <c r="C41" s="315" t="str">
        <f t="shared" si="47"/>
        <v>Nồng độ acid đặc (15,16,17)
鹽酸 濃度</v>
      </c>
      <c r="D41" s="315" t="str">
        <f t="shared" si="48"/>
        <v>XT-000C</v>
      </c>
      <c r="E41" s="315" t="str">
        <f t="shared" si="49"/>
        <v>%V/V</v>
      </c>
      <c r="F41" s="315" t="str">
        <f t="shared" si="50"/>
        <v>40~50</v>
      </c>
      <c r="G41" s="784">
        <f t="shared" si="51"/>
        <v>2.06</v>
      </c>
      <c r="H41" s="784" t="str">
        <f t="shared" si="52"/>
        <v>+</v>
      </c>
      <c r="I41" s="789">
        <f t="shared" si="53"/>
        <v>0</v>
      </c>
      <c r="J41" s="784" t="str">
        <f t="shared" si="7"/>
        <v>L</v>
      </c>
      <c r="K41" s="784">
        <f t="shared" si="54"/>
        <v>-209.52318749999998</v>
      </c>
      <c r="L41" s="789" t="str">
        <f t="shared" si="55"/>
        <v>+</v>
      </c>
      <c r="M41" s="784" t="str">
        <f t="shared" si="56"/>
        <v/>
      </c>
      <c r="N41" s="784">
        <f t="shared" si="57"/>
        <v>0.47906250000000006</v>
      </c>
      <c r="O41" s="789">
        <f t="shared" si="58"/>
        <v>-305.41781250000048</v>
      </c>
      <c r="P41" s="784">
        <f t="shared" si="59"/>
        <v>0</v>
      </c>
      <c r="Q41" s="784">
        <f t="shared" si="60"/>
        <v>2.1</v>
      </c>
      <c r="R41" s="789">
        <f t="shared" si="61"/>
        <v>0.47906250000000006</v>
      </c>
      <c r="S41" s="784" t="str">
        <f t="shared" si="62"/>
        <v>+</v>
      </c>
      <c r="T41" s="777" t="str">
        <f t="shared" si="63"/>
        <v>L</v>
      </c>
      <c r="U41" s="778">
        <f t="shared" si="64"/>
        <v>2.1</v>
      </c>
      <c r="V41" s="784">
        <f t="shared" si="65"/>
        <v>-305.41781250000048</v>
      </c>
      <c r="W41" s="777" t="str">
        <f t="shared" si="66"/>
        <v/>
      </c>
      <c r="X41" s="778" t="str">
        <f t="shared" si="67"/>
        <v>L</v>
      </c>
      <c r="Z41" s="316" t="b">
        <f t="shared" si="23"/>
        <v>1</v>
      </c>
      <c r="AA41" s="316" t="b">
        <f t="shared" si="24"/>
        <v>0</v>
      </c>
      <c r="AB41" s="316" t="b">
        <f t="shared" si="25"/>
        <v>0</v>
      </c>
      <c r="AC41" s="316" t="b">
        <f t="shared" si="26"/>
        <v>1</v>
      </c>
      <c r="AD41" s="316" t="b">
        <f t="shared" si="27"/>
        <v>0</v>
      </c>
      <c r="AE41" s="316" t="b">
        <f t="shared" si="28"/>
        <v>1</v>
      </c>
      <c r="AF41" s="316" t="b">
        <f t="shared" si="29"/>
        <v>1</v>
      </c>
      <c r="AG41" s="316" t="b">
        <f t="shared" si="30"/>
        <v>1</v>
      </c>
      <c r="AH41" s="316" t="b">
        <f t="shared" si="31"/>
        <v>0</v>
      </c>
      <c r="AI41" s="316" t="b">
        <f t="shared" si="32"/>
        <v>0</v>
      </c>
      <c r="AJ41" s="316" t="b">
        <f t="shared" si="33"/>
        <v>1</v>
      </c>
      <c r="AK41" s="316" t="b">
        <f t="shared" si="34"/>
        <v>0</v>
      </c>
      <c r="AL41" s="810" t="str">
        <f t="shared" si="35"/>
        <v/>
      </c>
      <c r="AM41" s="811">
        <f t="shared" si="36"/>
        <v>1</v>
      </c>
      <c r="AN41" s="811">
        <f t="shared" si="37"/>
        <v>1</v>
      </c>
      <c r="AO41" s="811" t="str">
        <f t="shared" si="38"/>
        <v/>
      </c>
      <c r="AP41" s="811">
        <f t="shared" si="39"/>
        <v>1</v>
      </c>
      <c r="AQ41" s="811" t="str">
        <f t="shared" si="40"/>
        <v/>
      </c>
      <c r="AR41" s="811" t="str">
        <f t="shared" si="41"/>
        <v/>
      </c>
      <c r="AS41" s="811" t="str">
        <f t="shared" si="42"/>
        <v/>
      </c>
      <c r="AT41" s="811">
        <f t="shared" si="43"/>
        <v>1</v>
      </c>
      <c r="AU41" s="811">
        <f t="shared" si="44"/>
        <v>1</v>
      </c>
      <c r="AV41" s="811" t="str">
        <f t="shared" si="45"/>
        <v/>
      </c>
      <c r="AW41" s="815">
        <f t="shared" si="45"/>
        <v>1</v>
      </c>
    </row>
    <row r="42" spans="1:49" s="316" customFormat="1">
      <c r="A42" s="795" t="str">
        <f t="shared" si="46"/>
        <v>Ca 1,</v>
      </c>
      <c r="B42" s="315" t="s">
        <v>295</v>
      </c>
      <c r="C42" s="315" t="str">
        <f t="shared" si="47"/>
        <v>Nồng độ acid đặc (12)
鹽酸 濃度</v>
      </c>
      <c r="D42" s="315">
        <f t="shared" si="48"/>
        <v>0</v>
      </c>
      <c r="E42" s="315" t="str">
        <f t="shared" si="49"/>
        <v>%V/V</v>
      </c>
      <c r="F42" s="315" t="str">
        <f t="shared" si="50"/>
        <v>40~50</v>
      </c>
      <c r="G42" s="784">
        <f t="shared" si="51"/>
        <v>1.8</v>
      </c>
      <c r="H42" s="784" t="str">
        <f t="shared" si="52"/>
        <v>+</v>
      </c>
      <c r="I42" s="789">
        <f t="shared" si="53"/>
        <v>127.33874999999998</v>
      </c>
      <c r="J42" s="784" t="str">
        <f t="shared" si="7"/>
        <v>L</v>
      </c>
      <c r="K42" s="784">
        <f t="shared" si="54"/>
        <v>142.09387500000022</v>
      </c>
      <c r="L42" s="789" t="str">
        <f t="shared" si="55"/>
        <v>+</v>
      </c>
      <c r="M42" s="784" t="str">
        <f t="shared" si="56"/>
        <v/>
      </c>
      <c r="N42" s="784">
        <f t="shared" si="57"/>
        <v>0.41062500000000002</v>
      </c>
      <c r="O42" s="789">
        <f t="shared" si="58"/>
        <v>127.33874999999998</v>
      </c>
      <c r="P42" s="784">
        <f t="shared" si="59"/>
        <v>127.33874999999998</v>
      </c>
      <c r="Q42" s="784">
        <f t="shared" si="60"/>
        <v>1.8</v>
      </c>
      <c r="R42" s="789">
        <f t="shared" si="61"/>
        <v>0.41062500000000002</v>
      </c>
      <c r="S42" s="784" t="str">
        <f t="shared" si="62"/>
        <v>+</v>
      </c>
      <c r="T42" s="777" t="str">
        <f t="shared" si="63"/>
        <v>L</v>
      </c>
      <c r="U42" s="778">
        <f t="shared" si="64"/>
        <v>1.88</v>
      </c>
      <c r="V42" s="784">
        <f t="shared" si="65"/>
        <v>68.318250000000191</v>
      </c>
      <c r="W42" s="777" t="str">
        <f t="shared" si="66"/>
        <v/>
      </c>
      <c r="X42" s="778" t="str">
        <f t="shared" si="67"/>
        <v>L</v>
      </c>
      <c r="Z42" s="316" t="b">
        <f t="shared" si="23"/>
        <v>1</v>
      </c>
      <c r="AA42" s="316" t="b">
        <f t="shared" si="24"/>
        <v>0</v>
      </c>
      <c r="AB42" s="316" t="b">
        <f t="shared" si="25"/>
        <v>0</v>
      </c>
      <c r="AC42" s="316" t="b">
        <f t="shared" si="26"/>
        <v>1</v>
      </c>
      <c r="AD42" s="316" t="b">
        <f t="shared" si="27"/>
        <v>0</v>
      </c>
      <c r="AE42" s="316" t="b">
        <f t="shared" si="28"/>
        <v>1</v>
      </c>
      <c r="AF42" s="316" t="b">
        <f t="shared" si="29"/>
        <v>1</v>
      </c>
      <c r="AG42" s="316" t="b">
        <f t="shared" si="30"/>
        <v>1</v>
      </c>
      <c r="AH42" s="316" t="b">
        <f t="shared" si="31"/>
        <v>0</v>
      </c>
      <c r="AI42" s="316" t="b">
        <f t="shared" si="32"/>
        <v>0</v>
      </c>
      <c r="AJ42" s="316" t="b">
        <f t="shared" si="33"/>
        <v>1</v>
      </c>
      <c r="AK42" s="316" t="b">
        <f t="shared" si="34"/>
        <v>0</v>
      </c>
      <c r="AL42" s="810" t="str">
        <f t="shared" si="35"/>
        <v/>
      </c>
      <c r="AM42" s="811">
        <f t="shared" si="36"/>
        <v>1</v>
      </c>
      <c r="AN42" s="811">
        <f t="shared" si="37"/>
        <v>1</v>
      </c>
      <c r="AO42" s="811" t="str">
        <f t="shared" si="38"/>
        <v/>
      </c>
      <c r="AP42" s="811">
        <f t="shared" si="39"/>
        <v>1</v>
      </c>
      <c r="AQ42" s="811" t="str">
        <f t="shared" si="40"/>
        <v/>
      </c>
      <c r="AR42" s="811" t="str">
        <f t="shared" si="41"/>
        <v/>
      </c>
      <c r="AS42" s="811" t="str">
        <f t="shared" si="42"/>
        <v/>
      </c>
      <c r="AT42" s="811">
        <f t="shared" si="43"/>
        <v>1</v>
      </c>
      <c r="AU42" s="811">
        <f t="shared" si="44"/>
        <v>1</v>
      </c>
      <c r="AV42" s="811" t="str">
        <f t="shared" si="45"/>
        <v/>
      </c>
      <c r="AW42" s="815">
        <f t="shared" si="45"/>
        <v>1</v>
      </c>
    </row>
    <row r="43" spans="1:49" s="316" customFormat="1">
      <c r="A43" s="795" t="str">
        <f t="shared" si="46"/>
        <v>Ca 1,</v>
      </c>
      <c r="B43" s="315" t="s">
        <v>296</v>
      </c>
      <c r="C43" s="315" t="str">
        <f t="shared" si="47"/>
        <v>Nồng độ HNO3  (42)
硝酸濃度</v>
      </c>
      <c r="D43" s="315" t="str">
        <f t="shared" si="48"/>
        <v>XT-000C</v>
      </c>
      <c r="E43" s="315" t="str">
        <f t="shared" si="49"/>
        <v>%V/V</v>
      </c>
      <c r="F43" s="315" t="str">
        <f t="shared" si="50"/>
        <v>(1±0.4)=0.6~1.4</v>
      </c>
      <c r="G43" s="784">
        <f t="shared" si="51"/>
        <v>5.3</v>
      </c>
      <c r="H43" s="784" t="str">
        <f t="shared" si="52"/>
        <v>+</v>
      </c>
      <c r="I43" s="789">
        <f t="shared" si="53"/>
        <v>9.5040000000000013</v>
      </c>
      <c r="J43" s="784" t="str">
        <f t="shared" si="7"/>
        <v>L</v>
      </c>
      <c r="K43" s="784">
        <f t="shared" si="54"/>
        <v>9.8644768211920546</v>
      </c>
      <c r="L43" s="789" t="str">
        <f t="shared" si="55"/>
        <v>+</v>
      </c>
      <c r="M43" s="784" t="str">
        <f t="shared" si="56"/>
        <v/>
      </c>
      <c r="N43" s="784">
        <f t="shared" si="57"/>
        <v>7.6859999999999993E-3</v>
      </c>
      <c r="O43" s="789">
        <f t="shared" si="58"/>
        <v>6.6201854304635788</v>
      </c>
      <c r="P43" s="784">
        <f t="shared" si="59"/>
        <v>6.6201854304635788</v>
      </c>
      <c r="Q43" s="784">
        <f t="shared" si="60"/>
        <v>6.2</v>
      </c>
      <c r="R43" s="789">
        <f t="shared" si="61"/>
        <v>7.8120000000000004E-3</v>
      </c>
      <c r="S43" s="784" t="str">
        <f t="shared" si="62"/>
        <v>+</v>
      </c>
      <c r="T43" s="777" t="str">
        <f t="shared" si="63"/>
        <v>L</v>
      </c>
      <c r="U43" s="778">
        <f t="shared" si="64"/>
        <v>6.4</v>
      </c>
      <c r="V43" s="784">
        <f t="shared" si="65"/>
        <v>5.5387549668874172</v>
      </c>
      <c r="W43" s="777" t="str">
        <f t="shared" si="66"/>
        <v/>
      </c>
      <c r="X43" s="778" t="str">
        <f t="shared" si="67"/>
        <v>L</v>
      </c>
      <c r="Z43" s="316" t="b">
        <f t="shared" si="23"/>
        <v>1</v>
      </c>
      <c r="AA43" s="316" t="b">
        <f t="shared" si="24"/>
        <v>0</v>
      </c>
      <c r="AB43" s="316" t="b">
        <f t="shared" si="25"/>
        <v>0</v>
      </c>
      <c r="AC43" s="316" t="b">
        <f t="shared" si="26"/>
        <v>1</v>
      </c>
      <c r="AD43" s="316" t="b">
        <f t="shared" si="27"/>
        <v>0</v>
      </c>
      <c r="AE43" s="316" t="b">
        <f t="shared" si="28"/>
        <v>1</v>
      </c>
      <c r="AF43" s="316" t="b">
        <f t="shared" si="29"/>
        <v>1</v>
      </c>
      <c r="AG43" s="316" t="b">
        <f t="shared" si="30"/>
        <v>1</v>
      </c>
      <c r="AH43" s="316" t="b">
        <f t="shared" si="31"/>
        <v>0</v>
      </c>
      <c r="AI43" s="316" t="b">
        <f t="shared" si="32"/>
        <v>0</v>
      </c>
      <c r="AJ43" s="316" t="b">
        <f t="shared" si="33"/>
        <v>1</v>
      </c>
      <c r="AK43" s="316" t="b">
        <f t="shared" si="34"/>
        <v>0</v>
      </c>
      <c r="AL43" s="810" t="str">
        <f t="shared" si="35"/>
        <v/>
      </c>
      <c r="AM43" s="811">
        <f t="shared" si="36"/>
        <v>1</v>
      </c>
      <c r="AN43" s="811">
        <f t="shared" si="37"/>
        <v>1</v>
      </c>
      <c r="AO43" s="811" t="str">
        <f t="shared" si="38"/>
        <v/>
      </c>
      <c r="AP43" s="811">
        <f t="shared" si="39"/>
        <v>1</v>
      </c>
      <c r="AQ43" s="811" t="str">
        <f t="shared" si="40"/>
        <v/>
      </c>
      <c r="AR43" s="811" t="str">
        <f t="shared" si="41"/>
        <v/>
      </c>
      <c r="AS43" s="811" t="str">
        <f t="shared" si="42"/>
        <v/>
      </c>
      <c r="AT43" s="811">
        <f t="shared" si="43"/>
        <v>1</v>
      </c>
      <c r="AU43" s="811">
        <f t="shared" si="44"/>
        <v>1</v>
      </c>
      <c r="AV43" s="811" t="str">
        <f t="shared" si="45"/>
        <v/>
      </c>
      <c r="AW43" s="815">
        <f t="shared" si="45"/>
        <v>1</v>
      </c>
    </row>
    <row r="44" spans="1:49" s="316" customFormat="1">
      <c r="A44" s="795" t="str">
        <f t="shared" si="46"/>
        <v>Ca 1,</v>
      </c>
      <c r="B44" s="315" t="s">
        <v>306</v>
      </c>
      <c r="C44" s="315" t="str">
        <f t="shared" si="47"/>
        <v>chất bóng (250 brightener)
光亮劑</v>
      </c>
      <c r="D44" s="315" t="str">
        <f t="shared" si="48"/>
        <v>XT-000C</v>
      </c>
      <c r="E44" s="315" t="str">
        <f t="shared" si="49"/>
        <v>ml/KAH</v>
      </c>
      <c r="F44" s="315" t="str">
        <f t="shared" si="50"/>
        <v>30~50 
(40)</v>
      </c>
      <c r="G44" s="784">
        <f t="shared" si="51"/>
        <v>0</v>
      </c>
      <c r="H44" s="784">
        <f t="shared" si="52"/>
        <v>0</v>
      </c>
      <c r="I44" s="789">
        <f t="shared" si="53"/>
        <v>0</v>
      </c>
      <c r="J44" s="784">
        <f t="shared" si="7"/>
        <v>0</v>
      </c>
      <c r="K44" s="784">
        <f t="shared" si="54"/>
        <v>0</v>
      </c>
      <c r="L44" s="789">
        <f t="shared" si="55"/>
        <v>0</v>
      </c>
      <c r="M44" s="784">
        <f t="shared" si="56"/>
        <v>0</v>
      </c>
      <c r="N44" s="784">
        <f t="shared" si="57"/>
        <v>42</v>
      </c>
      <c r="O44" s="789">
        <f t="shared" si="58"/>
        <v>0</v>
      </c>
      <c r="P44" s="784">
        <f t="shared" si="59"/>
        <v>0</v>
      </c>
      <c r="Q44" s="784">
        <f t="shared" si="60"/>
        <v>0</v>
      </c>
      <c r="R44" s="789">
        <f t="shared" si="61"/>
        <v>42</v>
      </c>
      <c r="S44" s="784">
        <f t="shared" si="62"/>
        <v>0</v>
      </c>
      <c r="T44" s="777">
        <f t="shared" si="63"/>
        <v>0</v>
      </c>
      <c r="U44" s="778">
        <f t="shared" si="64"/>
        <v>0</v>
      </c>
      <c r="V44" s="784">
        <f t="shared" si="65"/>
        <v>0</v>
      </c>
      <c r="W44" s="777">
        <f t="shared" si="66"/>
        <v>0</v>
      </c>
      <c r="X44" s="778">
        <f t="shared" si="67"/>
        <v>0</v>
      </c>
      <c r="Z44" s="316" t="b">
        <f t="shared" si="23"/>
        <v>1</v>
      </c>
      <c r="AA44" s="316" t="b">
        <f t="shared" si="24"/>
        <v>1</v>
      </c>
      <c r="AB44" s="316" t="b">
        <f t="shared" si="25"/>
        <v>1</v>
      </c>
      <c r="AC44" s="316" t="b">
        <f t="shared" si="26"/>
        <v>1</v>
      </c>
      <c r="AD44" s="316" t="b">
        <f t="shared" si="27"/>
        <v>1</v>
      </c>
      <c r="AE44" s="316" t="b">
        <f t="shared" si="28"/>
        <v>1</v>
      </c>
      <c r="AF44" s="316" t="b">
        <f t="shared" si="29"/>
        <v>1</v>
      </c>
      <c r="AG44" s="316" t="b">
        <f t="shared" si="30"/>
        <v>1</v>
      </c>
      <c r="AH44" s="316" t="b">
        <f t="shared" si="31"/>
        <v>1</v>
      </c>
      <c r="AI44" s="316" t="b">
        <f t="shared" si="32"/>
        <v>1</v>
      </c>
      <c r="AJ44" s="316" t="b">
        <f t="shared" si="33"/>
        <v>1</v>
      </c>
      <c r="AK44" s="316" t="b">
        <f t="shared" si="34"/>
        <v>1</v>
      </c>
      <c r="AL44" s="810" t="str">
        <f t="shared" si="35"/>
        <v/>
      </c>
      <c r="AM44" s="811" t="str">
        <f t="shared" si="36"/>
        <v/>
      </c>
      <c r="AN44" s="811" t="str">
        <f t="shared" si="37"/>
        <v/>
      </c>
      <c r="AO44" s="811" t="str">
        <f t="shared" si="38"/>
        <v/>
      </c>
      <c r="AP44" s="811" t="str">
        <f t="shared" si="39"/>
        <v/>
      </c>
      <c r="AQ44" s="811" t="str">
        <f t="shared" si="40"/>
        <v/>
      </c>
      <c r="AR44" s="811" t="str">
        <f t="shared" si="41"/>
        <v/>
      </c>
      <c r="AS44" s="811" t="str">
        <f t="shared" si="42"/>
        <v/>
      </c>
      <c r="AT44" s="811" t="str">
        <f t="shared" si="43"/>
        <v/>
      </c>
      <c r="AU44" s="811" t="str">
        <f t="shared" si="44"/>
        <v/>
      </c>
      <c r="AV44" s="811" t="str">
        <f t="shared" si="45"/>
        <v/>
      </c>
      <c r="AW44" s="815" t="str">
        <f t="shared" si="45"/>
        <v/>
      </c>
    </row>
    <row r="45" spans="1:49" s="316" customFormat="1">
      <c r="A45" s="795" t="str">
        <f t="shared" si="46"/>
        <v>Ca 1,</v>
      </c>
      <c r="B45" s="315" t="s">
        <v>307</v>
      </c>
      <c r="C45" s="315" t="str">
        <f t="shared" si="47"/>
        <v>chất mềm (250 base)
開缸劑</v>
      </c>
      <c r="D45" s="315" t="str">
        <f t="shared" si="48"/>
        <v>XT-000C</v>
      </c>
      <c r="E45" s="315" t="str">
        <f t="shared" si="49"/>
        <v>ml/KAH</v>
      </c>
      <c r="F45" s="315" t="str">
        <f t="shared" si="50"/>
        <v>160~220
(180)</v>
      </c>
      <c r="G45" s="784">
        <f t="shared" si="51"/>
        <v>0</v>
      </c>
      <c r="H45" s="784">
        <f t="shared" si="52"/>
        <v>0</v>
      </c>
      <c r="I45" s="789">
        <f t="shared" si="53"/>
        <v>0</v>
      </c>
      <c r="J45" s="784">
        <f t="shared" ref="J45" si="68">IFERROR(VLOOKUP($B45,_XM_XT_THUCTE,14,0),"")</f>
        <v>0</v>
      </c>
      <c r="K45" s="784">
        <f t="shared" si="54"/>
        <v>0</v>
      </c>
      <c r="L45" s="789">
        <f t="shared" si="55"/>
        <v>0</v>
      </c>
      <c r="M45" s="784">
        <f t="shared" si="56"/>
        <v>0</v>
      </c>
      <c r="N45" s="784">
        <f t="shared" si="57"/>
        <v>172</v>
      </c>
      <c r="O45" s="789">
        <f t="shared" si="58"/>
        <v>0</v>
      </c>
      <c r="P45" s="784">
        <f t="shared" si="59"/>
        <v>0</v>
      </c>
      <c r="Q45" s="784">
        <f t="shared" si="60"/>
        <v>0</v>
      </c>
      <c r="R45" s="789">
        <f t="shared" si="61"/>
        <v>170</v>
      </c>
      <c r="S45" s="784">
        <f t="shared" si="62"/>
        <v>0</v>
      </c>
      <c r="T45" s="777">
        <f t="shared" si="63"/>
        <v>0</v>
      </c>
      <c r="U45" s="778">
        <f t="shared" si="64"/>
        <v>0</v>
      </c>
      <c r="V45" s="784">
        <f t="shared" si="65"/>
        <v>0</v>
      </c>
      <c r="W45" s="777">
        <f t="shared" si="66"/>
        <v>0</v>
      </c>
      <c r="X45" s="778">
        <f t="shared" si="67"/>
        <v>0</v>
      </c>
      <c r="Z45" s="316" t="b">
        <f t="shared" si="23"/>
        <v>1</v>
      </c>
      <c r="AA45" s="316" t="b">
        <f t="shared" si="24"/>
        <v>1</v>
      </c>
      <c r="AB45" s="316" t="b">
        <f t="shared" si="25"/>
        <v>1</v>
      </c>
      <c r="AC45" s="316" t="b">
        <f t="shared" si="26"/>
        <v>1</v>
      </c>
      <c r="AD45" s="316" t="b">
        <f t="shared" si="27"/>
        <v>1</v>
      </c>
      <c r="AE45" s="316" t="b">
        <f t="shared" si="28"/>
        <v>1</v>
      </c>
      <c r="AF45" s="316" t="b">
        <f t="shared" si="29"/>
        <v>1</v>
      </c>
      <c r="AG45" s="316" t="b">
        <f t="shared" si="30"/>
        <v>1</v>
      </c>
      <c r="AH45" s="316" t="b">
        <f t="shared" si="31"/>
        <v>1</v>
      </c>
      <c r="AI45" s="316" t="b">
        <f t="shared" si="32"/>
        <v>1</v>
      </c>
      <c r="AJ45" s="316" t="b">
        <f t="shared" si="33"/>
        <v>1</v>
      </c>
      <c r="AK45" s="316" t="b">
        <f t="shared" si="34"/>
        <v>1</v>
      </c>
      <c r="AL45" s="810" t="str">
        <f t="shared" si="35"/>
        <v/>
      </c>
      <c r="AM45" s="811" t="str">
        <f t="shared" si="36"/>
        <v/>
      </c>
      <c r="AN45" s="811" t="str">
        <f t="shared" si="37"/>
        <v/>
      </c>
      <c r="AO45" s="811" t="str">
        <f t="shared" si="38"/>
        <v/>
      </c>
      <c r="AP45" s="811" t="str">
        <f t="shared" si="39"/>
        <v/>
      </c>
      <c r="AQ45" s="811" t="str">
        <f t="shared" si="40"/>
        <v/>
      </c>
      <c r="AR45" s="811" t="str">
        <f t="shared" si="41"/>
        <v/>
      </c>
      <c r="AS45" s="811" t="str">
        <f t="shared" si="42"/>
        <v/>
      </c>
      <c r="AT45" s="811" t="str">
        <f t="shared" si="43"/>
        <v/>
      </c>
      <c r="AU45" s="811" t="str">
        <f t="shared" si="44"/>
        <v/>
      </c>
      <c r="AV45" s="811" t="str">
        <f t="shared" si="45"/>
        <v/>
      </c>
      <c r="AW45" s="815" t="str">
        <f t="shared" si="45"/>
        <v/>
      </c>
    </row>
    <row r="46" spans="1:49" s="793" customFormat="1">
      <c r="A46" s="880" t="str">
        <f t="shared" si="46"/>
        <v>Ca 1,</v>
      </c>
      <c r="B46" s="792" t="s">
        <v>424</v>
      </c>
      <c r="C46" s="792" t="str">
        <f t="shared" ref="C46:C74" si="69">IFERROR(VLOOKUP($B46,RLMLXD,2,0),"")</f>
        <v>Rua acid (1) 鹽酸洗槽</v>
      </c>
      <c r="D46" s="792" t="str">
        <f t="shared" ref="D46:D74" si="70">IFERROR(VLOOKUP($B46,RLMLXD,43,0),"")</f>
        <v>CR-000E</v>
      </c>
      <c r="E46" s="792" t="str">
        <f t="shared" ref="E46:E74" si="71">IFERROR(VLOOKUP($B46,RLMLXD,4,0),"")</f>
        <v>%</v>
      </c>
      <c r="F46" s="792" t="str">
        <f t="shared" ref="F46:F74" si="72">IFERROR(VLOOKUP($B46,RLMLXD,5,0),"")</f>
        <v>10~15%  (12.5%)</v>
      </c>
      <c r="G46" s="779">
        <f t="shared" ref="G46:G99" si="73">IFERROR(VLOOKUP($B46,RLMLXD,8,0),"")</f>
        <v>0</v>
      </c>
      <c r="H46" s="779">
        <f t="shared" ref="H46:H99" si="74">IFERROR(VLOOKUP($B46,RLMLXD,11,0),"")</f>
        <v>0</v>
      </c>
      <c r="I46" s="780" t="str">
        <f t="shared" ref="I46:I99" si="75">IFERROR(VLOOKUP($B46,RLMLXD,12,0),"")</f>
        <v>L</v>
      </c>
      <c r="J46" s="779">
        <f t="shared" ref="J46:J99" si="76">IFERROR(VLOOKUP($B46,RLMLXD,14,0),"")</f>
        <v>0</v>
      </c>
      <c r="K46" s="779">
        <f t="shared" ref="K46:K99" si="77">IFERROR(VLOOKUP($B46,RLMLXD,17,0),"")</f>
        <v>0</v>
      </c>
      <c r="L46" s="780" t="str">
        <f t="shared" ref="L46:L99" si="78">IFERROR(VLOOKUP($B46,RLMLXD,18,0),"")</f>
        <v>L</v>
      </c>
      <c r="M46" s="779">
        <f t="shared" ref="M46:M99" si="79">IFERROR(VLOOKUP($B46,RLMLXD,20,0),"")</f>
        <v>0</v>
      </c>
      <c r="N46" s="779">
        <f t="shared" ref="N46:N99" si="80">IFERROR(VLOOKUP($B46,RLMLXD,23,0),"")</f>
        <v>0</v>
      </c>
      <c r="O46" s="780" t="str">
        <f t="shared" ref="O46:O99" si="81">IFERROR(VLOOKUP($B46,RLMLXD,24,0),"")</f>
        <v>L</v>
      </c>
      <c r="P46" s="779">
        <f t="shared" ref="P46:P99" si="82">IFERROR(VLOOKUP($B46,RLMLXD,26,0),"")</f>
        <v>0</v>
      </c>
      <c r="Q46" s="779">
        <f t="shared" ref="Q46:Q99" si="83">IFERROR(VLOOKUP($B46,RLMLXD,29,0),"")</f>
        <v>0</v>
      </c>
      <c r="R46" s="780" t="str">
        <f t="shared" ref="R46:R99" si="84">IFERROR(VLOOKUP($B46,RLMLXD,30,0),"")</f>
        <v>L</v>
      </c>
      <c r="S46" s="779">
        <f t="shared" ref="S46:S99" si="85">IFERROR(VLOOKUP($B46,RLMLXD,32,0),"")</f>
        <v>0</v>
      </c>
      <c r="T46" s="779">
        <f t="shared" ref="T46:T99" si="86">IFERROR(VLOOKUP($B46,RLMLXD,35,0),"")</f>
        <v>0</v>
      </c>
      <c r="U46" s="780" t="str">
        <f t="shared" ref="U46:U99" si="87">IFERROR(VLOOKUP($B46,RLMLXD,36,0),"")</f>
        <v>L</v>
      </c>
      <c r="V46" s="779">
        <f t="shared" ref="V46:V99" si="88">IFERROR(VLOOKUP($B46,RLMLXD,38,0),"")</f>
        <v>0</v>
      </c>
      <c r="W46" s="779">
        <f t="shared" ref="W46:W99" si="89">IFERROR(VLOOKUP($B46,RLMLXD,41,0),"")</f>
        <v>0</v>
      </c>
      <c r="X46" s="780" t="str">
        <f t="shared" ref="X46:X99" si="90">IFERROR(VLOOKUP($B46,RLMLXD,42,0),"")</f>
        <v>L</v>
      </c>
      <c r="Z46" s="794" t="b">
        <f t="shared" si="23"/>
        <v>1</v>
      </c>
      <c r="AA46" s="794" t="b">
        <f t="shared" si="24"/>
        <v>1</v>
      </c>
      <c r="AB46" s="794" t="b">
        <f t="shared" si="25"/>
        <v>1</v>
      </c>
      <c r="AC46" s="794" t="b">
        <f t="shared" si="26"/>
        <v>1</v>
      </c>
      <c r="AD46" s="794" t="b">
        <f t="shared" si="27"/>
        <v>1</v>
      </c>
      <c r="AE46" s="794" t="b">
        <f t="shared" si="28"/>
        <v>1</v>
      </c>
      <c r="AF46" s="794" t="b">
        <f t="shared" si="29"/>
        <v>1</v>
      </c>
      <c r="AG46" s="794" t="b">
        <f t="shared" si="30"/>
        <v>1</v>
      </c>
      <c r="AH46" s="794" t="b">
        <f t="shared" si="31"/>
        <v>1</v>
      </c>
      <c r="AI46" s="794" t="b">
        <f t="shared" si="32"/>
        <v>1</v>
      </c>
      <c r="AJ46" s="794" t="b">
        <f t="shared" si="33"/>
        <v>1</v>
      </c>
      <c r="AK46" s="794" t="b">
        <f t="shared" si="34"/>
        <v>1</v>
      </c>
      <c r="AL46" s="881" t="str">
        <f t="shared" si="35"/>
        <v/>
      </c>
      <c r="AM46" s="882" t="str">
        <f t="shared" si="36"/>
        <v/>
      </c>
      <c r="AN46" s="882" t="str">
        <f t="shared" si="37"/>
        <v/>
      </c>
      <c r="AO46" s="882" t="str">
        <f t="shared" si="38"/>
        <v/>
      </c>
      <c r="AP46" s="882" t="str">
        <f t="shared" si="39"/>
        <v/>
      </c>
      <c r="AQ46" s="882" t="str">
        <f t="shared" si="40"/>
        <v/>
      </c>
      <c r="AR46" s="882" t="str">
        <f t="shared" si="41"/>
        <v/>
      </c>
      <c r="AS46" s="882" t="str">
        <f t="shared" si="42"/>
        <v/>
      </c>
      <c r="AT46" s="882" t="str">
        <f t="shared" si="43"/>
        <v/>
      </c>
      <c r="AU46" s="882" t="str">
        <f t="shared" si="44"/>
        <v/>
      </c>
      <c r="AV46" s="882" t="str">
        <f t="shared" si="45"/>
        <v/>
      </c>
      <c r="AW46" s="883" t="str">
        <f t="shared" si="45"/>
        <v/>
      </c>
    </row>
    <row r="47" spans="1:49">
      <c r="A47" s="795" t="str">
        <f t="shared" si="46"/>
        <v>Ca 1,</v>
      </c>
      <c r="B47" s="315" t="s">
        <v>428</v>
      </c>
      <c r="C47" s="315" t="str">
        <f t="shared" si="69"/>
        <v>Rua acid (2) 鹽酸洗槽</v>
      </c>
      <c r="D47" s="315" t="str">
        <f t="shared" si="70"/>
        <v>CR-000E</v>
      </c>
      <c r="E47" s="315" t="str">
        <f t="shared" si="71"/>
        <v>%</v>
      </c>
      <c r="F47" s="315" t="str">
        <f t="shared" si="72"/>
        <v>10~15%  (12.5%)</v>
      </c>
      <c r="G47" s="784">
        <f t="shared" si="73"/>
        <v>0</v>
      </c>
      <c r="H47" s="784">
        <f t="shared" si="74"/>
        <v>292.1875</v>
      </c>
      <c r="I47" s="789" t="str">
        <f t="shared" si="75"/>
        <v>L</v>
      </c>
      <c r="J47" s="784">
        <f t="shared" si="76"/>
        <v>0</v>
      </c>
      <c r="K47" s="784">
        <f t="shared" si="77"/>
        <v>292.1875</v>
      </c>
      <c r="L47" s="789" t="str">
        <f t="shared" si="78"/>
        <v>L</v>
      </c>
      <c r="M47" s="784">
        <f t="shared" si="79"/>
        <v>0</v>
      </c>
      <c r="N47" s="784">
        <f t="shared" si="80"/>
        <v>292.1875</v>
      </c>
      <c r="O47" s="789" t="str">
        <f t="shared" si="81"/>
        <v>L</v>
      </c>
      <c r="P47" s="784">
        <f t="shared" si="82"/>
        <v>0</v>
      </c>
      <c r="Q47" s="784">
        <f t="shared" si="83"/>
        <v>292.1875</v>
      </c>
      <c r="R47" s="789" t="str">
        <f t="shared" si="84"/>
        <v>L</v>
      </c>
      <c r="S47" s="784">
        <f t="shared" si="85"/>
        <v>0</v>
      </c>
      <c r="T47" s="777">
        <f t="shared" si="86"/>
        <v>292.1875</v>
      </c>
      <c r="U47" s="778" t="str">
        <f t="shared" si="87"/>
        <v>L</v>
      </c>
      <c r="V47" s="784">
        <f t="shared" si="88"/>
        <v>0</v>
      </c>
      <c r="W47" s="777">
        <f t="shared" si="89"/>
        <v>292.1875</v>
      </c>
      <c r="X47" s="778" t="str">
        <f t="shared" si="90"/>
        <v>L</v>
      </c>
      <c r="Z47" s="316" t="b">
        <f t="shared" si="23"/>
        <v>1</v>
      </c>
      <c r="AA47" s="316" t="b">
        <f t="shared" si="24"/>
        <v>1</v>
      </c>
      <c r="AB47" s="316" t="b">
        <f t="shared" si="25"/>
        <v>1</v>
      </c>
      <c r="AC47" s="316" t="b">
        <f t="shared" si="26"/>
        <v>1</v>
      </c>
      <c r="AD47" s="316" t="b">
        <f t="shared" si="27"/>
        <v>1</v>
      </c>
      <c r="AE47" s="316" t="b">
        <f t="shared" si="28"/>
        <v>1</v>
      </c>
      <c r="AF47" s="316" t="b">
        <f t="shared" si="29"/>
        <v>1</v>
      </c>
      <c r="AG47" s="316" t="b">
        <f t="shared" si="30"/>
        <v>1</v>
      </c>
      <c r="AH47" s="316" t="b">
        <f t="shared" si="31"/>
        <v>1</v>
      </c>
      <c r="AI47" s="316" t="b">
        <f t="shared" si="32"/>
        <v>1</v>
      </c>
      <c r="AJ47" s="316" t="b">
        <f t="shared" si="33"/>
        <v>1</v>
      </c>
      <c r="AK47" s="316" t="b">
        <f t="shared" si="34"/>
        <v>1</v>
      </c>
      <c r="AL47" s="810" t="str">
        <f t="shared" si="35"/>
        <v/>
      </c>
      <c r="AM47" s="811" t="str">
        <f t="shared" si="36"/>
        <v/>
      </c>
      <c r="AN47" s="811" t="str">
        <f t="shared" si="37"/>
        <v/>
      </c>
      <c r="AO47" s="811" t="str">
        <f t="shared" si="38"/>
        <v/>
      </c>
      <c r="AP47" s="811" t="str">
        <f t="shared" si="39"/>
        <v/>
      </c>
      <c r="AQ47" s="811" t="str">
        <f t="shared" si="40"/>
        <v/>
      </c>
      <c r="AR47" s="811" t="str">
        <f t="shared" si="41"/>
        <v/>
      </c>
      <c r="AS47" s="811" t="str">
        <f t="shared" si="42"/>
        <v/>
      </c>
      <c r="AT47" s="811" t="str">
        <f t="shared" si="43"/>
        <v/>
      </c>
      <c r="AU47" s="811" t="str">
        <f t="shared" si="44"/>
        <v/>
      </c>
      <c r="AV47" s="811" t="str">
        <f t="shared" si="45"/>
        <v/>
      </c>
      <c r="AW47" s="815" t="str">
        <f t="shared" si="45"/>
        <v/>
      </c>
    </row>
    <row r="48" spans="1:49">
      <c r="A48" s="795" t="str">
        <f t="shared" si="46"/>
        <v>Ca 1,</v>
      </c>
      <c r="B48" s="315" t="s">
        <v>429</v>
      </c>
      <c r="C48" s="315" t="str">
        <f t="shared" si="69"/>
        <v>Muối axit Phosphoric  (TA)
磷酸鹽</v>
      </c>
      <c r="D48" s="315" t="str">
        <f t="shared" si="70"/>
        <v>CR-000E</v>
      </c>
      <c r="E48" s="315" t="str">
        <f t="shared" si="71"/>
        <v>Point</v>
      </c>
      <c r="F48" s="315" t="str">
        <f t="shared" si="72"/>
        <v>Tổng chua TA 全酸
40~60 (50)</v>
      </c>
      <c r="G48" s="784">
        <f t="shared" si="73"/>
        <v>0</v>
      </c>
      <c r="H48" s="784">
        <f t="shared" si="74"/>
        <v>0</v>
      </c>
      <c r="I48" s="789" t="str">
        <f t="shared" si="75"/>
        <v>kg</v>
      </c>
      <c r="J48" s="784">
        <f t="shared" si="76"/>
        <v>0</v>
      </c>
      <c r="K48" s="784">
        <f t="shared" si="77"/>
        <v>0</v>
      </c>
      <c r="L48" s="789" t="str">
        <f t="shared" si="78"/>
        <v>kg</v>
      </c>
      <c r="M48" s="784">
        <f t="shared" si="79"/>
        <v>0</v>
      </c>
      <c r="N48" s="784">
        <f t="shared" si="80"/>
        <v>0</v>
      </c>
      <c r="O48" s="789" t="str">
        <f t="shared" si="81"/>
        <v>kg</v>
      </c>
      <c r="P48" s="784">
        <f t="shared" si="82"/>
        <v>0</v>
      </c>
      <c r="Q48" s="784">
        <f t="shared" si="83"/>
        <v>0</v>
      </c>
      <c r="R48" s="789" t="str">
        <f t="shared" si="84"/>
        <v>kg</v>
      </c>
      <c r="S48" s="784">
        <f t="shared" si="85"/>
        <v>0</v>
      </c>
      <c r="T48" s="777">
        <f t="shared" si="86"/>
        <v>0</v>
      </c>
      <c r="U48" s="778" t="str">
        <f t="shared" si="87"/>
        <v>kg</v>
      </c>
      <c r="V48" s="784">
        <f t="shared" si="88"/>
        <v>0</v>
      </c>
      <c r="W48" s="777">
        <f t="shared" si="89"/>
        <v>0</v>
      </c>
      <c r="X48" s="778" t="str">
        <f t="shared" si="90"/>
        <v>kg</v>
      </c>
      <c r="Z48" s="316" t="b">
        <f t="shared" si="23"/>
        <v>1</v>
      </c>
      <c r="AA48" s="316" t="b">
        <f t="shared" si="24"/>
        <v>1</v>
      </c>
      <c r="AB48" s="316" t="b">
        <f t="shared" si="25"/>
        <v>1</v>
      </c>
      <c r="AC48" s="316" t="b">
        <f t="shared" si="26"/>
        <v>1</v>
      </c>
      <c r="AD48" s="316" t="b">
        <f t="shared" si="27"/>
        <v>1</v>
      </c>
      <c r="AE48" s="316" t="b">
        <f t="shared" si="28"/>
        <v>1</v>
      </c>
      <c r="AF48" s="316" t="b">
        <f t="shared" si="29"/>
        <v>1</v>
      </c>
      <c r="AG48" s="316" t="b">
        <f t="shared" si="30"/>
        <v>1</v>
      </c>
      <c r="AH48" s="316" t="b">
        <f t="shared" si="31"/>
        <v>1</v>
      </c>
      <c r="AI48" s="316" t="b">
        <f t="shared" si="32"/>
        <v>1</v>
      </c>
      <c r="AJ48" s="316" t="b">
        <f t="shared" si="33"/>
        <v>1</v>
      </c>
      <c r="AK48" s="316" t="b">
        <f t="shared" si="34"/>
        <v>1</v>
      </c>
      <c r="AL48" s="810" t="str">
        <f t="shared" si="35"/>
        <v/>
      </c>
      <c r="AM48" s="811" t="str">
        <f t="shared" si="36"/>
        <v/>
      </c>
      <c r="AN48" s="811" t="str">
        <f t="shared" si="37"/>
        <v/>
      </c>
      <c r="AO48" s="811" t="str">
        <f t="shared" si="38"/>
        <v/>
      </c>
      <c r="AP48" s="811" t="str">
        <f t="shared" si="39"/>
        <v/>
      </c>
      <c r="AQ48" s="811" t="str">
        <f t="shared" si="40"/>
        <v/>
      </c>
      <c r="AR48" s="811" t="str">
        <f t="shared" si="41"/>
        <v/>
      </c>
      <c r="AS48" s="811" t="str">
        <f t="shared" si="42"/>
        <v/>
      </c>
      <c r="AT48" s="811" t="str">
        <f t="shared" si="43"/>
        <v/>
      </c>
      <c r="AU48" s="811" t="str">
        <f t="shared" si="44"/>
        <v/>
      </c>
      <c r="AV48" s="811" t="str">
        <f t="shared" si="45"/>
        <v/>
      </c>
      <c r="AW48" s="815" t="str">
        <f t="shared" si="45"/>
        <v/>
      </c>
    </row>
    <row r="49" spans="1:49">
      <c r="A49" s="795" t="str">
        <f t="shared" si="46"/>
        <v>Ca 1,</v>
      </c>
      <c r="B49" s="315" t="s">
        <v>432</v>
      </c>
      <c r="C49" s="315" t="str">
        <f t="shared" si="69"/>
        <v>Muối axit Phosphoric  (tỷ lệ axit)
磷酸鹽</v>
      </c>
      <c r="D49" s="315" t="str">
        <f t="shared" si="70"/>
        <v>CR-000E</v>
      </c>
      <c r="E49" s="315" t="str">
        <f t="shared" si="71"/>
        <v>Point</v>
      </c>
      <c r="F49" s="315" t="str">
        <f t="shared" si="72"/>
        <v>tỷ lệ axit  酸比 
5.2~7.8 (6.5)</v>
      </c>
      <c r="G49" s="784">
        <f t="shared" si="73"/>
        <v>0</v>
      </c>
      <c r="H49" s="784">
        <f t="shared" si="74"/>
        <v>0</v>
      </c>
      <c r="I49" s="789" t="str">
        <f t="shared" si="75"/>
        <v>kg</v>
      </c>
      <c r="J49" s="784">
        <f t="shared" si="76"/>
        <v>0</v>
      </c>
      <c r="K49" s="784">
        <f t="shared" si="77"/>
        <v>0</v>
      </c>
      <c r="L49" s="789" t="str">
        <f t="shared" si="78"/>
        <v>kg</v>
      </c>
      <c r="M49" s="784">
        <f t="shared" si="79"/>
        <v>0</v>
      </c>
      <c r="N49" s="784">
        <f t="shared" si="80"/>
        <v>0</v>
      </c>
      <c r="O49" s="789" t="str">
        <f t="shared" si="81"/>
        <v>kg</v>
      </c>
      <c r="P49" s="784">
        <f t="shared" si="82"/>
        <v>0</v>
      </c>
      <c r="Q49" s="784">
        <f t="shared" si="83"/>
        <v>0</v>
      </c>
      <c r="R49" s="789" t="str">
        <f t="shared" si="84"/>
        <v>kg</v>
      </c>
      <c r="S49" s="784">
        <f t="shared" si="85"/>
        <v>0</v>
      </c>
      <c r="T49" s="777">
        <f t="shared" si="86"/>
        <v>0</v>
      </c>
      <c r="U49" s="778" t="str">
        <f t="shared" si="87"/>
        <v>kg</v>
      </c>
      <c r="V49" s="784">
        <f t="shared" si="88"/>
        <v>0</v>
      </c>
      <c r="W49" s="777">
        <f t="shared" si="89"/>
        <v>0</v>
      </c>
      <c r="X49" s="778" t="str">
        <f t="shared" si="90"/>
        <v>kg</v>
      </c>
      <c r="Z49" s="316" t="b">
        <f t="shared" si="23"/>
        <v>1</v>
      </c>
      <c r="AA49" s="316" t="b">
        <f t="shared" si="24"/>
        <v>1</v>
      </c>
      <c r="AB49" s="316" t="b">
        <f t="shared" si="25"/>
        <v>1</v>
      </c>
      <c r="AC49" s="316" t="b">
        <f t="shared" si="26"/>
        <v>1</v>
      </c>
      <c r="AD49" s="316" t="b">
        <f t="shared" si="27"/>
        <v>1</v>
      </c>
      <c r="AE49" s="316" t="b">
        <f t="shared" si="28"/>
        <v>1</v>
      </c>
      <c r="AF49" s="316" t="b">
        <f t="shared" si="29"/>
        <v>1</v>
      </c>
      <c r="AG49" s="316" t="b">
        <f t="shared" si="30"/>
        <v>1</v>
      </c>
      <c r="AH49" s="316" t="b">
        <f t="shared" si="31"/>
        <v>1</v>
      </c>
      <c r="AI49" s="316" t="b">
        <f t="shared" si="32"/>
        <v>1</v>
      </c>
      <c r="AJ49" s="316" t="b">
        <f t="shared" si="33"/>
        <v>1</v>
      </c>
      <c r="AK49" s="316" t="b">
        <f t="shared" si="34"/>
        <v>1</v>
      </c>
      <c r="AL49" s="810" t="str">
        <f t="shared" si="35"/>
        <v/>
      </c>
      <c r="AM49" s="811" t="str">
        <f t="shared" si="36"/>
        <v/>
      </c>
      <c r="AN49" s="811" t="str">
        <f t="shared" si="37"/>
        <v/>
      </c>
      <c r="AO49" s="811" t="str">
        <f t="shared" si="38"/>
        <v/>
      </c>
      <c r="AP49" s="811" t="str">
        <f t="shared" si="39"/>
        <v/>
      </c>
      <c r="AQ49" s="811" t="str">
        <f t="shared" si="40"/>
        <v/>
      </c>
      <c r="AR49" s="811" t="str">
        <f t="shared" si="41"/>
        <v/>
      </c>
      <c r="AS49" s="811" t="str">
        <f t="shared" si="42"/>
        <v/>
      </c>
      <c r="AT49" s="811" t="str">
        <f t="shared" si="43"/>
        <v/>
      </c>
      <c r="AU49" s="811" t="str">
        <f t="shared" si="44"/>
        <v/>
      </c>
      <c r="AV49" s="811" t="str">
        <f t="shared" si="45"/>
        <v/>
      </c>
      <c r="AW49" s="815" t="str">
        <f t="shared" si="45"/>
        <v/>
      </c>
    </row>
    <row r="50" spans="1:49">
      <c r="A50" s="795" t="str">
        <f t="shared" si="46"/>
        <v>Ca 1,</v>
      </c>
      <c r="B50" s="315" t="s">
        <v>433</v>
      </c>
      <c r="C50" s="315" t="str">
        <f t="shared" si="69"/>
        <v>Muối axit Phosphoric (Fe phân ly) 
磷酸鹽</v>
      </c>
      <c r="D50" s="315" t="str">
        <f t="shared" si="70"/>
        <v>CR-000E</v>
      </c>
      <c r="E50" s="315" t="str">
        <f t="shared" si="71"/>
        <v>Point</v>
      </c>
      <c r="F50" s="315" t="str">
        <f t="shared" si="72"/>
        <v xml:space="preserve">Fe phân ly &lt;0.4
 鐵離子&lt;0.4
</v>
      </c>
      <c r="G50" s="784">
        <f t="shared" si="73"/>
        <v>0</v>
      </c>
      <c r="H50" s="784">
        <f>IFERROR(VLOOKUP($B50,RLMLXD,11,0),"")</f>
        <v>0</v>
      </c>
      <c r="I50" s="789">
        <f t="shared" si="75"/>
        <v>0</v>
      </c>
      <c r="J50" s="784">
        <f t="shared" si="76"/>
        <v>0</v>
      </c>
      <c r="K50" s="784">
        <f t="shared" si="77"/>
        <v>0</v>
      </c>
      <c r="L50" s="789">
        <f t="shared" si="78"/>
        <v>0</v>
      </c>
      <c r="M50" s="784">
        <f t="shared" si="79"/>
        <v>0</v>
      </c>
      <c r="N50" s="784">
        <f t="shared" si="80"/>
        <v>0</v>
      </c>
      <c r="O50" s="789">
        <f t="shared" si="81"/>
        <v>0</v>
      </c>
      <c r="P50" s="784">
        <f t="shared" si="82"/>
        <v>0</v>
      </c>
      <c r="Q50" s="784">
        <f t="shared" si="83"/>
        <v>0</v>
      </c>
      <c r="R50" s="789">
        <f t="shared" si="84"/>
        <v>0</v>
      </c>
      <c r="S50" s="784">
        <f t="shared" si="85"/>
        <v>0</v>
      </c>
      <c r="T50" s="777">
        <f t="shared" si="86"/>
        <v>0</v>
      </c>
      <c r="U50" s="778">
        <f t="shared" si="87"/>
        <v>0</v>
      </c>
      <c r="V50" s="784">
        <f t="shared" si="88"/>
        <v>0</v>
      </c>
      <c r="W50" s="777">
        <f t="shared" si="89"/>
        <v>0</v>
      </c>
      <c r="X50" s="778">
        <f t="shared" si="90"/>
        <v>0</v>
      </c>
      <c r="Z50" s="316" t="b">
        <f t="shared" si="23"/>
        <v>1</v>
      </c>
      <c r="AA50" s="316" t="b">
        <f t="shared" si="24"/>
        <v>1</v>
      </c>
      <c r="AB50" s="316" t="b">
        <f t="shared" si="25"/>
        <v>1</v>
      </c>
      <c r="AC50" s="316" t="b">
        <f t="shared" si="26"/>
        <v>1</v>
      </c>
      <c r="AD50" s="316" t="b">
        <f t="shared" si="27"/>
        <v>1</v>
      </c>
      <c r="AE50" s="316" t="b">
        <f t="shared" si="28"/>
        <v>1</v>
      </c>
      <c r="AF50" s="316" t="b">
        <f t="shared" si="29"/>
        <v>1</v>
      </c>
      <c r="AG50" s="316" t="b">
        <f t="shared" si="30"/>
        <v>1</v>
      </c>
      <c r="AH50" s="316" t="b">
        <f t="shared" si="31"/>
        <v>1</v>
      </c>
      <c r="AI50" s="316" t="b">
        <f t="shared" si="32"/>
        <v>1</v>
      </c>
      <c r="AJ50" s="316" t="b">
        <f t="shared" si="33"/>
        <v>1</v>
      </c>
      <c r="AK50" s="316" t="b">
        <f t="shared" si="34"/>
        <v>1</v>
      </c>
      <c r="AL50" s="810" t="str">
        <f t="shared" si="35"/>
        <v/>
      </c>
      <c r="AM50" s="811" t="str">
        <f t="shared" si="36"/>
        <v/>
      </c>
      <c r="AN50" s="811" t="str">
        <f t="shared" si="37"/>
        <v/>
      </c>
      <c r="AO50" s="811" t="str">
        <f t="shared" si="38"/>
        <v/>
      </c>
      <c r="AP50" s="811" t="str">
        <f t="shared" si="39"/>
        <v/>
      </c>
      <c r="AQ50" s="811" t="str">
        <f t="shared" si="40"/>
        <v/>
      </c>
      <c r="AR50" s="811" t="str">
        <f t="shared" si="41"/>
        <v/>
      </c>
      <c r="AS50" s="811" t="str">
        <f t="shared" si="42"/>
        <v/>
      </c>
      <c r="AT50" s="811" t="str">
        <f t="shared" si="43"/>
        <v/>
      </c>
      <c r="AU50" s="811" t="str">
        <f t="shared" si="44"/>
        <v/>
      </c>
      <c r="AV50" s="811" t="str">
        <f t="shared" si="45"/>
        <v/>
      </c>
      <c r="AW50" s="815" t="str">
        <f t="shared" si="45"/>
        <v/>
      </c>
    </row>
    <row r="51" spans="1:49">
      <c r="A51" s="795" t="str">
        <f t="shared" si="46"/>
        <v>Ca 1,</v>
      </c>
      <c r="B51" s="315" t="s">
        <v>435</v>
      </c>
      <c r="C51" s="315" t="str">
        <f t="shared" si="69"/>
        <v>Muối axit Phosphoric  (TA)
磷酸鹽</v>
      </c>
      <c r="D51" s="315" t="str">
        <f t="shared" si="70"/>
        <v>CR-000E</v>
      </c>
      <c r="E51" s="315" t="str">
        <f t="shared" si="71"/>
        <v>Point</v>
      </c>
      <c r="F51" s="315" t="str">
        <f t="shared" si="72"/>
        <v>Tổng chua TA 全酸
40~60 (50)</v>
      </c>
      <c r="G51" s="784">
        <f t="shared" si="73"/>
        <v>0</v>
      </c>
      <c r="H51" s="784">
        <f t="shared" si="74"/>
        <v>0</v>
      </c>
      <c r="I51" s="789" t="str">
        <f t="shared" si="75"/>
        <v>kg</v>
      </c>
      <c r="J51" s="784">
        <f t="shared" si="76"/>
        <v>0</v>
      </c>
      <c r="K51" s="784">
        <f t="shared" si="77"/>
        <v>0</v>
      </c>
      <c r="L51" s="789" t="str">
        <f t="shared" si="78"/>
        <v>kg</v>
      </c>
      <c r="M51" s="784">
        <f t="shared" si="79"/>
        <v>0</v>
      </c>
      <c r="N51" s="784">
        <f t="shared" si="80"/>
        <v>0</v>
      </c>
      <c r="O51" s="789" t="str">
        <f t="shared" si="81"/>
        <v>kg</v>
      </c>
      <c r="P51" s="784">
        <f t="shared" si="82"/>
        <v>0</v>
      </c>
      <c r="Q51" s="784">
        <f t="shared" si="83"/>
        <v>0</v>
      </c>
      <c r="R51" s="789" t="str">
        <f t="shared" si="84"/>
        <v>kg</v>
      </c>
      <c r="S51" s="784">
        <f t="shared" si="85"/>
        <v>0</v>
      </c>
      <c r="T51" s="777">
        <f t="shared" si="86"/>
        <v>0</v>
      </c>
      <c r="U51" s="778" t="str">
        <f t="shared" si="87"/>
        <v>kg</v>
      </c>
      <c r="V51" s="784">
        <f t="shared" si="88"/>
        <v>0</v>
      </c>
      <c r="W51" s="777">
        <f t="shared" si="89"/>
        <v>0</v>
      </c>
      <c r="X51" s="778" t="str">
        <f t="shared" si="90"/>
        <v>kg</v>
      </c>
      <c r="Z51" s="316" t="b">
        <f t="shared" si="23"/>
        <v>1</v>
      </c>
      <c r="AA51" s="316" t="b">
        <f t="shared" si="24"/>
        <v>1</v>
      </c>
      <c r="AB51" s="316" t="b">
        <f t="shared" si="25"/>
        <v>1</v>
      </c>
      <c r="AC51" s="316" t="b">
        <f t="shared" si="26"/>
        <v>1</v>
      </c>
      <c r="AD51" s="316" t="b">
        <f t="shared" si="27"/>
        <v>1</v>
      </c>
      <c r="AE51" s="316" t="b">
        <f t="shared" si="28"/>
        <v>1</v>
      </c>
      <c r="AF51" s="316" t="b">
        <f t="shared" si="29"/>
        <v>1</v>
      </c>
      <c r="AG51" s="316" t="b">
        <f t="shared" si="30"/>
        <v>1</v>
      </c>
      <c r="AH51" s="316" t="b">
        <f t="shared" si="31"/>
        <v>1</v>
      </c>
      <c r="AI51" s="316" t="b">
        <f t="shared" si="32"/>
        <v>1</v>
      </c>
      <c r="AJ51" s="316" t="b">
        <f t="shared" si="33"/>
        <v>1</v>
      </c>
      <c r="AK51" s="316" t="b">
        <f t="shared" si="34"/>
        <v>1</v>
      </c>
      <c r="AL51" s="810" t="str">
        <f t="shared" si="35"/>
        <v/>
      </c>
      <c r="AM51" s="811" t="str">
        <f t="shared" si="36"/>
        <v/>
      </c>
      <c r="AN51" s="811" t="str">
        <f t="shared" si="37"/>
        <v/>
      </c>
      <c r="AO51" s="811" t="str">
        <f t="shared" si="38"/>
        <v/>
      </c>
      <c r="AP51" s="811" t="str">
        <f t="shared" si="39"/>
        <v/>
      </c>
      <c r="AQ51" s="811" t="str">
        <f t="shared" si="40"/>
        <v/>
      </c>
      <c r="AR51" s="811" t="str">
        <f t="shared" si="41"/>
        <v/>
      </c>
      <c r="AS51" s="811" t="str">
        <f t="shared" si="42"/>
        <v/>
      </c>
      <c r="AT51" s="811" t="str">
        <f t="shared" si="43"/>
        <v/>
      </c>
      <c r="AU51" s="811" t="str">
        <f t="shared" si="44"/>
        <v/>
      </c>
      <c r="AV51" s="811" t="str">
        <f t="shared" si="45"/>
        <v/>
      </c>
      <c r="AW51" s="815" t="str">
        <f t="shared" si="45"/>
        <v/>
      </c>
    </row>
    <row r="52" spans="1:49">
      <c r="A52" s="795" t="str">
        <f t="shared" si="46"/>
        <v>Ca 1,</v>
      </c>
      <c r="B52" s="315" t="s">
        <v>437</v>
      </c>
      <c r="C52" s="315" t="str">
        <f t="shared" si="69"/>
        <v>Muối axit Phosphoric  (tỷ lệ axit)
磷酸鹽</v>
      </c>
      <c r="D52" s="315" t="str">
        <f t="shared" si="70"/>
        <v>CR-000E</v>
      </c>
      <c r="E52" s="315" t="str">
        <f t="shared" si="71"/>
        <v>Point</v>
      </c>
      <c r="F52" s="315" t="str">
        <f t="shared" si="72"/>
        <v>tỷ lệ axit  酸比 
5.2~7.8 (6.5)</v>
      </c>
      <c r="G52" s="784">
        <f t="shared" si="73"/>
        <v>0</v>
      </c>
      <c r="H52" s="784">
        <f t="shared" si="74"/>
        <v>0</v>
      </c>
      <c r="I52" s="789" t="str">
        <f t="shared" si="75"/>
        <v>kg</v>
      </c>
      <c r="J52" s="784">
        <f t="shared" si="76"/>
        <v>0</v>
      </c>
      <c r="K52" s="784">
        <f t="shared" si="77"/>
        <v>0</v>
      </c>
      <c r="L52" s="789" t="str">
        <f t="shared" si="78"/>
        <v>kg</v>
      </c>
      <c r="M52" s="784">
        <f t="shared" si="79"/>
        <v>0</v>
      </c>
      <c r="N52" s="784">
        <f t="shared" si="80"/>
        <v>0</v>
      </c>
      <c r="O52" s="789" t="str">
        <f t="shared" si="81"/>
        <v>kg</v>
      </c>
      <c r="P52" s="784">
        <f t="shared" si="82"/>
        <v>0</v>
      </c>
      <c r="Q52" s="784">
        <f t="shared" si="83"/>
        <v>0</v>
      </c>
      <c r="R52" s="789" t="str">
        <f t="shared" si="84"/>
        <v>kg</v>
      </c>
      <c r="S52" s="784">
        <f t="shared" si="85"/>
        <v>0</v>
      </c>
      <c r="T52" s="777">
        <f t="shared" si="86"/>
        <v>0</v>
      </c>
      <c r="U52" s="778" t="str">
        <f t="shared" si="87"/>
        <v>kg</v>
      </c>
      <c r="V52" s="784">
        <f t="shared" si="88"/>
        <v>0</v>
      </c>
      <c r="W52" s="777">
        <f t="shared" si="89"/>
        <v>0</v>
      </c>
      <c r="X52" s="778" t="str">
        <f t="shared" si="90"/>
        <v>kg</v>
      </c>
      <c r="Z52" s="316" t="b">
        <f t="shared" si="23"/>
        <v>1</v>
      </c>
      <c r="AA52" s="316" t="b">
        <f t="shared" si="24"/>
        <v>1</v>
      </c>
      <c r="AB52" s="316" t="b">
        <f t="shared" si="25"/>
        <v>1</v>
      </c>
      <c r="AC52" s="316" t="b">
        <f t="shared" si="26"/>
        <v>1</v>
      </c>
      <c r="AD52" s="316" t="b">
        <f t="shared" si="27"/>
        <v>1</v>
      </c>
      <c r="AE52" s="316" t="b">
        <f t="shared" si="28"/>
        <v>1</v>
      </c>
      <c r="AF52" s="316" t="b">
        <f t="shared" si="29"/>
        <v>1</v>
      </c>
      <c r="AG52" s="316" t="b">
        <f t="shared" si="30"/>
        <v>1</v>
      </c>
      <c r="AH52" s="316" t="b">
        <f t="shared" si="31"/>
        <v>1</v>
      </c>
      <c r="AI52" s="316" t="b">
        <f t="shared" si="32"/>
        <v>1</v>
      </c>
      <c r="AJ52" s="316" t="b">
        <f t="shared" si="33"/>
        <v>1</v>
      </c>
      <c r="AK52" s="316" t="b">
        <f t="shared" si="34"/>
        <v>1</v>
      </c>
      <c r="AL52" s="810" t="str">
        <f t="shared" si="35"/>
        <v/>
      </c>
      <c r="AM52" s="811" t="str">
        <f t="shared" si="36"/>
        <v/>
      </c>
      <c r="AN52" s="811" t="str">
        <f t="shared" si="37"/>
        <v/>
      </c>
      <c r="AO52" s="811" t="str">
        <f t="shared" si="38"/>
        <v/>
      </c>
      <c r="AP52" s="811" t="str">
        <f t="shared" si="39"/>
        <v/>
      </c>
      <c r="AQ52" s="811" t="str">
        <f t="shared" si="40"/>
        <v/>
      </c>
      <c r="AR52" s="811" t="str">
        <f t="shared" si="41"/>
        <v/>
      </c>
      <c r="AS52" s="811" t="str">
        <f t="shared" si="42"/>
        <v/>
      </c>
      <c r="AT52" s="811" t="str">
        <f t="shared" si="43"/>
        <v/>
      </c>
      <c r="AU52" s="811" t="str">
        <f t="shared" si="44"/>
        <v/>
      </c>
      <c r="AV52" s="811" t="str">
        <f t="shared" si="45"/>
        <v/>
      </c>
      <c r="AW52" s="815" t="str">
        <f t="shared" si="45"/>
        <v/>
      </c>
    </row>
    <row r="53" spans="1:49">
      <c r="A53" s="795" t="str">
        <f t="shared" si="46"/>
        <v>Ca 1,</v>
      </c>
      <c r="B53" s="315" t="s">
        <v>438</v>
      </c>
      <c r="C53" s="315" t="str">
        <f t="shared" si="69"/>
        <v>Muối axit Phosphoric (Fe phân ly) 
磷酸鹽</v>
      </c>
      <c r="D53" s="315" t="str">
        <f t="shared" si="70"/>
        <v>CR-000E</v>
      </c>
      <c r="E53" s="315" t="str">
        <f t="shared" si="71"/>
        <v>Point</v>
      </c>
      <c r="F53" s="315" t="str">
        <f t="shared" si="72"/>
        <v xml:space="preserve">Fe phân ly &lt;0.4
 鐵離子&lt;0.4
</v>
      </c>
      <c r="G53" s="784">
        <f t="shared" si="73"/>
        <v>0</v>
      </c>
      <c r="H53" s="784">
        <f t="shared" si="74"/>
        <v>0</v>
      </c>
      <c r="I53" s="789">
        <f t="shared" si="75"/>
        <v>0</v>
      </c>
      <c r="J53" s="784">
        <f t="shared" si="76"/>
        <v>0</v>
      </c>
      <c r="K53" s="784">
        <f t="shared" si="77"/>
        <v>0</v>
      </c>
      <c r="L53" s="789">
        <f t="shared" si="78"/>
        <v>0</v>
      </c>
      <c r="M53" s="784">
        <f t="shared" si="79"/>
        <v>0</v>
      </c>
      <c r="N53" s="784">
        <f t="shared" si="80"/>
        <v>0</v>
      </c>
      <c r="O53" s="789">
        <f t="shared" si="81"/>
        <v>0</v>
      </c>
      <c r="P53" s="784">
        <f t="shared" si="82"/>
        <v>0</v>
      </c>
      <c r="Q53" s="784">
        <f t="shared" si="83"/>
        <v>0</v>
      </c>
      <c r="R53" s="789">
        <f t="shared" si="84"/>
        <v>0</v>
      </c>
      <c r="S53" s="784">
        <f t="shared" si="85"/>
        <v>0</v>
      </c>
      <c r="T53" s="777">
        <f t="shared" si="86"/>
        <v>0</v>
      </c>
      <c r="U53" s="778">
        <f t="shared" si="87"/>
        <v>0</v>
      </c>
      <c r="V53" s="784">
        <f t="shared" si="88"/>
        <v>0</v>
      </c>
      <c r="W53" s="777">
        <f t="shared" si="89"/>
        <v>0</v>
      </c>
      <c r="X53" s="778">
        <f t="shared" si="90"/>
        <v>0</v>
      </c>
      <c r="Z53" s="316" t="b">
        <f t="shared" si="23"/>
        <v>1</v>
      </c>
      <c r="AA53" s="316" t="b">
        <f t="shared" si="24"/>
        <v>1</v>
      </c>
      <c r="AB53" s="316" t="b">
        <f t="shared" si="25"/>
        <v>1</v>
      </c>
      <c r="AC53" s="316" t="b">
        <f t="shared" si="26"/>
        <v>1</v>
      </c>
      <c r="AD53" s="316" t="b">
        <f t="shared" si="27"/>
        <v>1</v>
      </c>
      <c r="AE53" s="316" t="b">
        <f t="shared" si="28"/>
        <v>1</v>
      </c>
      <c r="AF53" s="316" t="b">
        <f t="shared" si="29"/>
        <v>1</v>
      </c>
      <c r="AG53" s="316" t="b">
        <f t="shared" si="30"/>
        <v>1</v>
      </c>
      <c r="AH53" s="316" t="b">
        <f t="shared" si="31"/>
        <v>1</v>
      </c>
      <c r="AI53" s="316" t="b">
        <f t="shared" si="32"/>
        <v>1</v>
      </c>
      <c r="AJ53" s="316" t="b">
        <f t="shared" si="33"/>
        <v>1</v>
      </c>
      <c r="AK53" s="316" t="b">
        <f t="shared" si="34"/>
        <v>1</v>
      </c>
      <c r="AL53" s="810" t="str">
        <f t="shared" si="35"/>
        <v/>
      </c>
      <c r="AM53" s="811" t="str">
        <f t="shared" si="36"/>
        <v/>
      </c>
      <c r="AN53" s="811" t="str">
        <f t="shared" si="37"/>
        <v/>
      </c>
      <c r="AO53" s="811" t="str">
        <f t="shared" si="38"/>
        <v/>
      </c>
      <c r="AP53" s="811" t="str">
        <f t="shared" si="39"/>
        <v/>
      </c>
      <c r="AQ53" s="811" t="str">
        <f t="shared" si="40"/>
        <v/>
      </c>
      <c r="AR53" s="811" t="str">
        <f t="shared" si="41"/>
        <v/>
      </c>
      <c r="AS53" s="811" t="str">
        <f t="shared" si="42"/>
        <v/>
      </c>
      <c r="AT53" s="811" t="str">
        <f t="shared" si="43"/>
        <v/>
      </c>
      <c r="AU53" s="811" t="str">
        <f t="shared" si="44"/>
        <v/>
      </c>
      <c r="AV53" s="811" t="str">
        <f t="shared" si="45"/>
        <v/>
      </c>
      <c r="AW53" s="815" t="str">
        <f t="shared" si="45"/>
        <v/>
      </c>
    </row>
    <row r="54" spans="1:49">
      <c r="A54" s="795" t="str">
        <f t="shared" si="46"/>
        <v>Ca 1,</v>
      </c>
      <c r="B54" s="315" t="s">
        <v>439</v>
      </c>
      <c r="C54" s="315" t="str">
        <f t="shared" si="69"/>
        <v>Xà bông bôi trơn
潤滑皂</v>
      </c>
      <c r="D54" s="315" t="str">
        <f t="shared" si="70"/>
        <v>CR-000E</v>
      </c>
      <c r="E54" s="315" t="str">
        <f t="shared" si="71"/>
        <v>Point</v>
      </c>
      <c r="F54" s="315" t="str">
        <f t="shared" si="72"/>
        <v>0.8~1.2</v>
      </c>
      <c r="G54" s="784">
        <f t="shared" si="73"/>
        <v>0</v>
      </c>
      <c r="H54" s="784">
        <f t="shared" si="74"/>
        <v>0</v>
      </c>
      <c r="I54" s="789" t="str">
        <f t="shared" si="75"/>
        <v>kg</v>
      </c>
      <c r="J54" s="784">
        <f t="shared" si="76"/>
        <v>0</v>
      </c>
      <c r="K54" s="784">
        <f t="shared" si="77"/>
        <v>0</v>
      </c>
      <c r="L54" s="789" t="str">
        <f t="shared" si="78"/>
        <v>kg</v>
      </c>
      <c r="M54" s="784">
        <f t="shared" si="79"/>
        <v>0</v>
      </c>
      <c r="N54" s="784">
        <f t="shared" si="80"/>
        <v>0</v>
      </c>
      <c r="O54" s="789" t="str">
        <f t="shared" si="81"/>
        <v>kg</v>
      </c>
      <c r="P54" s="784">
        <f t="shared" si="82"/>
        <v>0</v>
      </c>
      <c r="Q54" s="784">
        <f t="shared" si="83"/>
        <v>0</v>
      </c>
      <c r="R54" s="789" t="str">
        <f t="shared" si="84"/>
        <v>kg</v>
      </c>
      <c r="S54" s="784">
        <f t="shared" si="85"/>
        <v>0</v>
      </c>
      <c r="T54" s="777">
        <f t="shared" si="86"/>
        <v>0</v>
      </c>
      <c r="U54" s="778" t="str">
        <f t="shared" si="87"/>
        <v>kg</v>
      </c>
      <c r="V54" s="784">
        <f t="shared" si="88"/>
        <v>0</v>
      </c>
      <c r="W54" s="777">
        <f t="shared" si="89"/>
        <v>0</v>
      </c>
      <c r="X54" s="778" t="str">
        <f t="shared" si="90"/>
        <v>kg</v>
      </c>
      <c r="Z54" s="316" t="b">
        <f t="shared" si="23"/>
        <v>1</v>
      </c>
      <c r="AA54" s="316" t="b">
        <f t="shared" si="24"/>
        <v>1</v>
      </c>
      <c r="AB54" s="316" t="b">
        <f t="shared" si="25"/>
        <v>1</v>
      </c>
      <c r="AC54" s="316" t="b">
        <f t="shared" si="26"/>
        <v>1</v>
      </c>
      <c r="AD54" s="316" t="b">
        <f t="shared" si="27"/>
        <v>1</v>
      </c>
      <c r="AE54" s="316" t="b">
        <f t="shared" si="28"/>
        <v>1</v>
      </c>
      <c r="AF54" s="316" t="b">
        <f t="shared" si="29"/>
        <v>1</v>
      </c>
      <c r="AG54" s="316" t="b">
        <f t="shared" si="30"/>
        <v>1</v>
      </c>
      <c r="AH54" s="316" t="b">
        <f t="shared" si="31"/>
        <v>1</v>
      </c>
      <c r="AI54" s="316" t="b">
        <f t="shared" si="32"/>
        <v>1</v>
      </c>
      <c r="AJ54" s="316" t="b">
        <f t="shared" si="33"/>
        <v>1</v>
      </c>
      <c r="AK54" s="316" t="b">
        <f t="shared" si="34"/>
        <v>1</v>
      </c>
      <c r="AL54" s="810" t="str">
        <f t="shared" si="35"/>
        <v/>
      </c>
      <c r="AM54" s="811" t="str">
        <f t="shared" si="36"/>
        <v/>
      </c>
      <c r="AN54" s="811" t="str">
        <f t="shared" si="37"/>
        <v/>
      </c>
      <c r="AO54" s="811" t="str">
        <f t="shared" si="38"/>
        <v/>
      </c>
      <c r="AP54" s="811" t="str">
        <f t="shared" si="39"/>
        <v/>
      </c>
      <c r="AQ54" s="811" t="str">
        <f t="shared" si="40"/>
        <v/>
      </c>
      <c r="AR54" s="811" t="str">
        <f t="shared" si="41"/>
        <v/>
      </c>
      <c r="AS54" s="811" t="str">
        <f t="shared" si="42"/>
        <v/>
      </c>
      <c r="AT54" s="811" t="str">
        <f t="shared" si="43"/>
        <v/>
      </c>
      <c r="AU54" s="811" t="str">
        <f t="shared" si="44"/>
        <v/>
      </c>
      <c r="AV54" s="811" t="str">
        <f t="shared" si="45"/>
        <v/>
      </c>
      <c r="AW54" s="815" t="str">
        <f t="shared" si="45"/>
        <v/>
      </c>
    </row>
    <row r="55" spans="1:49">
      <c r="A55" s="795" t="str">
        <f t="shared" si="46"/>
        <v>Ca 1,</v>
      </c>
      <c r="B55" s="315" t="s">
        <v>442</v>
      </c>
      <c r="C55" s="315" t="str">
        <f t="shared" si="69"/>
        <v>pH</v>
      </c>
      <c r="D55" s="315" t="str">
        <f t="shared" si="70"/>
        <v>CR-000E</v>
      </c>
      <c r="E55" s="315" t="str">
        <f t="shared" si="71"/>
        <v>pH</v>
      </c>
      <c r="F55" s="315" t="str">
        <f t="shared" si="72"/>
        <v>8~10</v>
      </c>
      <c r="G55" s="784">
        <f t="shared" si="73"/>
        <v>0</v>
      </c>
      <c r="H55" s="784">
        <f t="shared" si="74"/>
        <v>0</v>
      </c>
      <c r="I55" s="789">
        <f t="shared" si="75"/>
        <v>0</v>
      </c>
      <c r="J55" s="784">
        <f t="shared" si="76"/>
        <v>0</v>
      </c>
      <c r="K55" s="784">
        <f t="shared" si="77"/>
        <v>0</v>
      </c>
      <c r="L55" s="789">
        <f t="shared" si="78"/>
        <v>0</v>
      </c>
      <c r="M55" s="784">
        <f t="shared" si="79"/>
        <v>0</v>
      </c>
      <c r="N55" s="784">
        <f t="shared" si="80"/>
        <v>0</v>
      </c>
      <c r="O55" s="789">
        <f t="shared" si="81"/>
        <v>0</v>
      </c>
      <c r="P55" s="784">
        <f t="shared" si="82"/>
        <v>0</v>
      </c>
      <c r="Q55" s="784">
        <f t="shared" si="83"/>
        <v>0</v>
      </c>
      <c r="R55" s="789">
        <f t="shared" si="84"/>
        <v>0</v>
      </c>
      <c r="S55" s="784">
        <f t="shared" si="85"/>
        <v>0</v>
      </c>
      <c r="T55" s="777">
        <f t="shared" si="86"/>
        <v>0</v>
      </c>
      <c r="U55" s="778">
        <f t="shared" si="87"/>
        <v>0</v>
      </c>
      <c r="V55" s="784">
        <f t="shared" si="88"/>
        <v>0</v>
      </c>
      <c r="W55" s="777">
        <f t="shared" si="89"/>
        <v>0</v>
      </c>
      <c r="X55" s="778">
        <f t="shared" si="90"/>
        <v>0</v>
      </c>
      <c r="Z55" s="316" t="b">
        <f t="shared" si="23"/>
        <v>1</v>
      </c>
      <c r="AA55" s="316" t="b">
        <f t="shared" si="24"/>
        <v>1</v>
      </c>
      <c r="AB55" s="316" t="b">
        <f t="shared" si="25"/>
        <v>1</v>
      </c>
      <c r="AC55" s="316" t="b">
        <f t="shared" si="26"/>
        <v>1</v>
      </c>
      <c r="AD55" s="316" t="b">
        <f t="shared" si="27"/>
        <v>1</v>
      </c>
      <c r="AE55" s="316" t="b">
        <f t="shared" si="28"/>
        <v>1</v>
      </c>
      <c r="AF55" s="316" t="b">
        <f t="shared" si="29"/>
        <v>1</v>
      </c>
      <c r="AG55" s="316" t="b">
        <f t="shared" si="30"/>
        <v>1</v>
      </c>
      <c r="AH55" s="316" t="b">
        <f t="shared" si="31"/>
        <v>1</v>
      </c>
      <c r="AI55" s="316" t="b">
        <f t="shared" si="32"/>
        <v>1</v>
      </c>
      <c r="AJ55" s="316" t="b">
        <f t="shared" si="33"/>
        <v>1</v>
      </c>
      <c r="AK55" s="316" t="b">
        <f t="shared" si="34"/>
        <v>1</v>
      </c>
      <c r="AL55" s="810" t="str">
        <f t="shared" si="35"/>
        <v/>
      </c>
      <c r="AM55" s="811" t="str">
        <f t="shared" si="36"/>
        <v/>
      </c>
      <c r="AN55" s="811" t="str">
        <f t="shared" si="37"/>
        <v/>
      </c>
      <c r="AO55" s="811" t="str">
        <f t="shared" si="38"/>
        <v/>
      </c>
      <c r="AP55" s="811" t="str">
        <f t="shared" si="39"/>
        <v/>
      </c>
      <c r="AQ55" s="811" t="str">
        <f t="shared" si="40"/>
        <v/>
      </c>
      <c r="AR55" s="811" t="str">
        <f t="shared" si="41"/>
        <v/>
      </c>
      <c r="AS55" s="811" t="str">
        <f t="shared" si="42"/>
        <v/>
      </c>
      <c r="AT55" s="811" t="str">
        <f t="shared" si="43"/>
        <v/>
      </c>
      <c r="AU55" s="811" t="str">
        <f t="shared" si="44"/>
        <v/>
      </c>
      <c r="AV55" s="811" t="str">
        <f t="shared" si="45"/>
        <v/>
      </c>
      <c r="AW55" s="815" t="str">
        <f t="shared" si="45"/>
        <v/>
      </c>
    </row>
    <row r="56" spans="1:49">
      <c r="A56" s="795" t="str">
        <f t="shared" si="46"/>
        <v>Ca 1,</v>
      </c>
      <c r="B56" s="315" t="s">
        <v>928</v>
      </c>
      <c r="C56" s="315" t="str">
        <f t="shared" si="69"/>
        <v>Khử dầu
脫脂</v>
      </c>
      <c r="D56" s="315" t="str">
        <f t="shared" si="70"/>
        <v>CR-000C</v>
      </c>
      <c r="E56" s="315" t="str">
        <f t="shared" si="71"/>
        <v>Point</v>
      </c>
      <c r="F56" s="315" t="str">
        <f t="shared" si="72"/>
        <v>30 – 50 (40)</v>
      </c>
      <c r="G56" s="784">
        <f t="shared" si="73"/>
        <v>0</v>
      </c>
      <c r="H56" s="784">
        <f t="shared" si="74"/>
        <v>0</v>
      </c>
      <c r="I56" s="789" t="str">
        <f t="shared" si="75"/>
        <v>kg</v>
      </c>
      <c r="J56" s="784">
        <f t="shared" si="76"/>
        <v>0</v>
      </c>
      <c r="K56" s="784">
        <f t="shared" si="77"/>
        <v>0</v>
      </c>
      <c r="L56" s="789" t="str">
        <f t="shared" si="78"/>
        <v>kg</v>
      </c>
      <c r="M56" s="784">
        <f t="shared" si="79"/>
        <v>0</v>
      </c>
      <c r="N56" s="784">
        <f t="shared" si="80"/>
        <v>0</v>
      </c>
      <c r="O56" s="789" t="str">
        <f t="shared" si="81"/>
        <v>kg</v>
      </c>
      <c r="P56" s="784">
        <f t="shared" si="82"/>
        <v>0</v>
      </c>
      <c r="Q56" s="784">
        <f t="shared" si="83"/>
        <v>0</v>
      </c>
      <c r="R56" s="789" t="str">
        <f t="shared" si="84"/>
        <v>kg</v>
      </c>
      <c r="S56" s="784">
        <f t="shared" si="85"/>
        <v>0</v>
      </c>
      <c r="T56" s="777">
        <f t="shared" si="86"/>
        <v>0</v>
      </c>
      <c r="U56" s="778" t="str">
        <f t="shared" si="87"/>
        <v>kg</v>
      </c>
      <c r="V56" s="784">
        <f t="shared" si="88"/>
        <v>0</v>
      </c>
      <c r="W56" s="777">
        <f t="shared" si="89"/>
        <v>0</v>
      </c>
      <c r="X56" s="778" t="str">
        <f t="shared" si="90"/>
        <v>kg</v>
      </c>
      <c r="Z56" s="316" t="b">
        <f t="shared" si="23"/>
        <v>1</v>
      </c>
      <c r="AA56" s="316" t="b">
        <f t="shared" si="24"/>
        <v>1</v>
      </c>
      <c r="AB56" s="316" t="b">
        <f t="shared" si="25"/>
        <v>1</v>
      </c>
      <c r="AC56" s="316" t="b">
        <f t="shared" si="26"/>
        <v>1</v>
      </c>
      <c r="AD56" s="316" t="b">
        <f t="shared" si="27"/>
        <v>1</v>
      </c>
      <c r="AE56" s="316" t="b">
        <f t="shared" si="28"/>
        <v>1</v>
      </c>
      <c r="AF56" s="316" t="b">
        <f t="shared" si="29"/>
        <v>1</v>
      </c>
      <c r="AG56" s="316" t="b">
        <f t="shared" si="30"/>
        <v>1</v>
      </c>
      <c r="AH56" s="316" t="b">
        <f t="shared" si="31"/>
        <v>1</v>
      </c>
      <c r="AI56" s="316" t="b">
        <f t="shared" si="32"/>
        <v>1</v>
      </c>
      <c r="AJ56" s="316" t="b">
        <f t="shared" si="33"/>
        <v>1</v>
      </c>
      <c r="AK56" s="316" t="b">
        <f t="shared" si="34"/>
        <v>1</v>
      </c>
      <c r="AL56" s="810" t="str">
        <f t="shared" si="35"/>
        <v/>
      </c>
      <c r="AM56" s="811" t="str">
        <f t="shared" si="36"/>
        <v/>
      </c>
      <c r="AN56" s="811" t="str">
        <f t="shared" si="37"/>
        <v/>
      </c>
      <c r="AO56" s="811" t="str">
        <f t="shared" si="38"/>
        <v/>
      </c>
      <c r="AP56" s="811" t="str">
        <f t="shared" si="39"/>
        <v/>
      </c>
      <c r="AQ56" s="811" t="str">
        <f t="shared" si="40"/>
        <v/>
      </c>
      <c r="AR56" s="811" t="str">
        <f t="shared" si="41"/>
        <v/>
      </c>
      <c r="AS56" s="811" t="str">
        <f t="shared" si="42"/>
        <v/>
      </c>
      <c r="AT56" s="811" t="str">
        <f t="shared" si="43"/>
        <v/>
      </c>
      <c r="AU56" s="811" t="str">
        <f t="shared" si="44"/>
        <v/>
      </c>
      <c r="AV56" s="811" t="str">
        <f t="shared" si="45"/>
        <v/>
      </c>
      <c r="AW56" s="815" t="str">
        <f t="shared" si="45"/>
        <v/>
      </c>
    </row>
    <row r="57" spans="1:49">
      <c r="A57" s="795" t="str">
        <f t="shared" si="46"/>
        <v>Ca 1,</v>
      </c>
      <c r="B57" s="315" t="s">
        <v>929</v>
      </c>
      <c r="C57" s="315" t="str">
        <f t="shared" si="69"/>
        <v>Rua acid  鹽酸洗槽</v>
      </c>
      <c r="D57" s="315" t="str">
        <f t="shared" si="70"/>
        <v>CR-000C</v>
      </c>
      <c r="E57" s="315" t="str">
        <f t="shared" si="71"/>
        <v>%</v>
      </c>
      <c r="F57" s="315" t="str">
        <f t="shared" si="72"/>
        <v>10~15%  (12.5%)</v>
      </c>
      <c r="G57" s="784">
        <f t="shared" si="73"/>
        <v>0</v>
      </c>
      <c r="H57" s="784">
        <f t="shared" si="74"/>
        <v>0</v>
      </c>
      <c r="I57" s="789" t="str">
        <f t="shared" si="75"/>
        <v>L</v>
      </c>
      <c r="J57" s="784">
        <f t="shared" si="76"/>
        <v>0</v>
      </c>
      <c r="K57" s="784">
        <f t="shared" si="77"/>
        <v>0</v>
      </c>
      <c r="L57" s="789" t="str">
        <f t="shared" si="78"/>
        <v>L</v>
      </c>
      <c r="M57" s="784">
        <f t="shared" si="79"/>
        <v>0</v>
      </c>
      <c r="N57" s="784">
        <f t="shared" si="80"/>
        <v>0</v>
      </c>
      <c r="O57" s="789" t="str">
        <f t="shared" si="81"/>
        <v>L</v>
      </c>
      <c r="P57" s="784">
        <f t="shared" si="82"/>
        <v>0</v>
      </c>
      <c r="Q57" s="784">
        <f t="shared" si="83"/>
        <v>0</v>
      </c>
      <c r="R57" s="789" t="str">
        <f t="shared" si="84"/>
        <v>L</v>
      </c>
      <c r="S57" s="784">
        <f t="shared" si="85"/>
        <v>0</v>
      </c>
      <c r="T57" s="777">
        <f t="shared" si="86"/>
        <v>0</v>
      </c>
      <c r="U57" s="778" t="str">
        <f t="shared" si="87"/>
        <v>L</v>
      </c>
      <c r="V57" s="784">
        <f t="shared" si="88"/>
        <v>0</v>
      </c>
      <c r="W57" s="777">
        <f t="shared" si="89"/>
        <v>0</v>
      </c>
      <c r="X57" s="778" t="str">
        <f t="shared" si="90"/>
        <v>L</v>
      </c>
      <c r="Z57" s="316" t="b">
        <f t="shared" si="23"/>
        <v>1</v>
      </c>
      <c r="AA57" s="316" t="b">
        <f t="shared" si="24"/>
        <v>1</v>
      </c>
      <c r="AB57" s="316" t="b">
        <f t="shared" si="25"/>
        <v>1</v>
      </c>
      <c r="AC57" s="316" t="b">
        <f t="shared" si="26"/>
        <v>1</v>
      </c>
      <c r="AD57" s="316" t="b">
        <f t="shared" si="27"/>
        <v>1</v>
      </c>
      <c r="AE57" s="316" t="b">
        <f t="shared" si="28"/>
        <v>1</v>
      </c>
      <c r="AF57" s="316" t="b">
        <f t="shared" si="29"/>
        <v>1</v>
      </c>
      <c r="AG57" s="316" t="b">
        <f t="shared" si="30"/>
        <v>1</v>
      </c>
      <c r="AH57" s="316" t="b">
        <f t="shared" si="31"/>
        <v>1</v>
      </c>
      <c r="AI57" s="316" t="b">
        <f t="shared" si="32"/>
        <v>1</v>
      </c>
      <c r="AJ57" s="316" t="b">
        <f t="shared" si="33"/>
        <v>1</v>
      </c>
      <c r="AK57" s="316" t="b">
        <f t="shared" si="34"/>
        <v>1</v>
      </c>
      <c r="AL57" s="810" t="str">
        <f t="shared" si="35"/>
        <v/>
      </c>
      <c r="AM57" s="811" t="str">
        <f t="shared" si="36"/>
        <v/>
      </c>
      <c r="AN57" s="811" t="str">
        <f t="shared" si="37"/>
        <v/>
      </c>
      <c r="AO57" s="811" t="str">
        <f t="shared" si="38"/>
        <v/>
      </c>
      <c r="AP57" s="811" t="str">
        <f t="shared" si="39"/>
        <v/>
      </c>
      <c r="AQ57" s="811" t="str">
        <f t="shared" si="40"/>
        <v/>
      </c>
      <c r="AR57" s="811" t="str">
        <f t="shared" si="41"/>
        <v/>
      </c>
      <c r="AS57" s="811" t="str">
        <f t="shared" si="42"/>
        <v/>
      </c>
      <c r="AT57" s="811" t="str">
        <f t="shared" si="43"/>
        <v/>
      </c>
      <c r="AU57" s="811" t="str">
        <f t="shared" si="44"/>
        <v/>
      </c>
      <c r="AV57" s="811" t="str">
        <f t="shared" si="45"/>
        <v/>
      </c>
      <c r="AW57" s="815" t="str">
        <f t="shared" si="45"/>
        <v/>
      </c>
    </row>
    <row r="58" spans="1:49">
      <c r="A58" s="795" t="str">
        <f t="shared" si="46"/>
        <v>Ca 1,</v>
      </c>
      <c r="B58" s="315" t="s">
        <v>933</v>
      </c>
      <c r="C58" s="315" t="str">
        <f t="shared" si="69"/>
        <v>Muối axit Phosphoric  (TA)
磷酸鹽</v>
      </c>
      <c r="D58" s="315" t="str">
        <f t="shared" si="70"/>
        <v>CR-000C</v>
      </c>
      <c r="E58" s="315" t="str">
        <f t="shared" si="71"/>
        <v>Point</v>
      </c>
      <c r="F58" s="315" t="str">
        <f t="shared" si="72"/>
        <v>Tổng chua TA 全酸
40~60 (50)</v>
      </c>
      <c r="G58" s="784">
        <f t="shared" si="73"/>
        <v>0</v>
      </c>
      <c r="H58" s="784">
        <f t="shared" si="74"/>
        <v>0</v>
      </c>
      <c r="I58" s="789" t="str">
        <f t="shared" si="75"/>
        <v>kg</v>
      </c>
      <c r="J58" s="784">
        <f t="shared" si="76"/>
        <v>0</v>
      </c>
      <c r="K58" s="784">
        <f t="shared" si="77"/>
        <v>0</v>
      </c>
      <c r="L58" s="789" t="str">
        <f t="shared" si="78"/>
        <v>kg</v>
      </c>
      <c r="M58" s="784">
        <f t="shared" si="79"/>
        <v>0</v>
      </c>
      <c r="N58" s="784">
        <f t="shared" si="80"/>
        <v>0</v>
      </c>
      <c r="O58" s="789" t="str">
        <f t="shared" si="81"/>
        <v>kg</v>
      </c>
      <c r="P58" s="784">
        <f t="shared" si="82"/>
        <v>0</v>
      </c>
      <c r="Q58" s="784">
        <f t="shared" si="83"/>
        <v>0</v>
      </c>
      <c r="R58" s="789" t="str">
        <f t="shared" si="84"/>
        <v>kg</v>
      </c>
      <c r="S58" s="784">
        <f t="shared" si="85"/>
        <v>0</v>
      </c>
      <c r="T58" s="777">
        <f t="shared" si="86"/>
        <v>0</v>
      </c>
      <c r="U58" s="778" t="str">
        <f t="shared" si="87"/>
        <v>kg</v>
      </c>
      <c r="V58" s="784">
        <f t="shared" si="88"/>
        <v>0</v>
      </c>
      <c r="W58" s="777">
        <f t="shared" si="89"/>
        <v>0</v>
      </c>
      <c r="X58" s="778" t="str">
        <f t="shared" si="90"/>
        <v>kg</v>
      </c>
      <c r="Z58" s="316" t="b">
        <f t="shared" si="23"/>
        <v>1</v>
      </c>
      <c r="AA58" s="316" t="b">
        <f t="shared" si="24"/>
        <v>1</v>
      </c>
      <c r="AB58" s="316" t="b">
        <f t="shared" si="25"/>
        <v>1</v>
      </c>
      <c r="AC58" s="316" t="b">
        <f t="shared" si="26"/>
        <v>1</v>
      </c>
      <c r="AD58" s="316" t="b">
        <f t="shared" si="27"/>
        <v>1</v>
      </c>
      <c r="AE58" s="316" t="b">
        <f t="shared" si="28"/>
        <v>1</v>
      </c>
      <c r="AF58" s="316" t="b">
        <f t="shared" si="29"/>
        <v>1</v>
      </c>
      <c r="AG58" s="316" t="b">
        <f t="shared" si="30"/>
        <v>1</v>
      </c>
      <c r="AH58" s="316" t="b">
        <f t="shared" si="31"/>
        <v>1</v>
      </c>
      <c r="AI58" s="316" t="b">
        <f t="shared" si="32"/>
        <v>1</v>
      </c>
      <c r="AJ58" s="316" t="b">
        <f t="shared" si="33"/>
        <v>1</v>
      </c>
      <c r="AK58" s="316" t="b">
        <f t="shared" si="34"/>
        <v>1</v>
      </c>
      <c r="AL58" s="810" t="str">
        <f t="shared" si="35"/>
        <v/>
      </c>
      <c r="AM58" s="811" t="str">
        <f t="shared" si="36"/>
        <v/>
      </c>
      <c r="AN58" s="811" t="str">
        <f t="shared" si="37"/>
        <v/>
      </c>
      <c r="AO58" s="811" t="str">
        <f t="shared" si="38"/>
        <v/>
      </c>
      <c r="AP58" s="811" t="str">
        <f t="shared" si="39"/>
        <v/>
      </c>
      <c r="AQ58" s="811" t="str">
        <f t="shared" si="40"/>
        <v/>
      </c>
      <c r="AR58" s="811" t="str">
        <f t="shared" si="41"/>
        <v/>
      </c>
      <c r="AS58" s="811" t="str">
        <f t="shared" si="42"/>
        <v/>
      </c>
      <c r="AT58" s="811" t="str">
        <f t="shared" si="43"/>
        <v/>
      </c>
      <c r="AU58" s="811" t="str">
        <f t="shared" si="44"/>
        <v/>
      </c>
      <c r="AV58" s="811" t="str">
        <f t="shared" si="45"/>
        <v/>
      </c>
      <c r="AW58" s="815" t="str">
        <f t="shared" si="45"/>
        <v/>
      </c>
    </row>
    <row r="59" spans="1:49">
      <c r="A59" s="795" t="str">
        <f t="shared" si="46"/>
        <v>Ca 1,</v>
      </c>
      <c r="B59" s="315" t="s">
        <v>935</v>
      </c>
      <c r="C59" s="315" t="str">
        <f t="shared" si="69"/>
        <v>Muối axit Phosphoric  (tỷ lệ axit)
磷酸鹽</v>
      </c>
      <c r="D59" s="315" t="str">
        <f t="shared" si="70"/>
        <v>CR-000C</v>
      </c>
      <c r="E59" s="315" t="str">
        <f t="shared" si="71"/>
        <v>Point</v>
      </c>
      <c r="F59" s="315" t="str">
        <f t="shared" si="72"/>
        <v>tỷ lệ axit  酸比 
5.2~7.8 (6.5)</v>
      </c>
      <c r="G59" s="784">
        <f t="shared" si="73"/>
        <v>0</v>
      </c>
      <c r="H59" s="784">
        <f t="shared" si="74"/>
        <v>0</v>
      </c>
      <c r="I59" s="789" t="str">
        <f t="shared" si="75"/>
        <v>kg</v>
      </c>
      <c r="J59" s="784">
        <f t="shared" si="76"/>
        <v>0</v>
      </c>
      <c r="K59" s="784">
        <f t="shared" si="77"/>
        <v>0</v>
      </c>
      <c r="L59" s="789" t="str">
        <f t="shared" si="78"/>
        <v>kg</v>
      </c>
      <c r="M59" s="784">
        <f t="shared" si="79"/>
        <v>0</v>
      </c>
      <c r="N59" s="784">
        <f t="shared" si="80"/>
        <v>0</v>
      </c>
      <c r="O59" s="789" t="str">
        <f t="shared" si="81"/>
        <v>kg</v>
      </c>
      <c r="P59" s="784">
        <f t="shared" si="82"/>
        <v>0</v>
      </c>
      <c r="Q59" s="784">
        <f t="shared" si="83"/>
        <v>0</v>
      </c>
      <c r="R59" s="789" t="str">
        <f t="shared" si="84"/>
        <v>kg</v>
      </c>
      <c r="S59" s="784">
        <f t="shared" si="85"/>
        <v>0</v>
      </c>
      <c r="T59" s="777">
        <f t="shared" si="86"/>
        <v>0</v>
      </c>
      <c r="U59" s="778" t="str">
        <f t="shared" si="87"/>
        <v>kg</v>
      </c>
      <c r="V59" s="784">
        <f t="shared" si="88"/>
        <v>0</v>
      </c>
      <c r="W59" s="777">
        <f t="shared" si="89"/>
        <v>0</v>
      </c>
      <c r="X59" s="778" t="str">
        <f t="shared" si="90"/>
        <v>kg</v>
      </c>
      <c r="Z59" s="316" t="b">
        <f t="shared" si="23"/>
        <v>1</v>
      </c>
      <c r="AA59" s="316" t="b">
        <f t="shared" si="24"/>
        <v>1</v>
      </c>
      <c r="AB59" s="316" t="b">
        <f t="shared" si="25"/>
        <v>1</v>
      </c>
      <c r="AC59" s="316" t="b">
        <f t="shared" si="26"/>
        <v>1</v>
      </c>
      <c r="AD59" s="316" t="b">
        <f t="shared" si="27"/>
        <v>1</v>
      </c>
      <c r="AE59" s="316" t="b">
        <f t="shared" si="28"/>
        <v>1</v>
      </c>
      <c r="AF59" s="316" t="b">
        <f t="shared" si="29"/>
        <v>1</v>
      </c>
      <c r="AG59" s="316" t="b">
        <f t="shared" si="30"/>
        <v>1</v>
      </c>
      <c r="AH59" s="316" t="b">
        <f t="shared" si="31"/>
        <v>1</v>
      </c>
      <c r="AI59" s="316" t="b">
        <f t="shared" si="32"/>
        <v>1</v>
      </c>
      <c r="AJ59" s="316" t="b">
        <f t="shared" si="33"/>
        <v>1</v>
      </c>
      <c r="AK59" s="316" t="b">
        <f t="shared" si="34"/>
        <v>1</v>
      </c>
      <c r="AL59" s="810" t="str">
        <f t="shared" si="35"/>
        <v/>
      </c>
      <c r="AM59" s="811" t="str">
        <f t="shared" si="36"/>
        <v/>
      </c>
      <c r="AN59" s="811" t="str">
        <f t="shared" si="37"/>
        <v/>
      </c>
      <c r="AO59" s="811" t="str">
        <f t="shared" si="38"/>
        <v/>
      </c>
      <c r="AP59" s="811" t="str">
        <f t="shared" si="39"/>
        <v/>
      </c>
      <c r="AQ59" s="811" t="str">
        <f t="shared" si="40"/>
        <v/>
      </c>
      <c r="AR59" s="811" t="str">
        <f t="shared" si="41"/>
        <v/>
      </c>
      <c r="AS59" s="811" t="str">
        <f t="shared" si="42"/>
        <v/>
      </c>
      <c r="AT59" s="811" t="str">
        <f t="shared" si="43"/>
        <v/>
      </c>
      <c r="AU59" s="811" t="str">
        <f t="shared" si="44"/>
        <v/>
      </c>
      <c r="AV59" s="811" t="str">
        <f t="shared" si="45"/>
        <v/>
      </c>
      <c r="AW59" s="815" t="str">
        <f t="shared" si="45"/>
        <v/>
      </c>
    </row>
    <row r="60" spans="1:49">
      <c r="A60" s="795" t="str">
        <f t="shared" si="46"/>
        <v>Ca 1,</v>
      </c>
      <c r="B60" s="315" t="s">
        <v>936</v>
      </c>
      <c r="C60" s="315" t="str">
        <f t="shared" si="69"/>
        <v>Muối axit Phosphoric (Fe phân ly) 
磷酸鹽</v>
      </c>
      <c r="D60" s="315" t="str">
        <f t="shared" si="70"/>
        <v>CR-000C</v>
      </c>
      <c r="E60" s="315" t="str">
        <f t="shared" si="71"/>
        <v>Point</v>
      </c>
      <c r="F60" s="315" t="str">
        <f t="shared" si="72"/>
        <v xml:space="preserve">Fe phân ly &lt;0.4
 鐵離子&lt;0.4
</v>
      </c>
      <c r="G60" s="784">
        <f t="shared" si="73"/>
        <v>0</v>
      </c>
      <c r="H60" s="784">
        <f t="shared" si="74"/>
        <v>0</v>
      </c>
      <c r="I60" s="789">
        <f t="shared" si="75"/>
        <v>0</v>
      </c>
      <c r="J60" s="784">
        <f t="shared" si="76"/>
        <v>0</v>
      </c>
      <c r="K60" s="784">
        <f t="shared" si="77"/>
        <v>0</v>
      </c>
      <c r="L60" s="789">
        <f t="shared" si="78"/>
        <v>0</v>
      </c>
      <c r="M60" s="784">
        <f t="shared" si="79"/>
        <v>0</v>
      </c>
      <c r="N60" s="784">
        <f t="shared" si="80"/>
        <v>0</v>
      </c>
      <c r="O60" s="789">
        <f t="shared" si="81"/>
        <v>0</v>
      </c>
      <c r="P60" s="784">
        <f t="shared" si="82"/>
        <v>0</v>
      </c>
      <c r="Q60" s="784">
        <f t="shared" si="83"/>
        <v>0</v>
      </c>
      <c r="R60" s="789">
        <f t="shared" si="84"/>
        <v>0</v>
      </c>
      <c r="S60" s="784">
        <f t="shared" si="85"/>
        <v>0</v>
      </c>
      <c r="T60" s="777">
        <f t="shared" si="86"/>
        <v>0</v>
      </c>
      <c r="U60" s="778">
        <f t="shared" si="87"/>
        <v>0</v>
      </c>
      <c r="V60" s="784">
        <f t="shared" si="88"/>
        <v>0</v>
      </c>
      <c r="W60" s="777">
        <f t="shared" si="89"/>
        <v>0</v>
      </c>
      <c r="X60" s="778">
        <f t="shared" si="90"/>
        <v>0</v>
      </c>
      <c r="Z60" s="316" t="b">
        <f t="shared" si="23"/>
        <v>1</v>
      </c>
      <c r="AA60" s="316" t="b">
        <f t="shared" si="24"/>
        <v>1</v>
      </c>
      <c r="AB60" s="316" t="b">
        <f t="shared" si="25"/>
        <v>1</v>
      </c>
      <c r="AC60" s="316" t="b">
        <f t="shared" si="26"/>
        <v>1</v>
      </c>
      <c r="AD60" s="316" t="b">
        <f t="shared" si="27"/>
        <v>1</v>
      </c>
      <c r="AE60" s="316" t="b">
        <f t="shared" si="28"/>
        <v>1</v>
      </c>
      <c r="AF60" s="316" t="b">
        <f t="shared" si="29"/>
        <v>1</v>
      </c>
      <c r="AG60" s="316" t="b">
        <f t="shared" si="30"/>
        <v>1</v>
      </c>
      <c r="AH60" s="316" t="b">
        <f t="shared" si="31"/>
        <v>1</v>
      </c>
      <c r="AI60" s="316" t="b">
        <f t="shared" si="32"/>
        <v>1</v>
      </c>
      <c r="AJ60" s="316" t="b">
        <f t="shared" si="33"/>
        <v>1</v>
      </c>
      <c r="AK60" s="316" t="b">
        <f t="shared" si="34"/>
        <v>1</v>
      </c>
      <c r="AL60" s="810" t="str">
        <f t="shared" si="35"/>
        <v/>
      </c>
      <c r="AM60" s="811" t="str">
        <f t="shared" si="36"/>
        <v/>
      </c>
      <c r="AN60" s="811" t="str">
        <f t="shared" si="37"/>
        <v/>
      </c>
      <c r="AO60" s="811" t="str">
        <f t="shared" si="38"/>
        <v/>
      </c>
      <c r="AP60" s="811" t="str">
        <f t="shared" si="39"/>
        <v/>
      </c>
      <c r="AQ60" s="811" t="str">
        <f t="shared" si="40"/>
        <v/>
      </c>
      <c r="AR60" s="811" t="str">
        <f t="shared" si="41"/>
        <v/>
      </c>
      <c r="AS60" s="811" t="str">
        <f t="shared" si="42"/>
        <v/>
      </c>
      <c r="AT60" s="811" t="str">
        <f t="shared" si="43"/>
        <v/>
      </c>
      <c r="AU60" s="811" t="str">
        <f t="shared" si="44"/>
        <v/>
      </c>
      <c r="AV60" s="811" t="str">
        <f t="shared" si="45"/>
        <v/>
      </c>
      <c r="AW60" s="815" t="str">
        <f t="shared" si="45"/>
        <v/>
      </c>
    </row>
    <row r="61" spans="1:49">
      <c r="A61" s="795" t="str">
        <f t="shared" si="46"/>
        <v>Ca 1,</v>
      </c>
      <c r="B61" s="315" t="s">
        <v>931</v>
      </c>
      <c r="C61" s="315" t="str">
        <f t="shared" si="69"/>
        <v>Xà bông bôi trơn
潤滑皂</v>
      </c>
      <c r="D61" s="315" t="str">
        <f t="shared" si="70"/>
        <v>CR-000C</v>
      </c>
      <c r="E61" s="315" t="str">
        <f t="shared" si="71"/>
        <v>Point</v>
      </c>
      <c r="F61" s="315" t="str">
        <f t="shared" si="72"/>
        <v>0.8~1.2</v>
      </c>
      <c r="G61" s="784">
        <f t="shared" si="73"/>
        <v>0</v>
      </c>
      <c r="H61" s="784">
        <f t="shared" si="74"/>
        <v>0</v>
      </c>
      <c r="I61" s="789" t="str">
        <f t="shared" si="75"/>
        <v>kg</v>
      </c>
      <c r="J61" s="784">
        <f t="shared" si="76"/>
        <v>0</v>
      </c>
      <c r="K61" s="784">
        <f t="shared" si="77"/>
        <v>0</v>
      </c>
      <c r="L61" s="789" t="str">
        <f t="shared" si="78"/>
        <v>kg</v>
      </c>
      <c r="M61" s="784">
        <f t="shared" si="79"/>
        <v>0</v>
      </c>
      <c r="N61" s="784">
        <f t="shared" si="80"/>
        <v>0</v>
      </c>
      <c r="O61" s="789" t="str">
        <f t="shared" si="81"/>
        <v>kg</v>
      </c>
      <c r="P61" s="784">
        <f t="shared" si="82"/>
        <v>0</v>
      </c>
      <c r="Q61" s="784">
        <f t="shared" si="83"/>
        <v>0</v>
      </c>
      <c r="R61" s="789" t="str">
        <f t="shared" si="84"/>
        <v>kg</v>
      </c>
      <c r="S61" s="784">
        <f t="shared" si="85"/>
        <v>0</v>
      </c>
      <c r="T61" s="777">
        <f t="shared" si="86"/>
        <v>0</v>
      </c>
      <c r="U61" s="778" t="str">
        <f t="shared" si="87"/>
        <v>kg</v>
      </c>
      <c r="V61" s="784">
        <f t="shared" si="88"/>
        <v>0</v>
      </c>
      <c r="W61" s="777">
        <f t="shared" si="89"/>
        <v>0</v>
      </c>
      <c r="X61" s="778" t="str">
        <f t="shared" si="90"/>
        <v>kg</v>
      </c>
      <c r="Z61" s="316" t="b">
        <f t="shared" si="23"/>
        <v>1</v>
      </c>
      <c r="AA61" s="316" t="b">
        <f t="shared" si="24"/>
        <v>1</v>
      </c>
      <c r="AB61" s="316" t="b">
        <f t="shared" si="25"/>
        <v>1</v>
      </c>
      <c r="AC61" s="316" t="b">
        <f t="shared" si="26"/>
        <v>1</v>
      </c>
      <c r="AD61" s="316" t="b">
        <f t="shared" si="27"/>
        <v>1</v>
      </c>
      <c r="AE61" s="316" t="b">
        <f t="shared" si="28"/>
        <v>1</v>
      </c>
      <c r="AF61" s="316" t="b">
        <f t="shared" si="29"/>
        <v>1</v>
      </c>
      <c r="AG61" s="316" t="b">
        <f t="shared" si="30"/>
        <v>1</v>
      </c>
      <c r="AH61" s="316" t="b">
        <f t="shared" si="31"/>
        <v>1</v>
      </c>
      <c r="AI61" s="316" t="b">
        <f t="shared" si="32"/>
        <v>1</v>
      </c>
      <c r="AJ61" s="316" t="b">
        <f t="shared" si="33"/>
        <v>1</v>
      </c>
      <c r="AK61" s="316" t="b">
        <f t="shared" si="34"/>
        <v>1</v>
      </c>
      <c r="AL61" s="810" t="str">
        <f t="shared" si="35"/>
        <v/>
      </c>
      <c r="AM61" s="811" t="str">
        <f t="shared" si="36"/>
        <v/>
      </c>
      <c r="AN61" s="811" t="str">
        <f t="shared" si="37"/>
        <v/>
      </c>
      <c r="AO61" s="811" t="str">
        <f t="shared" si="38"/>
        <v/>
      </c>
      <c r="AP61" s="811" t="str">
        <f t="shared" si="39"/>
        <v/>
      </c>
      <c r="AQ61" s="811" t="str">
        <f t="shared" si="40"/>
        <v/>
      </c>
      <c r="AR61" s="811" t="str">
        <f t="shared" si="41"/>
        <v/>
      </c>
      <c r="AS61" s="811" t="str">
        <f t="shared" si="42"/>
        <v/>
      </c>
      <c r="AT61" s="811" t="str">
        <f t="shared" si="43"/>
        <v/>
      </c>
      <c r="AU61" s="811" t="str">
        <f t="shared" si="44"/>
        <v/>
      </c>
      <c r="AV61" s="811" t="str">
        <f t="shared" si="45"/>
        <v/>
      </c>
      <c r="AW61" s="815" t="str">
        <f t="shared" si="45"/>
        <v/>
      </c>
    </row>
    <row r="62" spans="1:49">
      <c r="A62" s="795" t="str">
        <f t="shared" ref="A62:A99" si="91">IF(B62="","",$A$4)</f>
        <v>Ca 1,</v>
      </c>
      <c r="B62" s="315" t="s">
        <v>932</v>
      </c>
      <c r="C62" s="315" t="str">
        <f t="shared" si="69"/>
        <v>pH</v>
      </c>
      <c r="D62" s="315" t="str">
        <f t="shared" si="70"/>
        <v>CR-000C</v>
      </c>
      <c r="E62" s="315" t="str">
        <f t="shared" si="71"/>
        <v>pH</v>
      </c>
      <c r="F62" s="315" t="str">
        <f t="shared" si="72"/>
        <v>8~10</v>
      </c>
      <c r="G62" s="784">
        <f t="shared" si="73"/>
        <v>0</v>
      </c>
      <c r="H62" s="784">
        <f t="shared" si="74"/>
        <v>0</v>
      </c>
      <c r="I62" s="789">
        <f t="shared" si="75"/>
        <v>0</v>
      </c>
      <c r="J62" s="784">
        <f t="shared" si="76"/>
        <v>0</v>
      </c>
      <c r="K62" s="784">
        <f t="shared" si="77"/>
        <v>0</v>
      </c>
      <c r="L62" s="789">
        <f t="shared" si="78"/>
        <v>0</v>
      </c>
      <c r="M62" s="784">
        <f t="shared" si="79"/>
        <v>0</v>
      </c>
      <c r="N62" s="784">
        <f t="shared" si="80"/>
        <v>0</v>
      </c>
      <c r="O62" s="789">
        <f t="shared" si="81"/>
        <v>0</v>
      </c>
      <c r="P62" s="784">
        <f t="shared" si="82"/>
        <v>0</v>
      </c>
      <c r="Q62" s="784">
        <f t="shared" si="83"/>
        <v>0</v>
      </c>
      <c r="R62" s="789">
        <f t="shared" si="84"/>
        <v>0</v>
      </c>
      <c r="S62" s="784">
        <f t="shared" si="85"/>
        <v>0</v>
      </c>
      <c r="T62" s="777">
        <f t="shared" si="86"/>
        <v>0</v>
      </c>
      <c r="U62" s="778">
        <f t="shared" si="87"/>
        <v>0</v>
      </c>
      <c r="V62" s="784">
        <f t="shared" si="88"/>
        <v>0</v>
      </c>
      <c r="W62" s="777">
        <f t="shared" si="89"/>
        <v>0</v>
      </c>
      <c r="X62" s="778">
        <f t="shared" si="90"/>
        <v>0</v>
      </c>
      <c r="Z62" s="316" t="b">
        <f t="shared" si="23"/>
        <v>1</v>
      </c>
      <c r="AA62" s="316" t="b">
        <f t="shared" si="24"/>
        <v>1</v>
      </c>
      <c r="AB62" s="316" t="b">
        <f t="shared" si="25"/>
        <v>1</v>
      </c>
      <c r="AC62" s="316" t="b">
        <f t="shared" si="26"/>
        <v>1</v>
      </c>
      <c r="AD62" s="316" t="b">
        <f t="shared" si="27"/>
        <v>1</v>
      </c>
      <c r="AE62" s="316" t="b">
        <f t="shared" si="28"/>
        <v>1</v>
      </c>
      <c r="AF62" s="316" t="b">
        <f t="shared" si="29"/>
        <v>1</v>
      </c>
      <c r="AG62" s="316" t="b">
        <f t="shared" si="30"/>
        <v>1</v>
      </c>
      <c r="AH62" s="316" t="b">
        <f t="shared" si="31"/>
        <v>1</v>
      </c>
      <c r="AI62" s="316" t="b">
        <f t="shared" si="32"/>
        <v>1</v>
      </c>
      <c r="AJ62" s="316" t="b">
        <f t="shared" si="33"/>
        <v>1</v>
      </c>
      <c r="AK62" s="316" t="b">
        <f t="shared" si="34"/>
        <v>1</v>
      </c>
      <c r="AL62" s="810" t="str">
        <f t="shared" si="35"/>
        <v/>
      </c>
      <c r="AM62" s="811" t="str">
        <f t="shared" si="36"/>
        <v/>
      </c>
      <c r="AN62" s="811" t="str">
        <f t="shared" si="37"/>
        <v/>
      </c>
      <c r="AO62" s="811" t="str">
        <f t="shared" si="38"/>
        <v/>
      </c>
      <c r="AP62" s="811" t="str">
        <f t="shared" si="39"/>
        <v/>
      </c>
      <c r="AQ62" s="811" t="str">
        <f t="shared" si="40"/>
        <v/>
      </c>
      <c r="AR62" s="811" t="str">
        <f t="shared" si="41"/>
        <v/>
      </c>
      <c r="AS62" s="811" t="str">
        <f t="shared" si="42"/>
        <v/>
      </c>
      <c r="AT62" s="811" t="str">
        <f t="shared" si="43"/>
        <v/>
      </c>
      <c r="AU62" s="811" t="str">
        <f t="shared" si="44"/>
        <v/>
      </c>
      <c r="AV62" s="811" t="str">
        <f t="shared" si="45"/>
        <v/>
      </c>
      <c r="AW62" s="815" t="str">
        <f t="shared" si="45"/>
        <v/>
      </c>
    </row>
    <row r="63" spans="1:49">
      <c r="A63" s="795" t="str">
        <f t="shared" si="91"/>
        <v>Ca 1,</v>
      </c>
      <c r="B63" s="315" t="s">
        <v>457</v>
      </c>
      <c r="C63" s="315" t="str">
        <f t="shared" si="69"/>
        <v/>
      </c>
      <c r="D63" s="315" t="str">
        <f t="shared" si="70"/>
        <v/>
      </c>
      <c r="E63" s="315" t="str">
        <f t="shared" si="71"/>
        <v/>
      </c>
      <c r="F63" s="315" t="str">
        <f t="shared" si="72"/>
        <v/>
      </c>
      <c r="G63" s="784" t="str">
        <f t="shared" si="73"/>
        <v/>
      </c>
      <c r="H63" s="784" t="str">
        <f t="shared" si="74"/>
        <v/>
      </c>
      <c r="I63" s="789" t="str">
        <f t="shared" si="75"/>
        <v/>
      </c>
      <c r="J63" s="784" t="str">
        <f t="shared" si="76"/>
        <v/>
      </c>
      <c r="K63" s="784" t="str">
        <f t="shared" si="77"/>
        <v/>
      </c>
      <c r="L63" s="789" t="str">
        <f t="shared" si="78"/>
        <v/>
      </c>
      <c r="M63" s="784" t="str">
        <f t="shared" si="79"/>
        <v/>
      </c>
      <c r="N63" s="784" t="str">
        <f t="shared" si="80"/>
        <v/>
      </c>
      <c r="O63" s="789" t="str">
        <f t="shared" si="81"/>
        <v/>
      </c>
      <c r="P63" s="784" t="str">
        <f t="shared" si="82"/>
        <v/>
      </c>
      <c r="Q63" s="784" t="str">
        <f t="shared" si="83"/>
        <v/>
      </c>
      <c r="R63" s="789" t="str">
        <f t="shared" si="84"/>
        <v/>
      </c>
      <c r="S63" s="784" t="str">
        <f t="shared" si="85"/>
        <v/>
      </c>
      <c r="T63" s="777" t="str">
        <f t="shared" si="86"/>
        <v/>
      </c>
      <c r="U63" s="778" t="str">
        <f t="shared" si="87"/>
        <v/>
      </c>
      <c r="V63" s="784" t="str">
        <f t="shared" si="88"/>
        <v/>
      </c>
      <c r="W63" s="777" t="str">
        <f t="shared" si="89"/>
        <v/>
      </c>
      <c r="X63" s="778" t="str">
        <f t="shared" si="90"/>
        <v/>
      </c>
      <c r="Z63" s="316" t="b">
        <f t="shared" si="23"/>
        <v>0</v>
      </c>
      <c r="AA63" s="316" t="b">
        <f t="shared" si="24"/>
        <v>0</v>
      </c>
      <c r="AB63" s="316" t="b">
        <f t="shared" si="25"/>
        <v>0</v>
      </c>
      <c r="AC63" s="316" t="b">
        <f t="shared" si="26"/>
        <v>0</v>
      </c>
      <c r="AD63" s="316" t="b">
        <f t="shared" si="27"/>
        <v>0</v>
      </c>
      <c r="AE63" s="316" t="b">
        <f t="shared" si="28"/>
        <v>0</v>
      </c>
      <c r="AF63" s="316" t="b">
        <f t="shared" si="29"/>
        <v>0</v>
      </c>
      <c r="AG63" s="316" t="b">
        <f t="shared" si="30"/>
        <v>0</v>
      </c>
      <c r="AH63" s="316" t="b">
        <f t="shared" si="31"/>
        <v>0</v>
      </c>
      <c r="AI63" s="316" t="b">
        <f t="shared" si="32"/>
        <v>0</v>
      </c>
      <c r="AJ63" s="316" t="b">
        <f t="shared" si="33"/>
        <v>0</v>
      </c>
      <c r="AK63" s="316" t="b">
        <f t="shared" si="34"/>
        <v>0</v>
      </c>
      <c r="AL63" s="810">
        <f t="shared" si="35"/>
        <v>1</v>
      </c>
      <c r="AM63" s="811">
        <f t="shared" si="36"/>
        <v>1</v>
      </c>
      <c r="AN63" s="811">
        <f t="shared" si="37"/>
        <v>1</v>
      </c>
      <c r="AO63" s="811">
        <f t="shared" si="38"/>
        <v>1</v>
      </c>
      <c r="AP63" s="811">
        <f t="shared" si="39"/>
        <v>1</v>
      </c>
      <c r="AQ63" s="811">
        <f t="shared" si="40"/>
        <v>1</v>
      </c>
      <c r="AR63" s="811">
        <f t="shared" si="41"/>
        <v>1</v>
      </c>
      <c r="AS63" s="811">
        <f t="shared" si="42"/>
        <v>1</v>
      </c>
      <c r="AT63" s="811">
        <f t="shared" si="43"/>
        <v>1</v>
      </c>
      <c r="AU63" s="811">
        <f t="shared" si="44"/>
        <v>1</v>
      </c>
      <c r="AV63" s="811">
        <f t="shared" si="45"/>
        <v>1</v>
      </c>
      <c r="AW63" s="815">
        <f t="shared" si="45"/>
        <v>1</v>
      </c>
    </row>
    <row r="64" spans="1:49">
      <c r="A64" s="795" t="str">
        <f t="shared" si="91"/>
        <v>Ca 1,</v>
      </c>
      <c r="B64" s="315" t="s">
        <v>459</v>
      </c>
      <c r="C64" s="315" t="str">
        <f t="shared" si="69"/>
        <v/>
      </c>
      <c r="D64" s="315" t="str">
        <f t="shared" si="70"/>
        <v/>
      </c>
      <c r="E64" s="315" t="str">
        <f t="shared" si="71"/>
        <v/>
      </c>
      <c r="F64" s="315" t="str">
        <f t="shared" si="72"/>
        <v/>
      </c>
      <c r="G64" s="784" t="str">
        <f t="shared" si="73"/>
        <v/>
      </c>
      <c r="H64" s="784" t="str">
        <f t="shared" si="74"/>
        <v/>
      </c>
      <c r="I64" s="789" t="str">
        <f t="shared" si="75"/>
        <v/>
      </c>
      <c r="J64" s="784" t="str">
        <f t="shared" si="76"/>
        <v/>
      </c>
      <c r="K64" s="784" t="str">
        <f t="shared" si="77"/>
        <v/>
      </c>
      <c r="L64" s="789" t="str">
        <f t="shared" si="78"/>
        <v/>
      </c>
      <c r="M64" s="784" t="str">
        <f t="shared" si="79"/>
        <v/>
      </c>
      <c r="N64" s="784" t="str">
        <f t="shared" si="80"/>
        <v/>
      </c>
      <c r="O64" s="789" t="str">
        <f t="shared" si="81"/>
        <v/>
      </c>
      <c r="P64" s="784" t="str">
        <f t="shared" si="82"/>
        <v/>
      </c>
      <c r="Q64" s="784" t="str">
        <f t="shared" si="83"/>
        <v/>
      </c>
      <c r="R64" s="789" t="str">
        <f t="shared" si="84"/>
        <v/>
      </c>
      <c r="S64" s="784" t="str">
        <f t="shared" si="85"/>
        <v/>
      </c>
      <c r="T64" s="777" t="str">
        <f t="shared" si="86"/>
        <v/>
      </c>
      <c r="U64" s="778" t="str">
        <f t="shared" si="87"/>
        <v/>
      </c>
      <c r="V64" s="784" t="str">
        <f t="shared" si="88"/>
        <v/>
      </c>
      <c r="W64" s="777" t="str">
        <f t="shared" si="89"/>
        <v/>
      </c>
      <c r="X64" s="778" t="str">
        <f t="shared" si="90"/>
        <v/>
      </c>
      <c r="Z64" s="316" t="b">
        <f t="shared" si="23"/>
        <v>0</v>
      </c>
      <c r="AA64" s="316" t="b">
        <f t="shared" si="24"/>
        <v>0</v>
      </c>
      <c r="AB64" s="316" t="b">
        <f t="shared" si="25"/>
        <v>0</v>
      </c>
      <c r="AC64" s="316" t="b">
        <f t="shared" si="26"/>
        <v>0</v>
      </c>
      <c r="AD64" s="316" t="b">
        <f t="shared" si="27"/>
        <v>0</v>
      </c>
      <c r="AE64" s="316" t="b">
        <f t="shared" si="28"/>
        <v>0</v>
      </c>
      <c r="AF64" s="316" t="b">
        <f t="shared" si="29"/>
        <v>0</v>
      </c>
      <c r="AG64" s="316" t="b">
        <f t="shared" si="30"/>
        <v>0</v>
      </c>
      <c r="AH64" s="316" t="b">
        <f t="shared" si="31"/>
        <v>0</v>
      </c>
      <c r="AI64" s="316" t="b">
        <f t="shared" si="32"/>
        <v>0</v>
      </c>
      <c r="AJ64" s="316" t="b">
        <f t="shared" si="33"/>
        <v>0</v>
      </c>
      <c r="AK64" s="316" t="b">
        <f t="shared" si="34"/>
        <v>0</v>
      </c>
      <c r="AL64" s="810">
        <f t="shared" si="35"/>
        <v>1</v>
      </c>
      <c r="AM64" s="811">
        <f t="shared" si="36"/>
        <v>1</v>
      </c>
      <c r="AN64" s="811">
        <f t="shared" si="37"/>
        <v>1</v>
      </c>
      <c r="AO64" s="811">
        <f t="shared" si="38"/>
        <v>1</v>
      </c>
      <c r="AP64" s="811">
        <f t="shared" si="39"/>
        <v>1</v>
      </c>
      <c r="AQ64" s="811">
        <f t="shared" si="40"/>
        <v>1</v>
      </c>
      <c r="AR64" s="811">
        <f t="shared" si="41"/>
        <v>1</v>
      </c>
      <c r="AS64" s="811">
        <f t="shared" si="42"/>
        <v>1</v>
      </c>
      <c r="AT64" s="811">
        <f t="shared" si="43"/>
        <v>1</v>
      </c>
      <c r="AU64" s="811">
        <f t="shared" si="44"/>
        <v>1</v>
      </c>
      <c r="AV64" s="811">
        <f t="shared" si="45"/>
        <v>1</v>
      </c>
      <c r="AW64" s="815">
        <f t="shared" si="45"/>
        <v>1</v>
      </c>
    </row>
    <row r="65" spans="1:49">
      <c r="A65" s="795" t="str">
        <f t="shared" si="91"/>
        <v>Ca 1,</v>
      </c>
      <c r="B65" s="315" t="s">
        <v>460</v>
      </c>
      <c r="C65" s="315" t="str">
        <f t="shared" si="69"/>
        <v/>
      </c>
      <c r="D65" s="315" t="str">
        <f t="shared" si="70"/>
        <v/>
      </c>
      <c r="E65" s="315" t="str">
        <f t="shared" si="71"/>
        <v/>
      </c>
      <c r="F65" s="315" t="str">
        <f t="shared" si="72"/>
        <v/>
      </c>
      <c r="G65" s="784" t="str">
        <f t="shared" si="73"/>
        <v/>
      </c>
      <c r="H65" s="784" t="str">
        <f t="shared" si="74"/>
        <v/>
      </c>
      <c r="I65" s="789" t="str">
        <f t="shared" si="75"/>
        <v/>
      </c>
      <c r="J65" s="784" t="str">
        <f t="shared" si="76"/>
        <v/>
      </c>
      <c r="K65" s="784" t="str">
        <f t="shared" si="77"/>
        <v/>
      </c>
      <c r="L65" s="789" t="str">
        <f t="shared" si="78"/>
        <v/>
      </c>
      <c r="M65" s="784" t="str">
        <f t="shared" si="79"/>
        <v/>
      </c>
      <c r="N65" s="784" t="str">
        <f t="shared" si="80"/>
        <v/>
      </c>
      <c r="O65" s="789" t="str">
        <f t="shared" si="81"/>
        <v/>
      </c>
      <c r="P65" s="784" t="str">
        <f t="shared" si="82"/>
        <v/>
      </c>
      <c r="Q65" s="784" t="str">
        <f t="shared" si="83"/>
        <v/>
      </c>
      <c r="R65" s="789" t="str">
        <f t="shared" si="84"/>
        <v/>
      </c>
      <c r="S65" s="784" t="str">
        <f t="shared" si="85"/>
        <v/>
      </c>
      <c r="T65" s="777" t="str">
        <f t="shared" si="86"/>
        <v/>
      </c>
      <c r="U65" s="778" t="str">
        <f t="shared" si="87"/>
        <v/>
      </c>
      <c r="V65" s="784" t="str">
        <f t="shared" si="88"/>
        <v/>
      </c>
      <c r="W65" s="777" t="str">
        <f t="shared" si="89"/>
        <v/>
      </c>
      <c r="X65" s="778" t="str">
        <f t="shared" si="90"/>
        <v/>
      </c>
      <c r="Z65" s="316" t="b">
        <f t="shared" si="23"/>
        <v>0</v>
      </c>
      <c r="AA65" s="316" t="b">
        <f t="shared" si="24"/>
        <v>0</v>
      </c>
      <c r="AB65" s="316" t="b">
        <f t="shared" si="25"/>
        <v>0</v>
      </c>
      <c r="AC65" s="316" t="b">
        <f t="shared" si="26"/>
        <v>0</v>
      </c>
      <c r="AD65" s="316" t="b">
        <f t="shared" si="27"/>
        <v>0</v>
      </c>
      <c r="AE65" s="316" t="b">
        <f t="shared" si="28"/>
        <v>0</v>
      </c>
      <c r="AF65" s="316" t="b">
        <f t="shared" si="29"/>
        <v>0</v>
      </c>
      <c r="AG65" s="316" t="b">
        <f t="shared" si="30"/>
        <v>0</v>
      </c>
      <c r="AH65" s="316" t="b">
        <f t="shared" si="31"/>
        <v>0</v>
      </c>
      <c r="AI65" s="316" t="b">
        <f t="shared" si="32"/>
        <v>0</v>
      </c>
      <c r="AJ65" s="316" t="b">
        <f t="shared" si="33"/>
        <v>0</v>
      </c>
      <c r="AK65" s="316" t="b">
        <f t="shared" si="34"/>
        <v>0</v>
      </c>
      <c r="AL65" s="810">
        <f t="shared" si="35"/>
        <v>1</v>
      </c>
      <c r="AM65" s="811">
        <f t="shared" si="36"/>
        <v>1</v>
      </c>
      <c r="AN65" s="811">
        <f t="shared" si="37"/>
        <v>1</v>
      </c>
      <c r="AO65" s="811">
        <f t="shared" si="38"/>
        <v>1</v>
      </c>
      <c r="AP65" s="811">
        <f t="shared" si="39"/>
        <v>1</v>
      </c>
      <c r="AQ65" s="811">
        <f t="shared" si="40"/>
        <v>1</v>
      </c>
      <c r="AR65" s="811">
        <f t="shared" si="41"/>
        <v>1</v>
      </c>
      <c r="AS65" s="811">
        <f t="shared" si="42"/>
        <v>1</v>
      </c>
      <c r="AT65" s="811">
        <f t="shared" si="43"/>
        <v>1</v>
      </c>
      <c r="AU65" s="811">
        <f t="shared" si="44"/>
        <v>1</v>
      </c>
      <c r="AV65" s="811">
        <f t="shared" si="45"/>
        <v>1</v>
      </c>
      <c r="AW65" s="815">
        <f t="shared" si="45"/>
        <v>1</v>
      </c>
    </row>
    <row r="66" spans="1:49">
      <c r="A66" s="795" t="str">
        <f t="shared" si="91"/>
        <v>Ca 1,</v>
      </c>
      <c r="B66" s="315" t="s">
        <v>461</v>
      </c>
      <c r="C66" s="315" t="str">
        <f t="shared" si="69"/>
        <v/>
      </c>
      <c r="D66" s="315" t="str">
        <f t="shared" si="70"/>
        <v/>
      </c>
      <c r="E66" s="315" t="str">
        <f t="shared" si="71"/>
        <v/>
      </c>
      <c r="F66" s="315" t="str">
        <f t="shared" si="72"/>
        <v/>
      </c>
      <c r="G66" s="784" t="str">
        <f t="shared" si="73"/>
        <v/>
      </c>
      <c r="H66" s="784" t="str">
        <f t="shared" si="74"/>
        <v/>
      </c>
      <c r="I66" s="789" t="str">
        <f t="shared" si="75"/>
        <v/>
      </c>
      <c r="J66" s="784" t="str">
        <f t="shared" si="76"/>
        <v/>
      </c>
      <c r="K66" s="784" t="str">
        <f t="shared" si="77"/>
        <v/>
      </c>
      <c r="L66" s="789" t="str">
        <f t="shared" si="78"/>
        <v/>
      </c>
      <c r="M66" s="784" t="str">
        <f t="shared" si="79"/>
        <v/>
      </c>
      <c r="N66" s="784" t="str">
        <f t="shared" si="80"/>
        <v/>
      </c>
      <c r="O66" s="789" t="str">
        <f t="shared" si="81"/>
        <v/>
      </c>
      <c r="P66" s="784" t="str">
        <f t="shared" si="82"/>
        <v/>
      </c>
      <c r="Q66" s="784" t="str">
        <f t="shared" si="83"/>
        <v/>
      </c>
      <c r="R66" s="789" t="str">
        <f t="shared" si="84"/>
        <v/>
      </c>
      <c r="S66" s="784" t="str">
        <f t="shared" si="85"/>
        <v/>
      </c>
      <c r="T66" s="777" t="str">
        <f t="shared" si="86"/>
        <v/>
      </c>
      <c r="U66" s="778" t="str">
        <f t="shared" si="87"/>
        <v/>
      </c>
      <c r="V66" s="784" t="str">
        <f t="shared" si="88"/>
        <v/>
      </c>
      <c r="W66" s="777" t="str">
        <f t="shared" si="89"/>
        <v/>
      </c>
      <c r="X66" s="778" t="str">
        <f t="shared" si="90"/>
        <v/>
      </c>
      <c r="Z66" s="316" t="b">
        <f t="shared" si="23"/>
        <v>0</v>
      </c>
      <c r="AA66" s="316" t="b">
        <f t="shared" si="24"/>
        <v>0</v>
      </c>
      <c r="AB66" s="316" t="b">
        <f t="shared" si="25"/>
        <v>0</v>
      </c>
      <c r="AC66" s="316" t="b">
        <f t="shared" si="26"/>
        <v>0</v>
      </c>
      <c r="AD66" s="316" t="b">
        <f t="shared" si="27"/>
        <v>0</v>
      </c>
      <c r="AE66" s="316" t="b">
        <f t="shared" si="28"/>
        <v>0</v>
      </c>
      <c r="AF66" s="316" t="b">
        <f t="shared" si="29"/>
        <v>0</v>
      </c>
      <c r="AG66" s="316" t="b">
        <f t="shared" si="30"/>
        <v>0</v>
      </c>
      <c r="AH66" s="316" t="b">
        <f t="shared" si="31"/>
        <v>0</v>
      </c>
      <c r="AI66" s="316" t="b">
        <f t="shared" si="32"/>
        <v>0</v>
      </c>
      <c r="AJ66" s="316" t="b">
        <f t="shared" si="33"/>
        <v>0</v>
      </c>
      <c r="AK66" s="316" t="b">
        <f t="shared" si="34"/>
        <v>0</v>
      </c>
      <c r="AL66" s="810">
        <f t="shared" si="35"/>
        <v>1</v>
      </c>
      <c r="AM66" s="811">
        <f t="shared" si="36"/>
        <v>1</v>
      </c>
      <c r="AN66" s="811">
        <f t="shared" si="37"/>
        <v>1</v>
      </c>
      <c r="AO66" s="811">
        <f t="shared" si="38"/>
        <v>1</v>
      </c>
      <c r="AP66" s="811">
        <f t="shared" si="39"/>
        <v>1</v>
      </c>
      <c r="AQ66" s="811">
        <f t="shared" si="40"/>
        <v>1</v>
      </c>
      <c r="AR66" s="811">
        <f t="shared" si="41"/>
        <v>1</v>
      </c>
      <c r="AS66" s="811">
        <f t="shared" si="42"/>
        <v>1</v>
      </c>
      <c r="AT66" s="811">
        <f t="shared" si="43"/>
        <v>1</v>
      </c>
      <c r="AU66" s="811">
        <f t="shared" si="44"/>
        <v>1</v>
      </c>
      <c r="AV66" s="811">
        <f t="shared" si="45"/>
        <v>1</v>
      </c>
      <c r="AW66" s="815">
        <f t="shared" si="45"/>
        <v>1</v>
      </c>
    </row>
    <row r="67" spans="1:49">
      <c r="A67" s="795" t="str">
        <f t="shared" si="91"/>
        <v>Ca 1,</v>
      </c>
      <c r="B67" s="315" t="s">
        <v>462</v>
      </c>
      <c r="C67" s="315" t="str">
        <f t="shared" si="69"/>
        <v/>
      </c>
      <c r="D67" s="315" t="str">
        <f t="shared" si="70"/>
        <v/>
      </c>
      <c r="E67" s="315" t="str">
        <f t="shared" si="71"/>
        <v/>
      </c>
      <c r="F67" s="315" t="str">
        <f t="shared" si="72"/>
        <v/>
      </c>
      <c r="G67" s="784" t="str">
        <f t="shared" si="73"/>
        <v/>
      </c>
      <c r="H67" s="784" t="str">
        <f t="shared" si="74"/>
        <v/>
      </c>
      <c r="I67" s="789" t="str">
        <f t="shared" si="75"/>
        <v/>
      </c>
      <c r="J67" s="784" t="str">
        <f t="shared" si="76"/>
        <v/>
      </c>
      <c r="K67" s="784" t="str">
        <f t="shared" si="77"/>
        <v/>
      </c>
      <c r="L67" s="789" t="str">
        <f t="shared" si="78"/>
        <v/>
      </c>
      <c r="M67" s="784" t="str">
        <f t="shared" si="79"/>
        <v/>
      </c>
      <c r="N67" s="784" t="str">
        <f t="shared" si="80"/>
        <v/>
      </c>
      <c r="O67" s="789" t="str">
        <f t="shared" si="81"/>
        <v/>
      </c>
      <c r="P67" s="784" t="str">
        <f t="shared" si="82"/>
        <v/>
      </c>
      <c r="Q67" s="784" t="str">
        <f t="shared" si="83"/>
        <v/>
      </c>
      <c r="R67" s="789" t="str">
        <f t="shared" si="84"/>
        <v/>
      </c>
      <c r="S67" s="784" t="str">
        <f t="shared" si="85"/>
        <v/>
      </c>
      <c r="T67" s="777" t="str">
        <f t="shared" si="86"/>
        <v/>
      </c>
      <c r="U67" s="778" t="str">
        <f t="shared" si="87"/>
        <v/>
      </c>
      <c r="V67" s="784" t="str">
        <f t="shared" si="88"/>
        <v/>
      </c>
      <c r="W67" s="777" t="str">
        <f t="shared" si="89"/>
        <v/>
      </c>
      <c r="X67" s="778" t="str">
        <f t="shared" si="90"/>
        <v/>
      </c>
      <c r="Z67" s="316" t="b">
        <f t="shared" si="23"/>
        <v>0</v>
      </c>
      <c r="AA67" s="316" t="b">
        <f t="shared" si="24"/>
        <v>0</v>
      </c>
      <c r="AB67" s="316" t="b">
        <f t="shared" si="25"/>
        <v>0</v>
      </c>
      <c r="AC67" s="316" t="b">
        <f t="shared" si="26"/>
        <v>0</v>
      </c>
      <c r="AD67" s="316" t="b">
        <f t="shared" si="27"/>
        <v>0</v>
      </c>
      <c r="AE67" s="316" t="b">
        <f t="shared" si="28"/>
        <v>0</v>
      </c>
      <c r="AF67" s="316" t="b">
        <f t="shared" si="29"/>
        <v>0</v>
      </c>
      <c r="AG67" s="316" t="b">
        <f t="shared" si="30"/>
        <v>0</v>
      </c>
      <c r="AH67" s="316" t="b">
        <f t="shared" si="31"/>
        <v>0</v>
      </c>
      <c r="AI67" s="316" t="b">
        <f t="shared" si="32"/>
        <v>0</v>
      </c>
      <c r="AJ67" s="316" t="b">
        <f t="shared" si="33"/>
        <v>0</v>
      </c>
      <c r="AK67" s="316" t="b">
        <f t="shared" si="34"/>
        <v>0</v>
      </c>
      <c r="AL67" s="810">
        <f t="shared" si="35"/>
        <v>1</v>
      </c>
      <c r="AM67" s="811">
        <f t="shared" si="36"/>
        <v>1</v>
      </c>
      <c r="AN67" s="811">
        <f t="shared" si="37"/>
        <v>1</v>
      </c>
      <c r="AO67" s="811">
        <f t="shared" si="38"/>
        <v>1</v>
      </c>
      <c r="AP67" s="811">
        <f t="shared" si="39"/>
        <v>1</v>
      </c>
      <c r="AQ67" s="811">
        <f t="shared" si="40"/>
        <v>1</v>
      </c>
      <c r="AR67" s="811">
        <f t="shared" si="41"/>
        <v>1</v>
      </c>
      <c r="AS67" s="811">
        <f t="shared" si="42"/>
        <v>1</v>
      </c>
      <c r="AT67" s="811">
        <f t="shared" si="43"/>
        <v>1</v>
      </c>
      <c r="AU67" s="811">
        <f t="shared" si="44"/>
        <v>1</v>
      </c>
      <c r="AV67" s="811">
        <f t="shared" si="45"/>
        <v>1</v>
      </c>
      <c r="AW67" s="815">
        <f t="shared" si="45"/>
        <v>1</v>
      </c>
    </row>
    <row r="68" spans="1:49">
      <c r="A68" s="795" t="str">
        <f t="shared" si="91"/>
        <v>Ca 1,</v>
      </c>
      <c r="B68" s="315" t="s">
        <v>463</v>
      </c>
      <c r="C68" s="315" t="str">
        <f t="shared" si="69"/>
        <v/>
      </c>
      <c r="D68" s="315" t="str">
        <f t="shared" si="70"/>
        <v/>
      </c>
      <c r="E68" s="315" t="str">
        <f t="shared" si="71"/>
        <v/>
      </c>
      <c r="F68" s="315" t="str">
        <f t="shared" si="72"/>
        <v/>
      </c>
      <c r="G68" s="784" t="str">
        <f t="shared" si="73"/>
        <v/>
      </c>
      <c r="H68" s="784" t="str">
        <f t="shared" si="74"/>
        <v/>
      </c>
      <c r="I68" s="789" t="str">
        <f t="shared" si="75"/>
        <v/>
      </c>
      <c r="J68" s="784" t="str">
        <f t="shared" si="76"/>
        <v/>
      </c>
      <c r="K68" s="784" t="str">
        <f t="shared" si="77"/>
        <v/>
      </c>
      <c r="L68" s="789" t="str">
        <f t="shared" si="78"/>
        <v/>
      </c>
      <c r="M68" s="784" t="str">
        <f t="shared" si="79"/>
        <v/>
      </c>
      <c r="N68" s="784" t="str">
        <f t="shared" si="80"/>
        <v/>
      </c>
      <c r="O68" s="789" t="str">
        <f t="shared" si="81"/>
        <v/>
      </c>
      <c r="P68" s="784" t="str">
        <f t="shared" si="82"/>
        <v/>
      </c>
      <c r="Q68" s="784" t="str">
        <f t="shared" si="83"/>
        <v/>
      </c>
      <c r="R68" s="789" t="str">
        <f t="shared" si="84"/>
        <v/>
      </c>
      <c r="S68" s="784" t="str">
        <f t="shared" si="85"/>
        <v/>
      </c>
      <c r="T68" s="777" t="str">
        <f t="shared" si="86"/>
        <v/>
      </c>
      <c r="U68" s="778" t="str">
        <f t="shared" si="87"/>
        <v/>
      </c>
      <c r="V68" s="784" t="str">
        <f t="shared" si="88"/>
        <v/>
      </c>
      <c r="W68" s="777" t="str">
        <f t="shared" si="89"/>
        <v/>
      </c>
      <c r="X68" s="778" t="str">
        <f t="shared" si="90"/>
        <v/>
      </c>
      <c r="Z68" s="316" t="b">
        <f t="shared" si="23"/>
        <v>0</v>
      </c>
      <c r="AA68" s="316" t="b">
        <f t="shared" si="24"/>
        <v>0</v>
      </c>
      <c r="AB68" s="316" t="b">
        <f t="shared" si="25"/>
        <v>0</v>
      </c>
      <c r="AC68" s="316" t="b">
        <f t="shared" si="26"/>
        <v>0</v>
      </c>
      <c r="AD68" s="316" t="b">
        <f t="shared" si="27"/>
        <v>0</v>
      </c>
      <c r="AE68" s="316" t="b">
        <f t="shared" si="28"/>
        <v>0</v>
      </c>
      <c r="AF68" s="316" t="b">
        <f t="shared" si="29"/>
        <v>0</v>
      </c>
      <c r="AG68" s="316" t="b">
        <f t="shared" si="30"/>
        <v>0</v>
      </c>
      <c r="AH68" s="316" t="b">
        <f t="shared" si="31"/>
        <v>0</v>
      </c>
      <c r="AI68" s="316" t="b">
        <f t="shared" si="32"/>
        <v>0</v>
      </c>
      <c r="AJ68" s="316" t="b">
        <f t="shared" si="33"/>
        <v>0</v>
      </c>
      <c r="AK68" s="316" t="b">
        <f t="shared" si="34"/>
        <v>0</v>
      </c>
      <c r="AL68" s="810">
        <f t="shared" si="35"/>
        <v>1</v>
      </c>
      <c r="AM68" s="811">
        <f t="shared" si="36"/>
        <v>1</v>
      </c>
      <c r="AN68" s="811">
        <f t="shared" si="37"/>
        <v>1</v>
      </c>
      <c r="AO68" s="811">
        <f t="shared" si="38"/>
        <v>1</v>
      </c>
      <c r="AP68" s="811">
        <f t="shared" si="39"/>
        <v>1</v>
      </c>
      <c r="AQ68" s="811">
        <f t="shared" si="40"/>
        <v>1</v>
      </c>
      <c r="AR68" s="811">
        <f t="shared" si="41"/>
        <v>1</v>
      </c>
      <c r="AS68" s="811">
        <f t="shared" si="42"/>
        <v>1</v>
      </c>
      <c r="AT68" s="811">
        <f t="shared" si="43"/>
        <v>1</v>
      </c>
      <c r="AU68" s="811">
        <f t="shared" si="44"/>
        <v>1</v>
      </c>
      <c r="AV68" s="811">
        <f t="shared" si="45"/>
        <v>1</v>
      </c>
      <c r="AW68" s="815">
        <f t="shared" si="45"/>
        <v>1</v>
      </c>
    </row>
    <row r="69" spans="1:49">
      <c r="A69" s="795" t="str">
        <f t="shared" si="91"/>
        <v>Ca 1,</v>
      </c>
      <c r="B69" s="315" t="s">
        <v>464</v>
      </c>
      <c r="C69" s="315" t="str">
        <f t="shared" si="69"/>
        <v/>
      </c>
      <c r="D69" s="315" t="str">
        <f t="shared" si="70"/>
        <v/>
      </c>
      <c r="E69" s="315" t="str">
        <f t="shared" si="71"/>
        <v/>
      </c>
      <c r="F69" s="315" t="str">
        <f t="shared" si="72"/>
        <v/>
      </c>
      <c r="G69" s="784" t="str">
        <f t="shared" si="73"/>
        <v/>
      </c>
      <c r="H69" s="784" t="str">
        <f t="shared" si="74"/>
        <v/>
      </c>
      <c r="I69" s="789" t="str">
        <f t="shared" si="75"/>
        <v/>
      </c>
      <c r="J69" s="784" t="str">
        <f t="shared" si="76"/>
        <v/>
      </c>
      <c r="K69" s="784" t="str">
        <f t="shared" si="77"/>
        <v/>
      </c>
      <c r="L69" s="789" t="str">
        <f t="shared" si="78"/>
        <v/>
      </c>
      <c r="M69" s="784" t="str">
        <f t="shared" si="79"/>
        <v/>
      </c>
      <c r="N69" s="784" t="str">
        <f t="shared" si="80"/>
        <v/>
      </c>
      <c r="O69" s="789" t="str">
        <f t="shared" si="81"/>
        <v/>
      </c>
      <c r="P69" s="784" t="str">
        <f t="shared" si="82"/>
        <v/>
      </c>
      <c r="Q69" s="784" t="str">
        <f t="shared" si="83"/>
        <v/>
      </c>
      <c r="R69" s="789" t="str">
        <f t="shared" si="84"/>
        <v/>
      </c>
      <c r="S69" s="784" t="str">
        <f t="shared" si="85"/>
        <v/>
      </c>
      <c r="T69" s="777" t="str">
        <f t="shared" si="86"/>
        <v/>
      </c>
      <c r="U69" s="778" t="str">
        <f t="shared" si="87"/>
        <v/>
      </c>
      <c r="V69" s="784" t="str">
        <f t="shared" si="88"/>
        <v/>
      </c>
      <c r="W69" s="777" t="str">
        <f t="shared" si="89"/>
        <v/>
      </c>
      <c r="X69" s="778" t="str">
        <f t="shared" si="90"/>
        <v/>
      </c>
      <c r="Z69" s="316" t="b">
        <f t="shared" ref="Z69:Z99" si="92">ISNUMBER(G69)</f>
        <v>0</v>
      </c>
      <c r="AA69" s="316" t="b">
        <f t="shared" ref="AA69:AA99" si="93">ISNUMBER(H69)</f>
        <v>0</v>
      </c>
      <c r="AB69" s="316" t="b">
        <f t="shared" ref="AB69:AB99" si="94">ISNUMBER(J69)</f>
        <v>0</v>
      </c>
      <c r="AC69" s="316" t="b">
        <f t="shared" ref="AC69:AC99" si="95">ISNUMBER(K69)</f>
        <v>0</v>
      </c>
      <c r="AD69" s="316" t="b">
        <f t="shared" ref="AD69:AD99" si="96">ISNUMBER(M69)</f>
        <v>0</v>
      </c>
      <c r="AE69" s="316" t="b">
        <f t="shared" ref="AE69:AE99" si="97">ISNUMBER(N69)</f>
        <v>0</v>
      </c>
      <c r="AF69" s="316" t="b">
        <f t="shared" ref="AF69:AF99" si="98">ISNUMBER(P69)</f>
        <v>0</v>
      </c>
      <c r="AG69" s="316" t="b">
        <f t="shared" ref="AG69:AG99" si="99">ISNUMBER(Q69)</f>
        <v>0</v>
      </c>
      <c r="AH69" s="316" t="b">
        <f t="shared" ref="AH69:AH99" si="100">ISNUMBER(S69)</f>
        <v>0</v>
      </c>
      <c r="AI69" s="316" t="b">
        <f t="shared" ref="AI69:AI99" si="101">ISNUMBER(T69)</f>
        <v>0</v>
      </c>
      <c r="AJ69" s="316" t="b">
        <f t="shared" ref="AJ69:AJ99" si="102">ISNUMBER(V69)</f>
        <v>0</v>
      </c>
      <c r="AK69" s="316" t="b">
        <f t="shared" ref="AK69:AK99" si="103">ISNUMBER(W69)</f>
        <v>0</v>
      </c>
      <c r="AL69" s="810">
        <f t="shared" ref="AL69:AL99" si="104">IF(Z69=TRUE,"",1)</f>
        <v>1</v>
      </c>
      <c r="AM69" s="811">
        <f t="shared" ref="AM69:AM99" si="105">IF(AA69=TRUE,"",1)</f>
        <v>1</v>
      </c>
      <c r="AN69" s="811">
        <f t="shared" ref="AN69:AN99" si="106">IF(AB69=TRUE,"",1)</f>
        <v>1</v>
      </c>
      <c r="AO69" s="811">
        <f t="shared" ref="AO69:AO99" si="107">IF(AC69=TRUE,"",1)</f>
        <v>1</v>
      </c>
      <c r="AP69" s="811">
        <f t="shared" ref="AP69:AP99" si="108">IF(AD69=TRUE,"",1)</f>
        <v>1</v>
      </c>
      <c r="AQ69" s="811">
        <f t="shared" ref="AQ69:AQ99" si="109">IF(AE69=TRUE,"",1)</f>
        <v>1</v>
      </c>
      <c r="AR69" s="811">
        <f t="shared" ref="AR69:AR99" si="110">IF(AF69=TRUE,"",1)</f>
        <v>1</v>
      </c>
      <c r="AS69" s="811">
        <f t="shared" ref="AS69:AS99" si="111">IF(AG69=TRUE,"",1)</f>
        <v>1</v>
      </c>
      <c r="AT69" s="811">
        <f t="shared" ref="AT69:AT99" si="112">IF(AH69=TRUE,"",1)</f>
        <v>1</v>
      </c>
      <c r="AU69" s="811">
        <f t="shared" ref="AU69:AU99" si="113">IF(AI69=TRUE,"",1)</f>
        <v>1</v>
      </c>
      <c r="AV69" s="811">
        <f t="shared" ref="AV69:AW99" si="114">IF(AJ69=TRUE,"",1)</f>
        <v>1</v>
      </c>
      <c r="AW69" s="815">
        <f t="shared" si="114"/>
        <v>1</v>
      </c>
    </row>
    <row r="70" spans="1:49">
      <c r="A70" s="795" t="str">
        <f t="shared" si="91"/>
        <v>Ca 1,</v>
      </c>
      <c r="B70" s="315" t="s">
        <v>465</v>
      </c>
      <c r="C70" s="315" t="str">
        <f t="shared" si="69"/>
        <v/>
      </c>
      <c r="D70" s="315" t="str">
        <f t="shared" si="70"/>
        <v/>
      </c>
      <c r="E70" s="315" t="str">
        <f t="shared" si="71"/>
        <v/>
      </c>
      <c r="F70" s="315" t="str">
        <f t="shared" si="72"/>
        <v/>
      </c>
      <c r="G70" s="784" t="str">
        <f t="shared" si="73"/>
        <v/>
      </c>
      <c r="H70" s="784" t="str">
        <f t="shared" si="74"/>
        <v/>
      </c>
      <c r="I70" s="789" t="str">
        <f t="shared" si="75"/>
        <v/>
      </c>
      <c r="J70" s="784" t="str">
        <f t="shared" si="76"/>
        <v/>
      </c>
      <c r="K70" s="784" t="str">
        <f t="shared" si="77"/>
        <v/>
      </c>
      <c r="L70" s="789" t="str">
        <f t="shared" si="78"/>
        <v/>
      </c>
      <c r="M70" s="784" t="str">
        <f t="shared" si="79"/>
        <v/>
      </c>
      <c r="N70" s="784" t="str">
        <f t="shared" si="80"/>
        <v/>
      </c>
      <c r="O70" s="789" t="str">
        <f t="shared" si="81"/>
        <v/>
      </c>
      <c r="P70" s="784" t="str">
        <f t="shared" si="82"/>
        <v/>
      </c>
      <c r="Q70" s="784" t="str">
        <f t="shared" si="83"/>
        <v/>
      </c>
      <c r="R70" s="789" t="str">
        <f t="shared" si="84"/>
        <v/>
      </c>
      <c r="S70" s="784" t="str">
        <f t="shared" si="85"/>
        <v/>
      </c>
      <c r="T70" s="777" t="str">
        <f t="shared" si="86"/>
        <v/>
      </c>
      <c r="U70" s="778" t="str">
        <f t="shared" si="87"/>
        <v/>
      </c>
      <c r="V70" s="784" t="str">
        <f t="shared" si="88"/>
        <v/>
      </c>
      <c r="W70" s="777" t="str">
        <f t="shared" si="89"/>
        <v/>
      </c>
      <c r="X70" s="778" t="str">
        <f t="shared" si="90"/>
        <v/>
      </c>
      <c r="Z70" s="316" t="b">
        <f t="shared" si="92"/>
        <v>0</v>
      </c>
      <c r="AA70" s="316" t="b">
        <f t="shared" si="93"/>
        <v>0</v>
      </c>
      <c r="AB70" s="316" t="b">
        <f t="shared" si="94"/>
        <v>0</v>
      </c>
      <c r="AC70" s="316" t="b">
        <f t="shared" si="95"/>
        <v>0</v>
      </c>
      <c r="AD70" s="316" t="b">
        <f t="shared" si="96"/>
        <v>0</v>
      </c>
      <c r="AE70" s="316" t="b">
        <f t="shared" si="97"/>
        <v>0</v>
      </c>
      <c r="AF70" s="316" t="b">
        <f t="shared" si="98"/>
        <v>0</v>
      </c>
      <c r="AG70" s="316" t="b">
        <f t="shared" si="99"/>
        <v>0</v>
      </c>
      <c r="AH70" s="316" t="b">
        <f t="shared" si="100"/>
        <v>0</v>
      </c>
      <c r="AI70" s="316" t="b">
        <f t="shared" si="101"/>
        <v>0</v>
      </c>
      <c r="AJ70" s="316" t="b">
        <f t="shared" si="102"/>
        <v>0</v>
      </c>
      <c r="AK70" s="316" t="b">
        <f t="shared" si="103"/>
        <v>0</v>
      </c>
      <c r="AL70" s="810">
        <f t="shared" si="104"/>
        <v>1</v>
      </c>
      <c r="AM70" s="811">
        <f t="shared" si="105"/>
        <v>1</v>
      </c>
      <c r="AN70" s="811">
        <f t="shared" si="106"/>
        <v>1</v>
      </c>
      <c r="AO70" s="811">
        <f t="shared" si="107"/>
        <v>1</v>
      </c>
      <c r="AP70" s="811">
        <f t="shared" si="108"/>
        <v>1</v>
      </c>
      <c r="AQ70" s="811">
        <f t="shared" si="109"/>
        <v>1</v>
      </c>
      <c r="AR70" s="811">
        <f t="shared" si="110"/>
        <v>1</v>
      </c>
      <c r="AS70" s="811">
        <f t="shared" si="111"/>
        <v>1</v>
      </c>
      <c r="AT70" s="811">
        <f t="shared" si="112"/>
        <v>1</v>
      </c>
      <c r="AU70" s="811">
        <f t="shared" si="113"/>
        <v>1</v>
      </c>
      <c r="AV70" s="811">
        <f t="shared" si="114"/>
        <v>1</v>
      </c>
      <c r="AW70" s="815">
        <f t="shared" si="114"/>
        <v>1</v>
      </c>
    </row>
    <row r="71" spans="1:49">
      <c r="A71" s="795" t="str">
        <f t="shared" si="91"/>
        <v>Ca 1,</v>
      </c>
      <c r="B71" s="315" t="s">
        <v>466</v>
      </c>
      <c r="C71" s="315" t="str">
        <f t="shared" si="69"/>
        <v/>
      </c>
      <c r="D71" s="315" t="str">
        <f t="shared" si="70"/>
        <v/>
      </c>
      <c r="E71" s="315" t="str">
        <f t="shared" si="71"/>
        <v/>
      </c>
      <c r="F71" s="315" t="str">
        <f t="shared" si="72"/>
        <v/>
      </c>
      <c r="G71" s="784" t="str">
        <f t="shared" si="73"/>
        <v/>
      </c>
      <c r="H71" s="784" t="str">
        <f t="shared" si="74"/>
        <v/>
      </c>
      <c r="I71" s="789" t="str">
        <f t="shared" si="75"/>
        <v/>
      </c>
      <c r="J71" s="784" t="str">
        <f t="shared" si="76"/>
        <v/>
      </c>
      <c r="K71" s="784" t="str">
        <f t="shared" si="77"/>
        <v/>
      </c>
      <c r="L71" s="789" t="str">
        <f t="shared" si="78"/>
        <v/>
      </c>
      <c r="M71" s="784" t="str">
        <f t="shared" si="79"/>
        <v/>
      </c>
      <c r="N71" s="784" t="str">
        <f t="shared" si="80"/>
        <v/>
      </c>
      <c r="O71" s="789" t="str">
        <f t="shared" si="81"/>
        <v/>
      </c>
      <c r="P71" s="784" t="str">
        <f t="shared" si="82"/>
        <v/>
      </c>
      <c r="Q71" s="784" t="str">
        <f t="shared" si="83"/>
        <v/>
      </c>
      <c r="R71" s="789" t="str">
        <f t="shared" si="84"/>
        <v/>
      </c>
      <c r="S71" s="784" t="str">
        <f t="shared" si="85"/>
        <v/>
      </c>
      <c r="T71" s="777" t="str">
        <f t="shared" si="86"/>
        <v/>
      </c>
      <c r="U71" s="778" t="str">
        <f t="shared" si="87"/>
        <v/>
      </c>
      <c r="V71" s="784" t="str">
        <f t="shared" si="88"/>
        <v/>
      </c>
      <c r="W71" s="777" t="str">
        <f t="shared" si="89"/>
        <v/>
      </c>
      <c r="X71" s="778" t="str">
        <f t="shared" si="90"/>
        <v/>
      </c>
      <c r="Z71" s="316" t="b">
        <f t="shared" si="92"/>
        <v>0</v>
      </c>
      <c r="AA71" s="316" t="b">
        <f t="shared" si="93"/>
        <v>0</v>
      </c>
      <c r="AB71" s="316" t="b">
        <f t="shared" si="94"/>
        <v>0</v>
      </c>
      <c r="AC71" s="316" t="b">
        <f t="shared" si="95"/>
        <v>0</v>
      </c>
      <c r="AD71" s="316" t="b">
        <f t="shared" si="96"/>
        <v>0</v>
      </c>
      <c r="AE71" s="316" t="b">
        <f t="shared" si="97"/>
        <v>0</v>
      </c>
      <c r="AF71" s="316" t="b">
        <f t="shared" si="98"/>
        <v>0</v>
      </c>
      <c r="AG71" s="316" t="b">
        <f t="shared" si="99"/>
        <v>0</v>
      </c>
      <c r="AH71" s="316" t="b">
        <f t="shared" si="100"/>
        <v>0</v>
      </c>
      <c r="AI71" s="316" t="b">
        <f t="shared" si="101"/>
        <v>0</v>
      </c>
      <c r="AJ71" s="316" t="b">
        <f t="shared" si="102"/>
        <v>0</v>
      </c>
      <c r="AK71" s="316" t="b">
        <f t="shared" si="103"/>
        <v>0</v>
      </c>
      <c r="AL71" s="810">
        <f t="shared" si="104"/>
        <v>1</v>
      </c>
      <c r="AM71" s="811">
        <f t="shared" si="105"/>
        <v>1</v>
      </c>
      <c r="AN71" s="811">
        <f t="shared" si="106"/>
        <v>1</v>
      </c>
      <c r="AO71" s="811">
        <f t="shared" si="107"/>
        <v>1</v>
      </c>
      <c r="AP71" s="811">
        <f t="shared" si="108"/>
        <v>1</v>
      </c>
      <c r="AQ71" s="811">
        <f t="shared" si="109"/>
        <v>1</v>
      </c>
      <c r="AR71" s="811">
        <f t="shared" si="110"/>
        <v>1</v>
      </c>
      <c r="AS71" s="811">
        <f t="shared" si="111"/>
        <v>1</v>
      </c>
      <c r="AT71" s="811">
        <f t="shared" si="112"/>
        <v>1</v>
      </c>
      <c r="AU71" s="811">
        <f t="shared" si="113"/>
        <v>1</v>
      </c>
      <c r="AV71" s="811">
        <f t="shared" si="114"/>
        <v>1</v>
      </c>
      <c r="AW71" s="815">
        <f t="shared" si="114"/>
        <v>1</v>
      </c>
    </row>
    <row r="72" spans="1:49">
      <c r="A72" s="795" t="str">
        <f t="shared" si="91"/>
        <v>Ca 1,</v>
      </c>
      <c r="B72" s="315" t="s">
        <v>467</v>
      </c>
      <c r="C72" s="315" t="str">
        <f t="shared" si="69"/>
        <v/>
      </c>
      <c r="D72" s="315" t="str">
        <f t="shared" si="70"/>
        <v/>
      </c>
      <c r="E72" s="315" t="str">
        <f t="shared" si="71"/>
        <v/>
      </c>
      <c r="F72" s="315" t="str">
        <f t="shared" si="72"/>
        <v/>
      </c>
      <c r="G72" s="784" t="str">
        <f t="shared" si="73"/>
        <v/>
      </c>
      <c r="H72" s="784" t="str">
        <f t="shared" si="74"/>
        <v/>
      </c>
      <c r="I72" s="789" t="str">
        <f t="shared" si="75"/>
        <v/>
      </c>
      <c r="J72" s="784" t="str">
        <f t="shared" si="76"/>
        <v/>
      </c>
      <c r="K72" s="784" t="str">
        <f t="shared" si="77"/>
        <v/>
      </c>
      <c r="L72" s="789" t="str">
        <f t="shared" si="78"/>
        <v/>
      </c>
      <c r="M72" s="784" t="str">
        <f t="shared" si="79"/>
        <v/>
      </c>
      <c r="N72" s="784" t="str">
        <f t="shared" si="80"/>
        <v/>
      </c>
      <c r="O72" s="789" t="str">
        <f t="shared" si="81"/>
        <v/>
      </c>
      <c r="P72" s="784" t="str">
        <f t="shared" si="82"/>
        <v/>
      </c>
      <c r="Q72" s="784" t="str">
        <f t="shared" si="83"/>
        <v/>
      </c>
      <c r="R72" s="789" t="str">
        <f t="shared" si="84"/>
        <v/>
      </c>
      <c r="S72" s="784" t="str">
        <f t="shared" si="85"/>
        <v/>
      </c>
      <c r="T72" s="777" t="str">
        <f t="shared" si="86"/>
        <v/>
      </c>
      <c r="U72" s="778" t="str">
        <f t="shared" si="87"/>
        <v/>
      </c>
      <c r="V72" s="784" t="str">
        <f t="shared" si="88"/>
        <v/>
      </c>
      <c r="W72" s="777" t="str">
        <f t="shared" si="89"/>
        <v/>
      </c>
      <c r="X72" s="778" t="str">
        <f t="shared" si="90"/>
        <v/>
      </c>
      <c r="Z72" s="316" t="b">
        <f t="shared" si="92"/>
        <v>0</v>
      </c>
      <c r="AA72" s="316" t="b">
        <f t="shared" si="93"/>
        <v>0</v>
      </c>
      <c r="AB72" s="316" t="b">
        <f t="shared" si="94"/>
        <v>0</v>
      </c>
      <c r="AC72" s="316" t="b">
        <f t="shared" si="95"/>
        <v>0</v>
      </c>
      <c r="AD72" s="316" t="b">
        <f t="shared" si="96"/>
        <v>0</v>
      </c>
      <c r="AE72" s="316" t="b">
        <f t="shared" si="97"/>
        <v>0</v>
      </c>
      <c r="AF72" s="316" t="b">
        <f t="shared" si="98"/>
        <v>0</v>
      </c>
      <c r="AG72" s="316" t="b">
        <f t="shared" si="99"/>
        <v>0</v>
      </c>
      <c r="AH72" s="316" t="b">
        <f t="shared" si="100"/>
        <v>0</v>
      </c>
      <c r="AI72" s="316" t="b">
        <f t="shared" si="101"/>
        <v>0</v>
      </c>
      <c r="AJ72" s="316" t="b">
        <f t="shared" si="102"/>
        <v>0</v>
      </c>
      <c r="AK72" s="316" t="b">
        <f t="shared" si="103"/>
        <v>0</v>
      </c>
      <c r="AL72" s="810">
        <f t="shared" si="104"/>
        <v>1</v>
      </c>
      <c r="AM72" s="811">
        <f t="shared" si="105"/>
        <v>1</v>
      </c>
      <c r="AN72" s="811">
        <f t="shared" si="106"/>
        <v>1</v>
      </c>
      <c r="AO72" s="811">
        <f t="shared" si="107"/>
        <v>1</v>
      </c>
      <c r="AP72" s="811">
        <f t="shared" si="108"/>
        <v>1</v>
      </c>
      <c r="AQ72" s="811">
        <f t="shared" si="109"/>
        <v>1</v>
      </c>
      <c r="AR72" s="811">
        <f t="shared" si="110"/>
        <v>1</v>
      </c>
      <c r="AS72" s="811">
        <f t="shared" si="111"/>
        <v>1</v>
      </c>
      <c r="AT72" s="811">
        <f t="shared" si="112"/>
        <v>1</v>
      </c>
      <c r="AU72" s="811">
        <f t="shared" si="113"/>
        <v>1</v>
      </c>
      <c r="AV72" s="811">
        <f t="shared" si="114"/>
        <v>1</v>
      </c>
      <c r="AW72" s="815">
        <f t="shared" si="114"/>
        <v>1</v>
      </c>
    </row>
    <row r="73" spans="1:49">
      <c r="A73" s="795" t="str">
        <f t="shared" si="91"/>
        <v>Ca 1,</v>
      </c>
      <c r="B73" s="315" t="s">
        <v>473</v>
      </c>
      <c r="C73" s="315" t="str">
        <f t="shared" si="69"/>
        <v>Xà bông 1
預脫脂</v>
      </c>
      <c r="D73" s="315" t="str">
        <f t="shared" si="70"/>
        <v>XD-000A</v>
      </c>
      <c r="E73" s="315" t="str">
        <f t="shared" si="71"/>
        <v>g/L</v>
      </c>
      <c r="F73" s="315" t="str">
        <f t="shared" si="72"/>
        <v>10~20
 (15)</v>
      </c>
      <c r="G73" s="784">
        <f t="shared" si="73"/>
        <v>15.4</v>
      </c>
      <c r="H73" s="784">
        <f t="shared" si="74"/>
        <v>0</v>
      </c>
      <c r="I73" s="789" t="str">
        <f t="shared" si="75"/>
        <v>kg</v>
      </c>
      <c r="J73" s="784">
        <f t="shared" si="76"/>
        <v>0</v>
      </c>
      <c r="K73" s="784">
        <f t="shared" si="77"/>
        <v>0</v>
      </c>
      <c r="L73" s="789" t="str">
        <f t="shared" si="78"/>
        <v>kg</v>
      </c>
      <c r="M73" s="784">
        <f t="shared" si="79"/>
        <v>0</v>
      </c>
      <c r="N73" s="784">
        <f t="shared" si="80"/>
        <v>0</v>
      </c>
      <c r="O73" s="789" t="str">
        <f t="shared" si="81"/>
        <v>kg</v>
      </c>
      <c r="P73" s="784">
        <f t="shared" si="82"/>
        <v>0</v>
      </c>
      <c r="Q73" s="784">
        <f t="shared" si="83"/>
        <v>0</v>
      </c>
      <c r="R73" s="789" t="str">
        <f t="shared" si="84"/>
        <v>kg</v>
      </c>
      <c r="S73" s="784">
        <f t="shared" si="85"/>
        <v>0</v>
      </c>
      <c r="T73" s="777">
        <f t="shared" si="86"/>
        <v>0</v>
      </c>
      <c r="U73" s="778">
        <f t="shared" si="87"/>
        <v>0</v>
      </c>
      <c r="V73" s="784">
        <f t="shared" si="88"/>
        <v>0</v>
      </c>
      <c r="W73" s="777">
        <f t="shared" si="89"/>
        <v>0</v>
      </c>
      <c r="X73" s="778">
        <f t="shared" si="90"/>
        <v>0</v>
      </c>
      <c r="Z73" s="316" t="b">
        <f t="shared" si="92"/>
        <v>1</v>
      </c>
      <c r="AA73" s="316" t="b">
        <f t="shared" si="93"/>
        <v>1</v>
      </c>
      <c r="AB73" s="316" t="b">
        <f t="shared" si="94"/>
        <v>1</v>
      </c>
      <c r="AC73" s="316" t="b">
        <f t="shared" si="95"/>
        <v>1</v>
      </c>
      <c r="AD73" s="316" t="b">
        <f t="shared" si="96"/>
        <v>1</v>
      </c>
      <c r="AE73" s="316" t="b">
        <f t="shared" si="97"/>
        <v>1</v>
      </c>
      <c r="AF73" s="316" t="b">
        <f t="shared" si="98"/>
        <v>1</v>
      </c>
      <c r="AG73" s="316" t="b">
        <f t="shared" si="99"/>
        <v>1</v>
      </c>
      <c r="AH73" s="316" t="b">
        <f t="shared" si="100"/>
        <v>1</v>
      </c>
      <c r="AI73" s="316" t="b">
        <f t="shared" si="101"/>
        <v>1</v>
      </c>
      <c r="AJ73" s="316" t="b">
        <f t="shared" si="102"/>
        <v>1</v>
      </c>
      <c r="AK73" s="316" t="b">
        <f t="shared" si="103"/>
        <v>1</v>
      </c>
      <c r="AL73" s="810" t="str">
        <f t="shared" si="104"/>
        <v/>
      </c>
      <c r="AM73" s="811" t="str">
        <f t="shared" si="105"/>
        <v/>
      </c>
      <c r="AN73" s="811" t="str">
        <f t="shared" si="106"/>
        <v/>
      </c>
      <c r="AO73" s="811" t="str">
        <f t="shared" si="107"/>
        <v/>
      </c>
      <c r="AP73" s="811" t="str">
        <f t="shared" si="108"/>
        <v/>
      </c>
      <c r="AQ73" s="811" t="str">
        <f t="shared" si="109"/>
        <v/>
      </c>
      <c r="AR73" s="811" t="str">
        <f t="shared" si="110"/>
        <v/>
      </c>
      <c r="AS73" s="811" t="str">
        <f t="shared" si="111"/>
        <v/>
      </c>
      <c r="AT73" s="811" t="str">
        <f t="shared" si="112"/>
        <v/>
      </c>
      <c r="AU73" s="811" t="str">
        <f t="shared" si="113"/>
        <v/>
      </c>
      <c r="AV73" s="811" t="str">
        <f t="shared" si="114"/>
        <v/>
      </c>
      <c r="AW73" s="815" t="str">
        <f t="shared" si="114"/>
        <v/>
      </c>
    </row>
    <row r="74" spans="1:49">
      <c r="A74" s="795" t="str">
        <f t="shared" si="91"/>
        <v>Ca 1,</v>
      </c>
      <c r="B74" s="315" t="s">
        <v>477</v>
      </c>
      <c r="C74" s="315" t="str">
        <f t="shared" si="69"/>
        <v>Xà bông 2
主脫脂</v>
      </c>
      <c r="D74" s="315" t="str">
        <f t="shared" si="70"/>
        <v>XD-000A</v>
      </c>
      <c r="E74" s="315" t="str">
        <f t="shared" si="71"/>
        <v>g/L</v>
      </c>
      <c r="F74" s="315" t="str">
        <f t="shared" si="72"/>
        <v>40~60
(50±5)</v>
      </c>
      <c r="G74" s="784">
        <f t="shared" si="73"/>
        <v>46.079000000000001</v>
      </c>
      <c r="H74" s="784">
        <f t="shared" si="74"/>
        <v>28.287662399999995</v>
      </c>
      <c r="I74" s="789" t="str">
        <f t="shared" si="75"/>
        <v>kg</v>
      </c>
      <c r="J74" s="784">
        <f t="shared" si="76"/>
        <v>0</v>
      </c>
      <c r="K74" s="784">
        <f t="shared" si="77"/>
        <v>0</v>
      </c>
      <c r="L74" s="789" t="str">
        <f t="shared" si="78"/>
        <v>kg</v>
      </c>
      <c r="M74" s="784">
        <f t="shared" si="79"/>
        <v>0</v>
      </c>
      <c r="N74" s="784">
        <f t="shared" si="80"/>
        <v>0</v>
      </c>
      <c r="O74" s="789" t="str">
        <f t="shared" si="81"/>
        <v>kg</v>
      </c>
      <c r="P74" s="784">
        <f t="shared" si="82"/>
        <v>0</v>
      </c>
      <c r="Q74" s="784">
        <f t="shared" si="83"/>
        <v>0</v>
      </c>
      <c r="R74" s="789" t="str">
        <f t="shared" si="84"/>
        <v>kg</v>
      </c>
      <c r="S74" s="784">
        <f t="shared" si="85"/>
        <v>0</v>
      </c>
      <c r="T74" s="777">
        <f t="shared" si="86"/>
        <v>0</v>
      </c>
      <c r="U74" s="778">
        <f t="shared" si="87"/>
        <v>0</v>
      </c>
      <c r="V74" s="784">
        <f t="shared" si="88"/>
        <v>0</v>
      </c>
      <c r="W74" s="777">
        <f t="shared" si="89"/>
        <v>0</v>
      </c>
      <c r="X74" s="778">
        <f t="shared" si="90"/>
        <v>0</v>
      </c>
      <c r="Z74" s="316" t="b">
        <f t="shared" si="92"/>
        <v>1</v>
      </c>
      <c r="AA74" s="316" t="b">
        <f t="shared" si="93"/>
        <v>1</v>
      </c>
      <c r="AB74" s="316" t="b">
        <f t="shared" si="94"/>
        <v>1</v>
      </c>
      <c r="AC74" s="316" t="b">
        <f t="shared" si="95"/>
        <v>1</v>
      </c>
      <c r="AD74" s="316" t="b">
        <f t="shared" si="96"/>
        <v>1</v>
      </c>
      <c r="AE74" s="316" t="b">
        <f t="shared" si="97"/>
        <v>1</v>
      </c>
      <c r="AF74" s="316" t="b">
        <f t="shared" si="98"/>
        <v>1</v>
      </c>
      <c r="AG74" s="316" t="b">
        <f t="shared" si="99"/>
        <v>1</v>
      </c>
      <c r="AH74" s="316" t="b">
        <f t="shared" si="100"/>
        <v>1</v>
      </c>
      <c r="AI74" s="316" t="b">
        <f t="shared" si="101"/>
        <v>1</v>
      </c>
      <c r="AJ74" s="316" t="b">
        <f t="shared" si="102"/>
        <v>1</v>
      </c>
      <c r="AK74" s="316" t="b">
        <f t="shared" si="103"/>
        <v>1</v>
      </c>
      <c r="AL74" s="810" t="str">
        <f t="shared" si="104"/>
        <v/>
      </c>
      <c r="AM74" s="811" t="str">
        <f t="shared" si="105"/>
        <v/>
      </c>
      <c r="AN74" s="811" t="str">
        <f t="shared" si="106"/>
        <v/>
      </c>
      <c r="AO74" s="811" t="str">
        <f t="shared" si="107"/>
        <v/>
      </c>
      <c r="AP74" s="811" t="str">
        <f t="shared" si="108"/>
        <v/>
      </c>
      <c r="AQ74" s="811" t="str">
        <f t="shared" si="109"/>
        <v/>
      </c>
      <c r="AR74" s="811" t="str">
        <f t="shared" si="110"/>
        <v/>
      </c>
      <c r="AS74" s="811" t="str">
        <f t="shared" si="111"/>
        <v/>
      </c>
      <c r="AT74" s="811" t="str">
        <f t="shared" si="112"/>
        <v/>
      </c>
      <c r="AU74" s="811" t="str">
        <f t="shared" si="113"/>
        <v/>
      </c>
      <c r="AV74" s="811" t="str">
        <f t="shared" si="114"/>
        <v/>
      </c>
      <c r="AW74" s="815" t="str">
        <f t="shared" si="114"/>
        <v/>
      </c>
    </row>
    <row r="75" spans="1:49">
      <c r="A75" s="795" t="str">
        <f t="shared" si="91"/>
        <v>Ca 1,</v>
      </c>
      <c r="B75" s="315" t="s">
        <v>479</v>
      </c>
      <c r="C75" s="315" t="str">
        <f t="shared" ref="C75:C99" si="115">IFERROR(VLOOKUP($B75,RLMLXD,2,0),"")</f>
        <v xml:space="preserve">Xà bông 3 (siêu âm)
超音波脫脂
</v>
      </c>
      <c r="D75" s="315" t="str">
        <f t="shared" ref="D75:D99" si="116">IFERROR(VLOOKUP($B75,RLMLXD,43,0),"")</f>
        <v>XD-000A</v>
      </c>
      <c r="E75" s="315" t="str">
        <f t="shared" ref="E75:E99" si="117">IFERROR(VLOOKUP($B75,RLMLXD,4,0),"")</f>
        <v>g/L</v>
      </c>
      <c r="F75" s="315" t="str">
        <f t="shared" ref="F75:F99" si="118">IFERROR(VLOOKUP($B75,RLMLXD,5,0),"")</f>
        <v>40~60
(50±5)</v>
      </c>
      <c r="G75" s="784">
        <f t="shared" si="73"/>
        <v>53.867000000000004</v>
      </c>
      <c r="H75" s="784">
        <f t="shared" si="74"/>
        <v>0</v>
      </c>
      <c r="I75" s="789" t="str">
        <f t="shared" si="75"/>
        <v>kg</v>
      </c>
      <c r="J75" s="784">
        <f t="shared" si="76"/>
        <v>0</v>
      </c>
      <c r="K75" s="784">
        <f t="shared" si="77"/>
        <v>0</v>
      </c>
      <c r="L75" s="789" t="str">
        <f t="shared" si="78"/>
        <v>kg</v>
      </c>
      <c r="M75" s="784">
        <f t="shared" si="79"/>
        <v>0</v>
      </c>
      <c r="N75" s="784">
        <f t="shared" si="80"/>
        <v>0</v>
      </c>
      <c r="O75" s="789" t="str">
        <f t="shared" si="81"/>
        <v>kg</v>
      </c>
      <c r="P75" s="784">
        <f t="shared" si="82"/>
        <v>0</v>
      </c>
      <c r="Q75" s="784">
        <f t="shared" si="83"/>
        <v>0</v>
      </c>
      <c r="R75" s="789" t="str">
        <f t="shared" si="84"/>
        <v>kg</v>
      </c>
      <c r="S75" s="784">
        <f t="shared" si="85"/>
        <v>0</v>
      </c>
      <c r="T75" s="777">
        <f t="shared" si="86"/>
        <v>0</v>
      </c>
      <c r="U75" s="778">
        <f t="shared" si="87"/>
        <v>0</v>
      </c>
      <c r="V75" s="784">
        <f t="shared" si="88"/>
        <v>0</v>
      </c>
      <c r="W75" s="777">
        <f t="shared" si="89"/>
        <v>0</v>
      </c>
      <c r="X75" s="778">
        <f t="shared" si="90"/>
        <v>0</v>
      </c>
      <c r="Z75" s="316" t="b">
        <f t="shared" si="92"/>
        <v>1</v>
      </c>
      <c r="AA75" s="316" t="b">
        <f t="shared" si="93"/>
        <v>1</v>
      </c>
      <c r="AB75" s="316" t="b">
        <f t="shared" si="94"/>
        <v>1</v>
      </c>
      <c r="AC75" s="316" t="b">
        <f t="shared" si="95"/>
        <v>1</v>
      </c>
      <c r="AD75" s="316" t="b">
        <f t="shared" si="96"/>
        <v>1</v>
      </c>
      <c r="AE75" s="316" t="b">
        <f t="shared" si="97"/>
        <v>1</v>
      </c>
      <c r="AF75" s="316" t="b">
        <f t="shared" si="98"/>
        <v>1</v>
      </c>
      <c r="AG75" s="316" t="b">
        <f t="shared" si="99"/>
        <v>1</v>
      </c>
      <c r="AH75" s="316" t="b">
        <f t="shared" si="100"/>
        <v>1</v>
      </c>
      <c r="AI75" s="316" t="b">
        <f t="shared" si="101"/>
        <v>1</v>
      </c>
      <c r="AJ75" s="316" t="b">
        <f t="shared" si="102"/>
        <v>1</v>
      </c>
      <c r="AK75" s="316" t="b">
        <f t="shared" si="103"/>
        <v>1</v>
      </c>
      <c r="AL75" s="810" t="str">
        <f t="shared" si="104"/>
        <v/>
      </c>
      <c r="AM75" s="811" t="str">
        <f t="shared" si="105"/>
        <v/>
      </c>
      <c r="AN75" s="811" t="str">
        <f t="shared" si="106"/>
        <v/>
      </c>
      <c r="AO75" s="811" t="str">
        <f t="shared" si="107"/>
        <v/>
      </c>
      <c r="AP75" s="811" t="str">
        <f t="shared" si="108"/>
        <v/>
      </c>
      <c r="AQ75" s="811" t="str">
        <f t="shared" si="109"/>
        <v/>
      </c>
      <c r="AR75" s="811" t="str">
        <f t="shared" si="110"/>
        <v/>
      </c>
      <c r="AS75" s="811" t="str">
        <f t="shared" si="111"/>
        <v/>
      </c>
      <c r="AT75" s="811" t="str">
        <f t="shared" si="112"/>
        <v/>
      </c>
      <c r="AU75" s="811" t="str">
        <f t="shared" si="113"/>
        <v/>
      </c>
      <c r="AV75" s="811" t="str">
        <f t="shared" si="114"/>
        <v/>
      </c>
      <c r="AW75" s="815" t="str">
        <f t="shared" si="114"/>
        <v/>
      </c>
    </row>
    <row r="76" spans="1:49">
      <c r="A76" s="795" t="str">
        <f t="shared" si="91"/>
        <v>Ca 1,</v>
      </c>
      <c r="B76" s="315" t="s">
        <v>481</v>
      </c>
      <c r="C76" s="315" t="str">
        <f t="shared" si="115"/>
        <v>Rửa acid
酸洗</v>
      </c>
      <c r="D76" s="315" t="str">
        <f t="shared" si="116"/>
        <v>XD-000A</v>
      </c>
      <c r="E76" s="315" t="str">
        <f t="shared" si="117"/>
        <v>Point</v>
      </c>
      <c r="F76" s="315" t="str">
        <f t="shared" si="118"/>
        <v>5~15
(10)</v>
      </c>
      <c r="G76" s="784">
        <f t="shared" si="73"/>
        <v>0</v>
      </c>
      <c r="H76" s="784">
        <f t="shared" si="74"/>
        <v>124.63199999999999</v>
      </c>
      <c r="I76" s="789" t="str">
        <f t="shared" si="75"/>
        <v>L</v>
      </c>
      <c r="J76" s="784">
        <f t="shared" si="76"/>
        <v>0</v>
      </c>
      <c r="K76" s="784">
        <f t="shared" si="77"/>
        <v>124.63199999999999</v>
      </c>
      <c r="L76" s="789" t="str">
        <f t="shared" si="78"/>
        <v>L</v>
      </c>
      <c r="M76" s="784">
        <f t="shared" si="79"/>
        <v>0</v>
      </c>
      <c r="N76" s="784">
        <f t="shared" si="80"/>
        <v>124.63199999999999</v>
      </c>
      <c r="O76" s="789" t="str">
        <f t="shared" si="81"/>
        <v>L</v>
      </c>
      <c r="P76" s="784">
        <f t="shared" si="82"/>
        <v>0</v>
      </c>
      <c r="Q76" s="784">
        <f t="shared" si="83"/>
        <v>124.63199999999999</v>
      </c>
      <c r="R76" s="789" t="str">
        <f t="shared" si="84"/>
        <v>L</v>
      </c>
      <c r="S76" s="784">
        <f t="shared" si="85"/>
        <v>0</v>
      </c>
      <c r="T76" s="777">
        <f t="shared" si="86"/>
        <v>0</v>
      </c>
      <c r="U76" s="778">
        <f t="shared" si="87"/>
        <v>0</v>
      </c>
      <c r="V76" s="784">
        <f t="shared" si="88"/>
        <v>0</v>
      </c>
      <c r="W76" s="777">
        <f t="shared" si="89"/>
        <v>0</v>
      </c>
      <c r="X76" s="778">
        <f t="shared" si="90"/>
        <v>0</v>
      </c>
      <c r="Z76" s="316" t="b">
        <f t="shared" si="92"/>
        <v>1</v>
      </c>
      <c r="AA76" s="316" t="b">
        <f t="shared" si="93"/>
        <v>1</v>
      </c>
      <c r="AB76" s="316" t="b">
        <f t="shared" si="94"/>
        <v>1</v>
      </c>
      <c r="AC76" s="316" t="b">
        <f t="shared" si="95"/>
        <v>1</v>
      </c>
      <c r="AD76" s="316" t="b">
        <f t="shared" si="96"/>
        <v>1</v>
      </c>
      <c r="AE76" s="316" t="b">
        <f t="shared" si="97"/>
        <v>1</v>
      </c>
      <c r="AF76" s="316" t="b">
        <f t="shared" si="98"/>
        <v>1</v>
      </c>
      <c r="AG76" s="316" t="b">
        <f t="shared" si="99"/>
        <v>1</v>
      </c>
      <c r="AH76" s="316" t="b">
        <f t="shared" si="100"/>
        <v>1</v>
      </c>
      <c r="AI76" s="316" t="b">
        <f t="shared" si="101"/>
        <v>1</v>
      </c>
      <c r="AJ76" s="316" t="b">
        <f t="shared" si="102"/>
        <v>1</v>
      </c>
      <c r="AK76" s="316" t="b">
        <f t="shared" si="103"/>
        <v>1</v>
      </c>
      <c r="AL76" s="810" t="str">
        <f t="shared" si="104"/>
        <v/>
      </c>
      <c r="AM76" s="811" t="str">
        <f t="shared" si="105"/>
        <v/>
      </c>
      <c r="AN76" s="811" t="str">
        <f t="shared" si="106"/>
        <v/>
      </c>
      <c r="AO76" s="811" t="str">
        <f t="shared" si="107"/>
        <v/>
      </c>
      <c r="AP76" s="811" t="str">
        <f t="shared" si="108"/>
        <v/>
      </c>
      <c r="AQ76" s="811" t="str">
        <f t="shared" si="109"/>
        <v/>
      </c>
      <c r="AR76" s="811" t="str">
        <f t="shared" si="110"/>
        <v/>
      </c>
      <c r="AS76" s="811" t="str">
        <f t="shared" si="111"/>
        <v/>
      </c>
      <c r="AT76" s="811" t="str">
        <f t="shared" si="112"/>
        <v/>
      </c>
      <c r="AU76" s="811" t="str">
        <f t="shared" si="113"/>
        <v/>
      </c>
      <c r="AV76" s="811" t="str">
        <f t="shared" si="114"/>
        <v/>
      </c>
      <c r="AW76" s="815" t="str">
        <f t="shared" si="114"/>
        <v/>
      </c>
    </row>
    <row r="77" spans="1:49">
      <c r="A77" s="795" t="str">
        <f t="shared" si="91"/>
        <v>Ca 1,</v>
      </c>
      <c r="B77" s="315" t="s">
        <v>483</v>
      </c>
      <c r="C77" s="315" t="str">
        <f t="shared" si="115"/>
        <v>phosphat                      acid phân ly
磷化處理                     游離酸度</v>
      </c>
      <c r="D77" s="315" t="str">
        <f t="shared" si="116"/>
        <v>XD-000A</v>
      </c>
      <c r="E77" s="315" t="str">
        <f t="shared" si="117"/>
        <v>Point</v>
      </c>
      <c r="F77" s="315" t="str">
        <f t="shared" si="118"/>
        <v>&lt;1.5</v>
      </c>
      <c r="G77" s="784">
        <f t="shared" si="73"/>
        <v>1.1399999999999999</v>
      </c>
      <c r="H77" s="784">
        <f t="shared" si="74"/>
        <v>0</v>
      </c>
      <c r="I77" s="789" t="str">
        <f t="shared" si="75"/>
        <v>kg</v>
      </c>
      <c r="J77" s="784">
        <f t="shared" si="76"/>
        <v>0</v>
      </c>
      <c r="K77" s="784">
        <f t="shared" si="77"/>
        <v>0</v>
      </c>
      <c r="L77" s="789" t="str">
        <f t="shared" si="78"/>
        <v>kg</v>
      </c>
      <c r="M77" s="784">
        <f t="shared" si="79"/>
        <v>0</v>
      </c>
      <c r="N77" s="784">
        <f t="shared" si="80"/>
        <v>0</v>
      </c>
      <c r="O77" s="789" t="str">
        <f t="shared" si="81"/>
        <v>kg</v>
      </c>
      <c r="P77" s="784">
        <f t="shared" si="82"/>
        <v>0</v>
      </c>
      <c r="Q77" s="784">
        <f t="shared" si="83"/>
        <v>0</v>
      </c>
      <c r="R77" s="789" t="str">
        <f t="shared" si="84"/>
        <v>kg</v>
      </c>
      <c r="S77" s="784">
        <f t="shared" si="85"/>
        <v>0</v>
      </c>
      <c r="T77" s="777">
        <f t="shared" si="86"/>
        <v>0</v>
      </c>
      <c r="U77" s="778">
        <f t="shared" si="87"/>
        <v>0</v>
      </c>
      <c r="V77" s="784">
        <f t="shared" si="88"/>
        <v>0</v>
      </c>
      <c r="W77" s="777">
        <f t="shared" si="89"/>
        <v>0</v>
      </c>
      <c r="X77" s="778">
        <f t="shared" si="90"/>
        <v>0</v>
      </c>
      <c r="Z77" s="316" t="b">
        <f t="shared" si="92"/>
        <v>1</v>
      </c>
      <c r="AA77" s="316" t="b">
        <f t="shared" si="93"/>
        <v>1</v>
      </c>
      <c r="AB77" s="316" t="b">
        <f t="shared" si="94"/>
        <v>1</v>
      </c>
      <c r="AC77" s="316" t="b">
        <f t="shared" si="95"/>
        <v>1</v>
      </c>
      <c r="AD77" s="316" t="b">
        <f t="shared" si="96"/>
        <v>1</v>
      </c>
      <c r="AE77" s="316" t="b">
        <f t="shared" si="97"/>
        <v>1</v>
      </c>
      <c r="AF77" s="316" t="b">
        <f t="shared" si="98"/>
        <v>1</v>
      </c>
      <c r="AG77" s="316" t="b">
        <f t="shared" si="99"/>
        <v>1</v>
      </c>
      <c r="AH77" s="316" t="b">
        <f t="shared" si="100"/>
        <v>1</v>
      </c>
      <c r="AI77" s="316" t="b">
        <f t="shared" si="101"/>
        <v>1</v>
      </c>
      <c r="AJ77" s="316" t="b">
        <f t="shared" si="102"/>
        <v>1</v>
      </c>
      <c r="AK77" s="316" t="b">
        <f t="shared" si="103"/>
        <v>1</v>
      </c>
      <c r="AL77" s="810" t="str">
        <f t="shared" si="104"/>
        <v/>
      </c>
      <c r="AM77" s="811" t="str">
        <f t="shared" si="105"/>
        <v/>
      </c>
      <c r="AN77" s="811" t="str">
        <f t="shared" si="106"/>
        <v/>
      </c>
      <c r="AO77" s="811" t="str">
        <f t="shared" si="107"/>
        <v/>
      </c>
      <c r="AP77" s="811" t="str">
        <f t="shared" si="108"/>
        <v/>
      </c>
      <c r="AQ77" s="811" t="str">
        <f t="shared" si="109"/>
        <v/>
      </c>
      <c r="AR77" s="811" t="str">
        <f t="shared" si="110"/>
        <v/>
      </c>
      <c r="AS77" s="811" t="str">
        <f t="shared" si="111"/>
        <v/>
      </c>
      <c r="AT77" s="811" t="str">
        <f t="shared" si="112"/>
        <v/>
      </c>
      <c r="AU77" s="811" t="str">
        <f t="shared" si="113"/>
        <v/>
      </c>
      <c r="AV77" s="811" t="str">
        <f t="shared" si="114"/>
        <v/>
      </c>
      <c r="AW77" s="815" t="str">
        <f t="shared" si="114"/>
        <v/>
      </c>
    </row>
    <row r="78" spans="1:49">
      <c r="A78" s="795" t="str">
        <f t="shared" si="91"/>
        <v>Ca 1,</v>
      </c>
      <c r="B78" s="315" t="s">
        <v>486</v>
      </c>
      <c r="C78" s="315" t="str">
        <f t="shared" si="115"/>
        <v>phosphat                      tổng độ chua
磷化處理                      總酸度</v>
      </c>
      <c r="D78" s="315" t="str">
        <f t="shared" si="116"/>
        <v>XD-000A</v>
      </c>
      <c r="E78" s="315" t="str">
        <f t="shared" si="117"/>
        <v>Point</v>
      </c>
      <c r="F78" s="315" t="str">
        <f t="shared" si="118"/>
        <v>20~25
(22.5)</v>
      </c>
      <c r="G78" s="784">
        <f t="shared" si="73"/>
        <v>23.5</v>
      </c>
      <c r="H78" s="784">
        <f t="shared" si="74"/>
        <v>0</v>
      </c>
      <c r="I78" s="789" t="str">
        <f t="shared" si="75"/>
        <v>kg</v>
      </c>
      <c r="J78" s="784">
        <f t="shared" si="76"/>
        <v>0</v>
      </c>
      <c r="K78" s="784">
        <f t="shared" si="77"/>
        <v>0</v>
      </c>
      <c r="L78" s="789" t="str">
        <f t="shared" si="78"/>
        <v>kg</v>
      </c>
      <c r="M78" s="784">
        <f t="shared" si="79"/>
        <v>0</v>
      </c>
      <c r="N78" s="784">
        <f t="shared" si="80"/>
        <v>0</v>
      </c>
      <c r="O78" s="789" t="str">
        <f t="shared" si="81"/>
        <v>kg</v>
      </c>
      <c r="P78" s="784">
        <f t="shared" si="82"/>
        <v>0</v>
      </c>
      <c r="Q78" s="784">
        <f t="shared" si="83"/>
        <v>0</v>
      </c>
      <c r="R78" s="789" t="str">
        <f t="shared" si="84"/>
        <v>kg</v>
      </c>
      <c r="S78" s="784">
        <f t="shared" si="85"/>
        <v>0</v>
      </c>
      <c r="T78" s="777">
        <f t="shared" si="86"/>
        <v>0</v>
      </c>
      <c r="U78" s="778">
        <f t="shared" si="87"/>
        <v>0</v>
      </c>
      <c r="V78" s="784">
        <f t="shared" si="88"/>
        <v>0</v>
      </c>
      <c r="W78" s="777">
        <f t="shared" si="89"/>
        <v>0</v>
      </c>
      <c r="X78" s="778">
        <f t="shared" si="90"/>
        <v>0</v>
      </c>
      <c r="Z78" s="316" t="b">
        <f t="shared" si="92"/>
        <v>1</v>
      </c>
      <c r="AA78" s="316" t="b">
        <f t="shared" si="93"/>
        <v>1</v>
      </c>
      <c r="AB78" s="316" t="b">
        <f t="shared" si="94"/>
        <v>1</v>
      </c>
      <c r="AC78" s="316" t="b">
        <f t="shared" si="95"/>
        <v>1</v>
      </c>
      <c r="AD78" s="316" t="b">
        <f t="shared" si="96"/>
        <v>1</v>
      </c>
      <c r="AE78" s="316" t="b">
        <f t="shared" si="97"/>
        <v>1</v>
      </c>
      <c r="AF78" s="316" t="b">
        <f t="shared" si="98"/>
        <v>1</v>
      </c>
      <c r="AG78" s="316" t="b">
        <f t="shared" si="99"/>
        <v>1</v>
      </c>
      <c r="AH78" s="316" t="b">
        <f t="shared" si="100"/>
        <v>1</v>
      </c>
      <c r="AI78" s="316" t="b">
        <f t="shared" si="101"/>
        <v>1</v>
      </c>
      <c r="AJ78" s="316" t="b">
        <f t="shared" si="102"/>
        <v>1</v>
      </c>
      <c r="AK78" s="316" t="b">
        <f t="shared" si="103"/>
        <v>1</v>
      </c>
      <c r="AL78" s="810" t="str">
        <f t="shared" si="104"/>
        <v/>
      </c>
      <c r="AM78" s="811" t="str">
        <f t="shared" si="105"/>
        <v/>
      </c>
      <c r="AN78" s="811" t="str">
        <f t="shared" si="106"/>
        <v/>
      </c>
      <c r="AO78" s="811" t="str">
        <f t="shared" si="107"/>
        <v/>
      </c>
      <c r="AP78" s="811" t="str">
        <f t="shared" si="108"/>
        <v/>
      </c>
      <c r="AQ78" s="811" t="str">
        <f t="shared" si="109"/>
        <v/>
      </c>
      <c r="AR78" s="811" t="str">
        <f t="shared" si="110"/>
        <v/>
      </c>
      <c r="AS78" s="811" t="str">
        <f t="shared" si="111"/>
        <v/>
      </c>
      <c r="AT78" s="811" t="str">
        <f t="shared" si="112"/>
        <v/>
      </c>
      <c r="AU78" s="811" t="str">
        <f t="shared" si="113"/>
        <v/>
      </c>
      <c r="AV78" s="811" t="str">
        <f t="shared" si="114"/>
        <v/>
      </c>
      <c r="AW78" s="815" t="str">
        <f t="shared" si="114"/>
        <v/>
      </c>
    </row>
    <row r="79" spans="1:49">
      <c r="A79" s="795" t="str">
        <f t="shared" si="91"/>
        <v>Ca 1,</v>
      </c>
      <c r="B79" s="315" t="s">
        <v>489</v>
      </c>
      <c r="C79" s="315" t="str">
        <f t="shared" si="115"/>
        <v>phosphat                     Xúc tiến  AC
磷化處理                      促進劑</v>
      </c>
      <c r="D79" s="315" t="str">
        <f t="shared" si="116"/>
        <v>XD-000A</v>
      </c>
      <c r="E79" s="315" t="str">
        <f t="shared" si="117"/>
        <v>Point</v>
      </c>
      <c r="F79" s="315" t="str">
        <f t="shared" si="118"/>
        <v>6~9
(7.5)</v>
      </c>
      <c r="G79" s="784">
        <f t="shared" si="73"/>
        <v>8.3000000000000007</v>
      </c>
      <c r="H79" s="784">
        <f t="shared" si="74"/>
        <v>0</v>
      </c>
      <c r="I79" s="789" t="str">
        <f t="shared" si="75"/>
        <v>kg</v>
      </c>
      <c r="J79" s="784">
        <f t="shared" si="76"/>
        <v>0</v>
      </c>
      <c r="K79" s="784">
        <f t="shared" si="77"/>
        <v>0</v>
      </c>
      <c r="L79" s="789" t="str">
        <f t="shared" si="78"/>
        <v>kg</v>
      </c>
      <c r="M79" s="784">
        <f t="shared" si="79"/>
        <v>0</v>
      </c>
      <c r="N79" s="784">
        <f t="shared" si="80"/>
        <v>0</v>
      </c>
      <c r="O79" s="789" t="str">
        <f t="shared" si="81"/>
        <v>kg</v>
      </c>
      <c r="P79" s="784">
        <f t="shared" si="82"/>
        <v>0</v>
      </c>
      <c r="Q79" s="784">
        <f t="shared" si="83"/>
        <v>0</v>
      </c>
      <c r="R79" s="789" t="str">
        <f t="shared" si="84"/>
        <v>kg</v>
      </c>
      <c r="S79" s="784">
        <f t="shared" si="85"/>
        <v>0</v>
      </c>
      <c r="T79" s="777">
        <f t="shared" si="86"/>
        <v>0</v>
      </c>
      <c r="U79" s="778">
        <f t="shared" si="87"/>
        <v>0</v>
      </c>
      <c r="V79" s="784">
        <f t="shared" si="88"/>
        <v>0</v>
      </c>
      <c r="W79" s="777">
        <f t="shared" si="89"/>
        <v>0</v>
      </c>
      <c r="X79" s="778">
        <f t="shared" si="90"/>
        <v>0</v>
      </c>
      <c r="Z79" s="316" t="b">
        <f t="shared" si="92"/>
        <v>1</v>
      </c>
      <c r="AA79" s="316" t="b">
        <f t="shared" si="93"/>
        <v>1</v>
      </c>
      <c r="AB79" s="316" t="b">
        <f t="shared" si="94"/>
        <v>1</v>
      </c>
      <c r="AC79" s="316" t="b">
        <f t="shared" si="95"/>
        <v>1</v>
      </c>
      <c r="AD79" s="316" t="b">
        <f t="shared" si="96"/>
        <v>1</v>
      </c>
      <c r="AE79" s="316" t="b">
        <f t="shared" si="97"/>
        <v>1</v>
      </c>
      <c r="AF79" s="316" t="b">
        <f t="shared" si="98"/>
        <v>1</v>
      </c>
      <c r="AG79" s="316" t="b">
        <f t="shared" si="99"/>
        <v>1</v>
      </c>
      <c r="AH79" s="316" t="b">
        <f t="shared" si="100"/>
        <v>1</v>
      </c>
      <c r="AI79" s="316" t="b">
        <f t="shared" si="101"/>
        <v>1</v>
      </c>
      <c r="AJ79" s="316" t="b">
        <f t="shared" si="102"/>
        <v>1</v>
      </c>
      <c r="AK79" s="316" t="b">
        <f t="shared" si="103"/>
        <v>1</v>
      </c>
      <c r="AL79" s="810" t="str">
        <f t="shared" si="104"/>
        <v/>
      </c>
      <c r="AM79" s="811" t="str">
        <f t="shared" si="105"/>
        <v/>
      </c>
      <c r="AN79" s="811" t="str">
        <f t="shared" si="106"/>
        <v/>
      </c>
      <c r="AO79" s="811" t="str">
        <f t="shared" si="107"/>
        <v/>
      </c>
      <c r="AP79" s="811" t="str">
        <f t="shared" si="108"/>
        <v/>
      </c>
      <c r="AQ79" s="811" t="str">
        <f t="shared" si="109"/>
        <v/>
      </c>
      <c r="AR79" s="811" t="str">
        <f t="shared" si="110"/>
        <v/>
      </c>
      <c r="AS79" s="811" t="str">
        <f t="shared" si="111"/>
        <v/>
      </c>
      <c r="AT79" s="811" t="str">
        <f t="shared" si="112"/>
        <v/>
      </c>
      <c r="AU79" s="811" t="str">
        <f t="shared" si="113"/>
        <v/>
      </c>
      <c r="AV79" s="811" t="str">
        <f t="shared" si="114"/>
        <v/>
      </c>
      <c r="AW79" s="815" t="str">
        <f t="shared" si="114"/>
        <v/>
      </c>
    </row>
    <row r="80" spans="1:49">
      <c r="A80" s="795" t="str">
        <f t="shared" si="91"/>
        <v>Ca 1,</v>
      </c>
      <c r="B80" s="315" t="s">
        <v>492</v>
      </c>
      <c r="C80" s="315" t="str">
        <f t="shared" si="115"/>
        <v>chất điều chỉnh (pH&gt;7)
表調</v>
      </c>
      <c r="D80" s="315" t="str">
        <f t="shared" si="116"/>
        <v>XD-000A</v>
      </c>
      <c r="E80" s="315" t="str">
        <f t="shared" si="117"/>
        <v>pH</v>
      </c>
      <c r="F80" s="315" t="str">
        <f t="shared" si="118"/>
        <v>7~10 
(&gt;7)</v>
      </c>
      <c r="G80" s="784">
        <f t="shared" si="73"/>
        <v>7.3</v>
      </c>
      <c r="H80" s="784">
        <f t="shared" si="74"/>
        <v>0</v>
      </c>
      <c r="I80" s="789">
        <f t="shared" si="75"/>
        <v>0</v>
      </c>
      <c r="J80" s="784">
        <f t="shared" si="76"/>
        <v>0</v>
      </c>
      <c r="K80" s="784">
        <f t="shared" si="77"/>
        <v>0</v>
      </c>
      <c r="L80" s="789">
        <f t="shared" si="78"/>
        <v>0</v>
      </c>
      <c r="M80" s="784">
        <f t="shared" si="79"/>
        <v>0</v>
      </c>
      <c r="N80" s="784">
        <f t="shared" si="80"/>
        <v>0</v>
      </c>
      <c r="O80" s="789">
        <f t="shared" si="81"/>
        <v>0</v>
      </c>
      <c r="P80" s="784">
        <f t="shared" si="82"/>
        <v>0</v>
      </c>
      <c r="Q80" s="784">
        <f t="shared" si="83"/>
        <v>0</v>
      </c>
      <c r="R80" s="789">
        <f t="shared" si="84"/>
        <v>0</v>
      </c>
      <c r="S80" s="784">
        <f t="shared" si="85"/>
        <v>0</v>
      </c>
      <c r="T80" s="777">
        <f t="shared" si="86"/>
        <v>0</v>
      </c>
      <c r="U80" s="778">
        <f t="shared" si="87"/>
        <v>0</v>
      </c>
      <c r="V80" s="784">
        <f t="shared" si="88"/>
        <v>0</v>
      </c>
      <c r="W80" s="777">
        <f t="shared" si="89"/>
        <v>0</v>
      </c>
      <c r="X80" s="778">
        <f t="shared" si="90"/>
        <v>0</v>
      </c>
      <c r="Z80" s="316" t="b">
        <f t="shared" si="92"/>
        <v>1</v>
      </c>
      <c r="AA80" s="316" t="b">
        <f t="shared" si="93"/>
        <v>1</v>
      </c>
      <c r="AB80" s="316" t="b">
        <f t="shared" si="94"/>
        <v>1</v>
      </c>
      <c r="AC80" s="316" t="b">
        <f t="shared" si="95"/>
        <v>1</v>
      </c>
      <c r="AD80" s="316" t="b">
        <f t="shared" si="96"/>
        <v>1</v>
      </c>
      <c r="AE80" s="316" t="b">
        <f t="shared" si="97"/>
        <v>1</v>
      </c>
      <c r="AF80" s="316" t="b">
        <f t="shared" si="98"/>
        <v>1</v>
      </c>
      <c r="AG80" s="316" t="b">
        <f t="shared" si="99"/>
        <v>1</v>
      </c>
      <c r="AH80" s="316" t="b">
        <f t="shared" si="100"/>
        <v>1</v>
      </c>
      <c r="AI80" s="316" t="b">
        <f t="shared" si="101"/>
        <v>1</v>
      </c>
      <c r="AJ80" s="316" t="b">
        <f t="shared" si="102"/>
        <v>1</v>
      </c>
      <c r="AK80" s="316" t="b">
        <f t="shared" si="103"/>
        <v>1</v>
      </c>
      <c r="AL80" s="810" t="str">
        <f t="shared" si="104"/>
        <v/>
      </c>
      <c r="AM80" s="811" t="str">
        <f t="shared" si="105"/>
        <v/>
      </c>
      <c r="AN80" s="811" t="str">
        <f t="shared" si="106"/>
        <v/>
      </c>
      <c r="AO80" s="811" t="str">
        <f t="shared" si="107"/>
        <v/>
      </c>
      <c r="AP80" s="811" t="str">
        <f t="shared" si="108"/>
        <v/>
      </c>
      <c r="AQ80" s="811" t="str">
        <f t="shared" si="109"/>
        <v/>
      </c>
      <c r="AR80" s="811" t="str">
        <f t="shared" si="110"/>
        <v/>
      </c>
      <c r="AS80" s="811" t="str">
        <f t="shared" si="111"/>
        <v/>
      </c>
      <c r="AT80" s="811" t="str">
        <f t="shared" si="112"/>
        <v/>
      </c>
      <c r="AU80" s="811" t="str">
        <f t="shared" si="113"/>
        <v/>
      </c>
      <c r="AV80" s="811" t="str">
        <f t="shared" si="114"/>
        <v/>
      </c>
      <c r="AW80" s="815" t="str">
        <f t="shared" si="114"/>
        <v/>
      </c>
    </row>
    <row r="81" spans="1:49">
      <c r="A81" s="795" t="str">
        <f t="shared" si="91"/>
        <v>Ca 1,</v>
      </c>
      <c r="B81" s="315" t="s">
        <v>495</v>
      </c>
      <c r="C81" s="315" t="str">
        <f t="shared" si="115"/>
        <v>ED電泳 pH 
ED Bồn sơn tĩnh điện pH   1</v>
      </c>
      <c r="D81" s="315" t="str">
        <f t="shared" si="116"/>
        <v>XD-000A</v>
      </c>
      <c r="E81" s="315" t="str">
        <f t="shared" si="117"/>
        <v>pH</v>
      </c>
      <c r="F81" s="315" t="str">
        <f t="shared" si="118"/>
        <v>5.3~6.0
(5.5)</v>
      </c>
      <c r="G81" s="784">
        <f t="shared" si="73"/>
        <v>5.4</v>
      </c>
      <c r="H81" s="784">
        <f t="shared" si="74"/>
        <v>0</v>
      </c>
      <c r="I81" s="789">
        <f t="shared" si="75"/>
        <v>0</v>
      </c>
      <c r="J81" s="784">
        <f t="shared" si="76"/>
        <v>0</v>
      </c>
      <c r="K81" s="784">
        <f t="shared" si="77"/>
        <v>0</v>
      </c>
      <c r="L81" s="789">
        <f t="shared" si="78"/>
        <v>0</v>
      </c>
      <c r="M81" s="784">
        <f t="shared" si="79"/>
        <v>0</v>
      </c>
      <c r="N81" s="784">
        <f t="shared" si="80"/>
        <v>0</v>
      </c>
      <c r="O81" s="789">
        <f t="shared" si="81"/>
        <v>0</v>
      </c>
      <c r="P81" s="784">
        <f t="shared" si="82"/>
        <v>0</v>
      </c>
      <c r="Q81" s="784">
        <f t="shared" si="83"/>
        <v>0</v>
      </c>
      <c r="R81" s="789">
        <f t="shared" si="84"/>
        <v>0</v>
      </c>
      <c r="S81" s="784">
        <f t="shared" si="85"/>
        <v>0</v>
      </c>
      <c r="T81" s="777">
        <f t="shared" si="86"/>
        <v>0</v>
      </c>
      <c r="U81" s="778">
        <f t="shared" si="87"/>
        <v>0</v>
      </c>
      <c r="V81" s="784">
        <f t="shared" si="88"/>
        <v>0</v>
      </c>
      <c r="W81" s="777">
        <f t="shared" si="89"/>
        <v>0</v>
      </c>
      <c r="X81" s="778">
        <f t="shared" si="90"/>
        <v>0</v>
      </c>
      <c r="Z81" s="316" t="b">
        <f t="shared" si="92"/>
        <v>1</v>
      </c>
      <c r="AA81" s="316" t="b">
        <f t="shared" si="93"/>
        <v>1</v>
      </c>
      <c r="AB81" s="316" t="b">
        <f t="shared" si="94"/>
        <v>1</v>
      </c>
      <c r="AC81" s="316" t="b">
        <f t="shared" si="95"/>
        <v>1</v>
      </c>
      <c r="AD81" s="316" t="b">
        <f t="shared" si="96"/>
        <v>1</v>
      </c>
      <c r="AE81" s="316" t="b">
        <f t="shared" si="97"/>
        <v>1</v>
      </c>
      <c r="AF81" s="316" t="b">
        <f t="shared" si="98"/>
        <v>1</v>
      </c>
      <c r="AG81" s="316" t="b">
        <f t="shared" si="99"/>
        <v>1</v>
      </c>
      <c r="AH81" s="316" t="b">
        <f t="shared" si="100"/>
        <v>1</v>
      </c>
      <c r="AI81" s="316" t="b">
        <f t="shared" si="101"/>
        <v>1</v>
      </c>
      <c r="AJ81" s="316" t="b">
        <f t="shared" si="102"/>
        <v>1</v>
      </c>
      <c r="AK81" s="316" t="b">
        <f t="shared" si="103"/>
        <v>1</v>
      </c>
      <c r="AL81" s="810" t="str">
        <f t="shared" si="104"/>
        <v/>
      </c>
      <c r="AM81" s="811" t="str">
        <f t="shared" si="105"/>
        <v/>
      </c>
      <c r="AN81" s="811" t="str">
        <f t="shared" si="106"/>
        <v/>
      </c>
      <c r="AO81" s="811" t="str">
        <f t="shared" si="107"/>
        <v/>
      </c>
      <c r="AP81" s="811" t="str">
        <f t="shared" si="108"/>
        <v/>
      </c>
      <c r="AQ81" s="811" t="str">
        <f t="shared" si="109"/>
        <v/>
      </c>
      <c r="AR81" s="811" t="str">
        <f t="shared" si="110"/>
        <v/>
      </c>
      <c r="AS81" s="811" t="str">
        <f t="shared" si="111"/>
        <v/>
      </c>
      <c r="AT81" s="811" t="str">
        <f t="shared" si="112"/>
        <v/>
      </c>
      <c r="AU81" s="811" t="str">
        <f t="shared" si="113"/>
        <v/>
      </c>
      <c r="AV81" s="811" t="str">
        <f t="shared" si="114"/>
        <v/>
      </c>
      <c r="AW81" s="815" t="str">
        <f t="shared" si="114"/>
        <v/>
      </c>
    </row>
    <row r="82" spans="1:49">
      <c r="A82" s="795" t="str">
        <f t="shared" si="91"/>
        <v>Ca 1,</v>
      </c>
      <c r="B82" s="315" t="s">
        <v>500</v>
      </c>
      <c r="C82" s="315" t="str">
        <f t="shared" si="115"/>
        <v>ED 固成份 (NV)
ED Thành phần rắn 1</v>
      </c>
      <c r="D82" s="315" t="str">
        <f t="shared" si="116"/>
        <v>XD-000A</v>
      </c>
      <c r="E82" s="315" t="str">
        <f t="shared" si="117"/>
        <v>%</v>
      </c>
      <c r="F82" s="315" t="str">
        <f t="shared" si="118"/>
        <v xml:space="preserve"> 12~18%
(15%)</v>
      </c>
      <c r="G82" s="784">
        <f t="shared" si="73"/>
        <v>15.457983884229568</v>
      </c>
      <c r="H82" s="784">
        <f t="shared" si="74"/>
        <v>0</v>
      </c>
      <c r="I82" s="789" t="str">
        <f t="shared" si="75"/>
        <v>L</v>
      </c>
      <c r="J82" s="784" t="str">
        <f t="shared" si="76"/>
        <v>\</v>
      </c>
      <c r="K82" s="784">
        <f t="shared" si="77"/>
        <v>0</v>
      </c>
      <c r="L82" s="789">
        <f t="shared" si="78"/>
        <v>0</v>
      </c>
      <c r="M82" s="784" t="str">
        <f t="shared" si="79"/>
        <v>\</v>
      </c>
      <c r="N82" s="784">
        <f t="shared" si="80"/>
        <v>0</v>
      </c>
      <c r="O82" s="789">
        <f t="shared" si="81"/>
        <v>0</v>
      </c>
      <c r="P82" s="784" t="str">
        <f t="shared" si="82"/>
        <v>\</v>
      </c>
      <c r="Q82" s="784">
        <f t="shared" si="83"/>
        <v>0</v>
      </c>
      <c r="R82" s="789">
        <f t="shared" si="84"/>
        <v>0</v>
      </c>
      <c r="S82" s="784">
        <f t="shared" si="85"/>
        <v>0</v>
      </c>
      <c r="T82" s="777">
        <f t="shared" si="86"/>
        <v>0</v>
      </c>
      <c r="U82" s="778">
        <f t="shared" si="87"/>
        <v>0</v>
      </c>
      <c r="V82" s="784">
        <f t="shared" si="88"/>
        <v>0</v>
      </c>
      <c r="W82" s="777">
        <f t="shared" si="89"/>
        <v>0</v>
      </c>
      <c r="X82" s="778">
        <f t="shared" si="90"/>
        <v>0</v>
      </c>
      <c r="Z82" s="782" t="b">
        <f>ISNUMBER(G82)</f>
        <v>1</v>
      </c>
      <c r="AA82" s="782" t="b">
        <f t="shared" si="93"/>
        <v>1</v>
      </c>
      <c r="AB82" s="782" t="b">
        <f t="shared" si="94"/>
        <v>0</v>
      </c>
      <c r="AC82" s="782" t="b">
        <f t="shared" si="95"/>
        <v>1</v>
      </c>
      <c r="AD82" s="316" t="b">
        <f t="shared" si="96"/>
        <v>0</v>
      </c>
      <c r="AE82" s="316" t="b">
        <f t="shared" si="97"/>
        <v>1</v>
      </c>
      <c r="AF82" s="316" t="b">
        <f t="shared" si="98"/>
        <v>0</v>
      </c>
      <c r="AG82" s="316" t="b">
        <f t="shared" si="99"/>
        <v>1</v>
      </c>
      <c r="AH82" s="316" t="b">
        <f t="shared" si="100"/>
        <v>1</v>
      </c>
      <c r="AI82" s="316" t="b">
        <f t="shared" si="101"/>
        <v>1</v>
      </c>
      <c r="AJ82" s="316" t="b">
        <f t="shared" si="102"/>
        <v>1</v>
      </c>
      <c r="AK82" s="316" t="b">
        <f t="shared" si="103"/>
        <v>1</v>
      </c>
      <c r="AL82" s="810" t="str">
        <f t="shared" si="104"/>
        <v/>
      </c>
      <c r="AM82" s="811" t="str">
        <f t="shared" si="105"/>
        <v/>
      </c>
      <c r="AN82" s="811">
        <f t="shared" si="106"/>
        <v>1</v>
      </c>
      <c r="AO82" s="811" t="str">
        <f t="shared" si="107"/>
        <v/>
      </c>
      <c r="AP82" s="811">
        <f t="shared" si="108"/>
        <v>1</v>
      </c>
      <c r="AQ82" s="811" t="str">
        <f t="shared" si="109"/>
        <v/>
      </c>
      <c r="AR82" s="811">
        <f t="shared" si="110"/>
        <v>1</v>
      </c>
      <c r="AS82" s="811" t="str">
        <f t="shared" si="111"/>
        <v/>
      </c>
      <c r="AT82" s="811" t="str">
        <f t="shared" si="112"/>
        <v/>
      </c>
      <c r="AU82" s="811" t="str">
        <f t="shared" si="113"/>
        <v/>
      </c>
      <c r="AV82" s="811" t="str">
        <f t="shared" si="114"/>
        <v/>
      </c>
      <c r="AW82" s="815" t="str">
        <f t="shared" si="114"/>
        <v/>
      </c>
    </row>
    <row r="83" spans="1:49">
      <c r="A83" s="795" t="str">
        <f t="shared" si="91"/>
        <v>Ca 1,</v>
      </c>
      <c r="B83" s="315" t="s">
        <v>501</v>
      </c>
      <c r="C83" s="315" t="str">
        <f t="shared" si="115"/>
        <v>ED 色料比
EDTỷ lệ màu 1</v>
      </c>
      <c r="D83" s="315" t="str">
        <f t="shared" si="116"/>
        <v>XD-000A</v>
      </c>
      <c r="E83" s="315" t="str">
        <f t="shared" si="117"/>
        <v>%</v>
      </c>
      <c r="F83" s="315" t="str">
        <f t="shared" si="118"/>
        <v>8~16%
(12%)</v>
      </c>
      <c r="G83" s="784">
        <f t="shared" si="73"/>
        <v>8.4863740253278852</v>
      </c>
      <c r="H83" s="784">
        <f t="shared" si="74"/>
        <v>80.637716118725038</v>
      </c>
      <c r="I83" s="789" t="str">
        <f t="shared" si="75"/>
        <v>L</v>
      </c>
      <c r="J83" s="784" t="str">
        <f t="shared" si="76"/>
        <v>\</v>
      </c>
      <c r="K83" s="784">
        <f t="shared" si="77"/>
        <v>0</v>
      </c>
      <c r="L83" s="789">
        <f t="shared" si="78"/>
        <v>0</v>
      </c>
      <c r="M83" s="784" t="str">
        <f t="shared" si="79"/>
        <v>\</v>
      </c>
      <c r="N83" s="784">
        <f t="shared" si="80"/>
        <v>0</v>
      </c>
      <c r="O83" s="789">
        <f t="shared" si="81"/>
        <v>0</v>
      </c>
      <c r="P83" s="784" t="str">
        <f t="shared" si="82"/>
        <v>\</v>
      </c>
      <c r="Q83" s="784">
        <f t="shared" si="83"/>
        <v>0</v>
      </c>
      <c r="R83" s="789">
        <f t="shared" si="84"/>
        <v>0</v>
      </c>
      <c r="S83" s="784">
        <f t="shared" si="85"/>
        <v>0</v>
      </c>
      <c r="T83" s="777">
        <f t="shared" si="86"/>
        <v>0</v>
      </c>
      <c r="U83" s="778">
        <f t="shared" si="87"/>
        <v>0</v>
      </c>
      <c r="V83" s="784">
        <f t="shared" si="88"/>
        <v>0</v>
      </c>
      <c r="W83" s="777">
        <f t="shared" si="89"/>
        <v>0</v>
      </c>
      <c r="X83" s="778">
        <f t="shared" si="90"/>
        <v>0</v>
      </c>
      <c r="Z83" s="782" t="b">
        <f t="shared" si="92"/>
        <v>1</v>
      </c>
      <c r="AA83" s="782" t="b">
        <f t="shared" si="93"/>
        <v>1</v>
      </c>
      <c r="AB83" s="782" t="b">
        <f t="shared" si="94"/>
        <v>0</v>
      </c>
      <c r="AC83" s="782" t="b">
        <f t="shared" si="95"/>
        <v>1</v>
      </c>
      <c r="AD83" s="316" t="b">
        <f t="shared" si="96"/>
        <v>0</v>
      </c>
      <c r="AE83" s="316" t="b">
        <f t="shared" si="97"/>
        <v>1</v>
      </c>
      <c r="AF83" s="316" t="b">
        <f t="shared" si="98"/>
        <v>0</v>
      </c>
      <c r="AG83" s="316" t="b">
        <f t="shared" si="99"/>
        <v>1</v>
      </c>
      <c r="AH83" s="316" t="b">
        <f t="shared" si="100"/>
        <v>1</v>
      </c>
      <c r="AI83" s="316" t="b">
        <f t="shared" si="101"/>
        <v>1</v>
      </c>
      <c r="AJ83" s="316" t="b">
        <f t="shared" si="102"/>
        <v>1</v>
      </c>
      <c r="AK83" s="316" t="b">
        <f t="shared" si="103"/>
        <v>1</v>
      </c>
      <c r="AL83" s="810" t="str">
        <f t="shared" si="104"/>
        <v/>
      </c>
      <c r="AM83" s="811" t="str">
        <f t="shared" si="105"/>
        <v/>
      </c>
      <c r="AN83" s="811">
        <f t="shared" si="106"/>
        <v>1</v>
      </c>
      <c r="AO83" s="811" t="str">
        <f t="shared" si="107"/>
        <v/>
      </c>
      <c r="AP83" s="811">
        <f t="shared" si="108"/>
        <v>1</v>
      </c>
      <c r="AQ83" s="811" t="str">
        <f t="shared" si="109"/>
        <v/>
      </c>
      <c r="AR83" s="811">
        <f t="shared" si="110"/>
        <v>1</v>
      </c>
      <c r="AS83" s="811" t="str">
        <f t="shared" si="111"/>
        <v/>
      </c>
      <c r="AT83" s="811" t="str">
        <f t="shared" si="112"/>
        <v/>
      </c>
      <c r="AU83" s="811" t="str">
        <f t="shared" si="113"/>
        <v/>
      </c>
      <c r="AV83" s="811" t="str">
        <f t="shared" si="114"/>
        <v/>
      </c>
      <c r="AW83" s="815" t="str">
        <f t="shared" si="114"/>
        <v/>
      </c>
    </row>
    <row r="84" spans="1:49">
      <c r="A84" s="795" t="str">
        <f t="shared" si="91"/>
        <v>Ca 1,</v>
      </c>
      <c r="B84" s="315" t="s">
        <v>504</v>
      </c>
      <c r="C84" s="315" t="str">
        <f t="shared" si="115"/>
        <v>UF水洗1
Bồn thu hồi 1 (Thành phần rắn)</v>
      </c>
      <c r="D84" s="315" t="str">
        <f t="shared" si="116"/>
        <v>XD-000A</v>
      </c>
      <c r="E84" s="315" t="str">
        <f t="shared" si="117"/>
        <v>%</v>
      </c>
      <c r="F84" s="315" t="str">
        <f t="shared" si="118"/>
        <v>&lt;5%</v>
      </c>
      <c r="G84" s="784">
        <f t="shared" si="73"/>
        <v>0.84937712344280936</v>
      </c>
      <c r="H84" s="784">
        <f t="shared" si="74"/>
        <v>0</v>
      </c>
      <c r="I84" s="789">
        <f t="shared" si="75"/>
        <v>0</v>
      </c>
      <c r="J84" s="784" t="str">
        <f t="shared" si="76"/>
        <v>\</v>
      </c>
      <c r="K84" s="784">
        <f t="shared" si="77"/>
        <v>0</v>
      </c>
      <c r="L84" s="789">
        <f t="shared" si="78"/>
        <v>0</v>
      </c>
      <c r="M84" s="784" t="str">
        <f t="shared" si="79"/>
        <v>\</v>
      </c>
      <c r="N84" s="784">
        <f t="shared" si="80"/>
        <v>0</v>
      </c>
      <c r="O84" s="789">
        <f t="shared" si="81"/>
        <v>0</v>
      </c>
      <c r="P84" s="784" t="str">
        <f t="shared" si="82"/>
        <v>\</v>
      </c>
      <c r="Q84" s="784">
        <f t="shared" si="83"/>
        <v>0</v>
      </c>
      <c r="R84" s="789">
        <f t="shared" si="84"/>
        <v>0</v>
      </c>
      <c r="S84" s="784">
        <f t="shared" si="85"/>
        <v>0</v>
      </c>
      <c r="T84" s="777">
        <f t="shared" si="86"/>
        <v>0</v>
      </c>
      <c r="U84" s="778">
        <f t="shared" si="87"/>
        <v>0</v>
      </c>
      <c r="V84" s="784">
        <f t="shared" si="88"/>
        <v>0</v>
      </c>
      <c r="W84" s="777">
        <f t="shared" si="89"/>
        <v>0</v>
      </c>
      <c r="X84" s="778">
        <f t="shared" si="90"/>
        <v>0</v>
      </c>
      <c r="Z84" s="782" t="b">
        <f t="shared" si="92"/>
        <v>1</v>
      </c>
      <c r="AA84" s="783" t="b">
        <f t="shared" si="93"/>
        <v>1</v>
      </c>
      <c r="AB84" s="782" t="b">
        <f t="shared" si="94"/>
        <v>0</v>
      </c>
      <c r="AC84" s="316" t="b">
        <f t="shared" si="95"/>
        <v>1</v>
      </c>
      <c r="AD84" s="316" t="b">
        <f t="shared" si="96"/>
        <v>0</v>
      </c>
      <c r="AE84" s="316" t="b">
        <f t="shared" si="97"/>
        <v>1</v>
      </c>
      <c r="AF84" s="316" t="b">
        <f t="shared" si="98"/>
        <v>0</v>
      </c>
      <c r="AG84" s="316" t="b">
        <f t="shared" si="99"/>
        <v>1</v>
      </c>
      <c r="AH84" s="316" t="b">
        <f t="shared" si="100"/>
        <v>1</v>
      </c>
      <c r="AI84" s="316" t="b">
        <f t="shared" si="101"/>
        <v>1</v>
      </c>
      <c r="AJ84" s="316" t="b">
        <f t="shared" si="102"/>
        <v>1</v>
      </c>
      <c r="AK84" s="316" t="b">
        <f t="shared" si="103"/>
        <v>1</v>
      </c>
      <c r="AL84" s="810" t="str">
        <f t="shared" si="104"/>
        <v/>
      </c>
      <c r="AM84" s="811" t="str">
        <f t="shared" si="105"/>
        <v/>
      </c>
      <c r="AN84" s="811">
        <f t="shared" si="106"/>
        <v>1</v>
      </c>
      <c r="AO84" s="811" t="str">
        <f t="shared" si="107"/>
        <v/>
      </c>
      <c r="AP84" s="811">
        <f t="shared" si="108"/>
        <v>1</v>
      </c>
      <c r="AQ84" s="811" t="str">
        <f t="shared" si="109"/>
        <v/>
      </c>
      <c r="AR84" s="811">
        <f t="shared" si="110"/>
        <v>1</v>
      </c>
      <c r="AS84" s="811" t="str">
        <f t="shared" si="111"/>
        <v/>
      </c>
      <c r="AT84" s="811" t="str">
        <f t="shared" si="112"/>
        <v/>
      </c>
      <c r="AU84" s="811" t="str">
        <f t="shared" si="113"/>
        <v/>
      </c>
      <c r="AV84" s="811" t="str">
        <f t="shared" si="114"/>
        <v/>
      </c>
      <c r="AW84" s="815" t="str">
        <f t="shared" si="114"/>
        <v/>
      </c>
    </row>
    <row r="85" spans="1:49">
      <c r="A85" s="795" t="str">
        <f t="shared" si="91"/>
        <v>Ca 1,</v>
      </c>
      <c r="B85" s="315" t="s">
        <v>505</v>
      </c>
      <c r="C85" s="315" t="str">
        <f t="shared" si="115"/>
        <v>UF水洗2
 Bồn thu hồi 2  (Thành phần rắn)</v>
      </c>
      <c r="D85" s="315" t="str">
        <f t="shared" si="116"/>
        <v>XD-000A</v>
      </c>
      <c r="E85" s="315" t="str">
        <f t="shared" si="117"/>
        <v>%</v>
      </c>
      <c r="F85" s="315" t="str">
        <f t="shared" si="118"/>
        <v>&lt;3%</v>
      </c>
      <c r="G85" s="784">
        <f t="shared" si="73"/>
        <v>0.50395968322534201</v>
      </c>
      <c r="H85" s="784">
        <f t="shared" si="74"/>
        <v>0</v>
      </c>
      <c r="I85" s="789">
        <f t="shared" si="75"/>
        <v>0</v>
      </c>
      <c r="J85" s="784" t="str">
        <f t="shared" si="76"/>
        <v>\</v>
      </c>
      <c r="K85" s="784">
        <f t="shared" si="77"/>
        <v>0</v>
      </c>
      <c r="L85" s="789">
        <f t="shared" si="78"/>
        <v>0</v>
      </c>
      <c r="M85" s="784" t="str">
        <f t="shared" si="79"/>
        <v>\</v>
      </c>
      <c r="N85" s="784">
        <f t="shared" si="80"/>
        <v>0</v>
      </c>
      <c r="O85" s="789">
        <f t="shared" si="81"/>
        <v>0</v>
      </c>
      <c r="P85" s="784" t="str">
        <f t="shared" si="82"/>
        <v>\</v>
      </c>
      <c r="Q85" s="784">
        <f t="shared" si="83"/>
        <v>0</v>
      </c>
      <c r="R85" s="789">
        <f t="shared" si="84"/>
        <v>0</v>
      </c>
      <c r="S85" s="784">
        <f t="shared" si="85"/>
        <v>0</v>
      </c>
      <c r="T85" s="777">
        <f t="shared" si="86"/>
        <v>0</v>
      </c>
      <c r="U85" s="778">
        <f t="shared" si="87"/>
        <v>0</v>
      </c>
      <c r="V85" s="784">
        <f t="shared" si="88"/>
        <v>0</v>
      </c>
      <c r="W85" s="777">
        <f t="shared" si="89"/>
        <v>0</v>
      </c>
      <c r="X85" s="778">
        <f t="shared" si="90"/>
        <v>0</v>
      </c>
      <c r="Z85" s="782" t="b">
        <f t="shared" si="92"/>
        <v>1</v>
      </c>
      <c r="AA85" s="783" t="b">
        <f t="shared" si="93"/>
        <v>1</v>
      </c>
      <c r="AB85" s="782" t="b">
        <f t="shared" si="94"/>
        <v>0</v>
      </c>
      <c r="AC85" s="316" t="b">
        <f t="shared" si="95"/>
        <v>1</v>
      </c>
      <c r="AD85" s="316" t="b">
        <f t="shared" si="96"/>
        <v>0</v>
      </c>
      <c r="AE85" s="316" t="b">
        <f t="shared" si="97"/>
        <v>1</v>
      </c>
      <c r="AF85" s="316" t="b">
        <f t="shared" si="98"/>
        <v>0</v>
      </c>
      <c r="AG85" s="316" t="b">
        <f t="shared" si="99"/>
        <v>1</v>
      </c>
      <c r="AH85" s="316" t="b">
        <f t="shared" si="100"/>
        <v>1</v>
      </c>
      <c r="AI85" s="316" t="b">
        <f t="shared" si="101"/>
        <v>1</v>
      </c>
      <c r="AJ85" s="316" t="b">
        <f t="shared" si="102"/>
        <v>1</v>
      </c>
      <c r="AK85" s="316" t="b">
        <f t="shared" si="103"/>
        <v>1</v>
      </c>
      <c r="AL85" s="810" t="str">
        <f t="shared" si="104"/>
        <v/>
      </c>
      <c r="AM85" s="811" t="str">
        <f t="shared" si="105"/>
        <v/>
      </c>
      <c r="AN85" s="811">
        <f t="shared" si="106"/>
        <v>1</v>
      </c>
      <c r="AO85" s="811" t="str">
        <f t="shared" si="107"/>
        <v/>
      </c>
      <c r="AP85" s="811">
        <f t="shared" si="108"/>
        <v>1</v>
      </c>
      <c r="AQ85" s="811" t="str">
        <f t="shared" si="109"/>
        <v/>
      </c>
      <c r="AR85" s="811">
        <f t="shared" si="110"/>
        <v>1</v>
      </c>
      <c r="AS85" s="811" t="str">
        <f t="shared" si="111"/>
        <v/>
      </c>
      <c r="AT85" s="811" t="str">
        <f t="shared" si="112"/>
        <v/>
      </c>
      <c r="AU85" s="811" t="str">
        <f t="shared" si="113"/>
        <v/>
      </c>
      <c r="AV85" s="811" t="str">
        <f t="shared" si="114"/>
        <v/>
      </c>
      <c r="AW85" s="815" t="str">
        <f t="shared" si="114"/>
        <v/>
      </c>
    </row>
    <row r="86" spans="1:49">
      <c r="A86" s="795" t="str">
        <f t="shared" si="91"/>
        <v>Ca 1,</v>
      </c>
      <c r="B86" s="315" t="s">
        <v>527</v>
      </c>
      <c r="C86" s="315" t="str">
        <f t="shared" si="115"/>
        <v>熱脫脂 Xà bông 1</v>
      </c>
      <c r="D86" s="315" t="str">
        <f t="shared" si="116"/>
        <v>DC-000A</v>
      </c>
      <c r="E86" s="315" t="str">
        <f t="shared" si="117"/>
        <v>g/L</v>
      </c>
      <c r="F86" s="315" t="str">
        <f t="shared" si="118"/>
        <v>20~30
(25±3)</v>
      </c>
      <c r="G86" s="784">
        <f t="shared" si="73"/>
        <v>24.016000000000002</v>
      </c>
      <c r="H86" s="784">
        <f t="shared" si="74"/>
        <v>1.6058879999999971</v>
      </c>
      <c r="I86" s="789" t="str">
        <f t="shared" si="75"/>
        <v>kg</v>
      </c>
      <c r="J86" s="784">
        <f t="shared" si="76"/>
        <v>23.700000000000003</v>
      </c>
      <c r="K86" s="784">
        <f t="shared" si="77"/>
        <v>2.1215999999999955</v>
      </c>
      <c r="L86" s="789" t="str">
        <f t="shared" si="78"/>
        <v>kg</v>
      </c>
      <c r="M86" s="784">
        <f t="shared" si="79"/>
        <v>0</v>
      </c>
      <c r="N86" s="784">
        <f t="shared" si="80"/>
        <v>0</v>
      </c>
      <c r="O86" s="789">
        <f t="shared" si="81"/>
        <v>0</v>
      </c>
      <c r="P86" s="784">
        <f t="shared" si="82"/>
        <v>0</v>
      </c>
      <c r="Q86" s="784">
        <f t="shared" si="83"/>
        <v>0</v>
      </c>
      <c r="R86" s="789">
        <f t="shared" si="84"/>
        <v>0</v>
      </c>
      <c r="S86" s="784">
        <f t="shared" si="85"/>
        <v>0</v>
      </c>
      <c r="T86" s="777">
        <f t="shared" si="86"/>
        <v>0</v>
      </c>
      <c r="U86" s="778">
        <f t="shared" si="87"/>
        <v>0</v>
      </c>
      <c r="V86" s="784">
        <f t="shared" si="88"/>
        <v>0</v>
      </c>
      <c r="W86" s="777">
        <f t="shared" si="89"/>
        <v>0</v>
      </c>
      <c r="X86" s="778">
        <f t="shared" si="90"/>
        <v>0</v>
      </c>
      <c r="Z86" s="316" t="b">
        <f t="shared" si="92"/>
        <v>1</v>
      </c>
      <c r="AA86" s="316" t="b">
        <f t="shared" si="93"/>
        <v>1</v>
      </c>
      <c r="AB86" s="316" t="b">
        <f t="shared" si="94"/>
        <v>1</v>
      </c>
      <c r="AC86" s="316" t="b">
        <f t="shared" si="95"/>
        <v>1</v>
      </c>
      <c r="AD86" s="316" t="b">
        <f t="shared" si="96"/>
        <v>1</v>
      </c>
      <c r="AE86" s="316" t="b">
        <f t="shared" si="97"/>
        <v>1</v>
      </c>
      <c r="AF86" s="316" t="b">
        <f t="shared" si="98"/>
        <v>1</v>
      </c>
      <c r="AG86" s="316" t="b">
        <f t="shared" si="99"/>
        <v>1</v>
      </c>
      <c r="AH86" s="316" t="b">
        <f t="shared" si="100"/>
        <v>1</v>
      </c>
      <c r="AI86" s="316" t="b">
        <f t="shared" si="101"/>
        <v>1</v>
      </c>
      <c r="AJ86" s="316" t="b">
        <f t="shared" si="102"/>
        <v>1</v>
      </c>
      <c r="AK86" s="316" t="b">
        <f t="shared" si="103"/>
        <v>1</v>
      </c>
      <c r="AL86" s="810" t="str">
        <f t="shared" si="104"/>
        <v/>
      </c>
      <c r="AM86" s="811" t="str">
        <f t="shared" si="105"/>
        <v/>
      </c>
      <c r="AN86" s="811" t="str">
        <f t="shared" si="106"/>
        <v/>
      </c>
      <c r="AO86" s="811" t="str">
        <f t="shared" si="107"/>
        <v/>
      </c>
      <c r="AP86" s="811" t="str">
        <f t="shared" si="108"/>
        <v/>
      </c>
      <c r="AQ86" s="811" t="str">
        <f t="shared" si="109"/>
        <v/>
      </c>
      <c r="AR86" s="811" t="str">
        <f t="shared" si="110"/>
        <v/>
      </c>
      <c r="AS86" s="811" t="str">
        <f t="shared" si="111"/>
        <v/>
      </c>
      <c r="AT86" s="811" t="str">
        <f t="shared" si="112"/>
        <v/>
      </c>
      <c r="AU86" s="811" t="str">
        <f t="shared" si="113"/>
        <v/>
      </c>
      <c r="AV86" s="811" t="str">
        <f t="shared" si="114"/>
        <v/>
      </c>
      <c r="AW86" s="815" t="str">
        <f t="shared" si="114"/>
        <v/>
      </c>
    </row>
    <row r="87" spans="1:49">
      <c r="A87" s="795" t="str">
        <f t="shared" si="91"/>
        <v>Ca 1,</v>
      </c>
      <c r="B87" s="315" t="s">
        <v>531</v>
      </c>
      <c r="C87" s="315" t="str">
        <f t="shared" si="115"/>
        <v>熱脫脂Xà bôngg 2</v>
      </c>
      <c r="D87" s="315" t="str">
        <f t="shared" si="116"/>
        <v>DC-000A</v>
      </c>
      <c r="E87" s="315" t="str">
        <f t="shared" si="117"/>
        <v>g/L</v>
      </c>
      <c r="F87" s="315" t="str">
        <f t="shared" si="118"/>
        <v>20~30
(25±3)</v>
      </c>
      <c r="G87" s="784">
        <f t="shared" si="73"/>
        <v>25.596000000000004</v>
      </c>
      <c r="H87" s="784">
        <f t="shared" si="74"/>
        <v>0</v>
      </c>
      <c r="I87" s="789" t="str">
        <f t="shared" si="75"/>
        <v>kg</v>
      </c>
      <c r="J87" s="784">
        <f t="shared" si="76"/>
        <v>26.544</v>
      </c>
      <c r="K87" s="784">
        <f t="shared" si="77"/>
        <v>0</v>
      </c>
      <c r="L87" s="789" t="str">
        <f t="shared" si="78"/>
        <v>kg</v>
      </c>
      <c r="M87" s="784">
        <f t="shared" si="79"/>
        <v>0</v>
      </c>
      <c r="N87" s="784">
        <f t="shared" si="80"/>
        <v>0</v>
      </c>
      <c r="O87" s="789">
        <f t="shared" si="81"/>
        <v>0</v>
      </c>
      <c r="P87" s="784">
        <f t="shared" si="82"/>
        <v>0</v>
      </c>
      <c r="Q87" s="784">
        <f t="shared" si="83"/>
        <v>0</v>
      </c>
      <c r="R87" s="789">
        <f t="shared" si="84"/>
        <v>0</v>
      </c>
      <c r="S87" s="784">
        <f t="shared" si="85"/>
        <v>0</v>
      </c>
      <c r="T87" s="777">
        <f t="shared" si="86"/>
        <v>0</v>
      </c>
      <c r="U87" s="778">
        <f t="shared" si="87"/>
        <v>0</v>
      </c>
      <c r="V87" s="784">
        <f t="shared" si="88"/>
        <v>0</v>
      </c>
      <c r="W87" s="777">
        <f t="shared" si="89"/>
        <v>0</v>
      </c>
      <c r="X87" s="778">
        <f t="shared" si="90"/>
        <v>0</v>
      </c>
      <c r="Z87" s="316" t="b">
        <f t="shared" si="92"/>
        <v>1</v>
      </c>
      <c r="AA87" s="316" t="b">
        <f t="shared" si="93"/>
        <v>1</v>
      </c>
      <c r="AB87" s="316" t="b">
        <f t="shared" si="94"/>
        <v>1</v>
      </c>
      <c r="AC87" s="316" t="b">
        <f t="shared" si="95"/>
        <v>1</v>
      </c>
      <c r="AD87" s="316" t="b">
        <f t="shared" si="96"/>
        <v>1</v>
      </c>
      <c r="AE87" s="316" t="b">
        <f t="shared" si="97"/>
        <v>1</v>
      </c>
      <c r="AF87" s="316" t="b">
        <f t="shared" si="98"/>
        <v>1</v>
      </c>
      <c r="AG87" s="316" t="b">
        <f t="shared" si="99"/>
        <v>1</v>
      </c>
      <c r="AH87" s="316" t="b">
        <f t="shared" si="100"/>
        <v>1</v>
      </c>
      <c r="AI87" s="316" t="b">
        <f t="shared" si="101"/>
        <v>1</v>
      </c>
      <c r="AJ87" s="316" t="b">
        <f t="shared" si="102"/>
        <v>1</v>
      </c>
      <c r="AK87" s="316" t="b">
        <f t="shared" si="103"/>
        <v>1</v>
      </c>
      <c r="AL87" s="810" t="str">
        <f t="shared" si="104"/>
        <v/>
      </c>
      <c r="AM87" s="811" t="str">
        <f t="shared" si="105"/>
        <v/>
      </c>
      <c r="AN87" s="811" t="str">
        <f t="shared" si="106"/>
        <v/>
      </c>
      <c r="AO87" s="811" t="str">
        <f t="shared" si="107"/>
        <v/>
      </c>
      <c r="AP87" s="811" t="str">
        <f t="shared" si="108"/>
        <v/>
      </c>
      <c r="AQ87" s="811" t="str">
        <f t="shared" si="109"/>
        <v/>
      </c>
      <c r="AR87" s="811" t="str">
        <f t="shared" si="110"/>
        <v/>
      </c>
      <c r="AS87" s="811" t="str">
        <f t="shared" si="111"/>
        <v/>
      </c>
      <c r="AT87" s="811" t="str">
        <f t="shared" si="112"/>
        <v/>
      </c>
      <c r="AU87" s="811" t="str">
        <f t="shared" si="113"/>
        <v/>
      </c>
      <c r="AV87" s="811" t="str">
        <f t="shared" si="114"/>
        <v/>
      </c>
      <c r="AW87" s="815" t="str">
        <f t="shared" si="114"/>
        <v/>
      </c>
    </row>
    <row r="88" spans="1:49">
      <c r="A88" s="795" t="str">
        <f t="shared" si="91"/>
        <v>Ca 1,</v>
      </c>
      <c r="B88" s="315" t="s">
        <v>533</v>
      </c>
      <c r="C88" s="315" t="str">
        <f t="shared" si="115"/>
        <v>HNO3   中和</v>
      </c>
      <c r="D88" s="315" t="str">
        <f t="shared" si="116"/>
        <v>DC-000A</v>
      </c>
      <c r="E88" s="315" t="str">
        <f t="shared" si="117"/>
        <v>ml/L</v>
      </c>
      <c r="F88" s="315" t="str">
        <f t="shared" si="118"/>
        <v>210~290
(250±40)</v>
      </c>
      <c r="G88" s="784">
        <f t="shared" si="73"/>
        <v>234.72000000000003</v>
      </c>
      <c r="H88" s="784">
        <f t="shared" si="74"/>
        <v>24.936959999999956</v>
      </c>
      <c r="I88" s="789" t="str">
        <f t="shared" si="75"/>
        <v>L</v>
      </c>
      <c r="J88" s="784">
        <f t="shared" si="76"/>
        <v>228.20000000000002</v>
      </c>
      <c r="K88" s="784">
        <f t="shared" si="77"/>
        <v>35.577599999999968</v>
      </c>
      <c r="L88" s="789" t="str">
        <f t="shared" si="78"/>
        <v>L</v>
      </c>
      <c r="M88" s="784">
        <f t="shared" si="79"/>
        <v>0</v>
      </c>
      <c r="N88" s="784">
        <f t="shared" si="80"/>
        <v>0</v>
      </c>
      <c r="O88" s="789">
        <f t="shared" si="81"/>
        <v>0</v>
      </c>
      <c r="P88" s="784">
        <f t="shared" si="82"/>
        <v>0</v>
      </c>
      <c r="Q88" s="784">
        <f t="shared" si="83"/>
        <v>0</v>
      </c>
      <c r="R88" s="789">
        <f t="shared" si="84"/>
        <v>0</v>
      </c>
      <c r="S88" s="784">
        <f t="shared" si="85"/>
        <v>0</v>
      </c>
      <c r="T88" s="777">
        <f t="shared" si="86"/>
        <v>0</v>
      </c>
      <c r="U88" s="778">
        <f t="shared" si="87"/>
        <v>0</v>
      </c>
      <c r="V88" s="784">
        <f t="shared" si="88"/>
        <v>0</v>
      </c>
      <c r="W88" s="777">
        <f t="shared" si="89"/>
        <v>0</v>
      </c>
      <c r="X88" s="778">
        <f t="shared" si="90"/>
        <v>0</v>
      </c>
      <c r="Z88" s="316" t="b">
        <f t="shared" si="92"/>
        <v>1</v>
      </c>
      <c r="AA88" s="316" t="b">
        <f t="shared" si="93"/>
        <v>1</v>
      </c>
      <c r="AB88" s="316" t="b">
        <f t="shared" si="94"/>
        <v>1</v>
      </c>
      <c r="AC88" s="316" t="b">
        <f t="shared" si="95"/>
        <v>1</v>
      </c>
      <c r="AD88" s="316" t="b">
        <f t="shared" si="96"/>
        <v>1</v>
      </c>
      <c r="AE88" s="316" t="b">
        <f t="shared" si="97"/>
        <v>1</v>
      </c>
      <c r="AF88" s="316" t="b">
        <f t="shared" si="98"/>
        <v>1</v>
      </c>
      <c r="AG88" s="316" t="b">
        <f t="shared" si="99"/>
        <v>1</v>
      </c>
      <c r="AH88" s="316" t="b">
        <f t="shared" si="100"/>
        <v>1</v>
      </c>
      <c r="AI88" s="316" t="b">
        <f t="shared" si="101"/>
        <v>1</v>
      </c>
      <c r="AJ88" s="316" t="b">
        <f t="shared" si="102"/>
        <v>1</v>
      </c>
      <c r="AK88" s="316" t="b">
        <f t="shared" si="103"/>
        <v>1</v>
      </c>
      <c r="AL88" s="810" t="str">
        <f t="shared" si="104"/>
        <v/>
      </c>
      <c r="AM88" s="811" t="str">
        <f t="shared" si="105"/>
        <v/>
      </c>
      <c r="AN88" s="811" t="str">
        <f t="shared" si="106"/>
        <v/>
      </c>
      <c r="AO88" s="811" t="str">
        <f t="shared" si="107"/>
        <v/>
      </c>
      <c r="AP88" s="811" t="str">
        <f t="shared" si="108"/>
        <v/>
      </c>
      <c r="AQ88" s="811" t="str">
        <f t="shared" si="109"/>
        <v/>
      </c>
      <c r="AR88" s="811" t="str">
        <f t="shared" si="110"/>
        <v/>
      </c>
      <c r="AS88" s="811" t="str">
        <f t="shared" si="111"/>
        <v/>
      </c>
      <c r="AT88" s="811" t="str">
        <f t="shared" si="112"/>
        <v/>
      </c>
      <c r="AU88" s="811" t="str">
        <f t="shared" si="113"/>
        <v/>
      </c>
      <c r="AV88" s="811" t="str">
        <f t="shared" si="114"/>
        <v/>
      </c>
      <c r="AW88" s="815" t="str">
        <f t="shared" si="114"/>
        <v/>
      </c>
    </row>
    <row r="89" spans="1:49">
      <c r="A89" s="795" t="str">
        <f t="shared" si="91"/>
        <v>Ca 1,</v>
      </c>
      <c r="B89" s="315" t="s">
        <v>536</v>
      </c>
      <c r="C89" s="315" t="str">
        <f t="shared" si="115"/>
        <v>陽極處理槽  dương cực  H2SO4 (18)</v>
      </c>
      <c r="D89" s="315" t="str">
        <f t="shared" si="116"/>
        <v>DC-000A</v>
      </c>
      <c r="E89" s="315" t="str">
        <f t="shared" si="117"/>
        <v>g/L</v>
      </c>
      <c r="F89" s="315" t="str">
        <f t="shared" si="118"/>
        <v>120~150
(135±15)</v>
      </c>
      <c r="G89" s="784">
        <f t="shared" si="73"/>
        <v>125</v>
      </c>
      <c r="H89" s="784">
        <f t="shared" si="74"/>
        <v>8.64</v>
      </c>
      <c r="I89" s="789" t="str">
        <f t="shared" si="75"/>
        <v>kg</v>
      </c>
      <c r="J89" s="784">
        <f t="shared" si="76"/>
        <v>123.75</v>
      </c>
      <c r="K89" s="784">
        <f t="shared" si="77"/>
        <v>10.8</v>
      </c>
      <c r="L89" s="789" t="str">
        <f t="shared" si="78"/>
        <v>kg</v>
      </c>
      <c r="M89" s="784">
        <f t="shared" si="79"/>
        <v>0</v>
      </c>
      <c r="N89" s="784">
        <f t="shared" si="80"/>
        <v>0</v>
      </c>
      <c r="O89" s="789">
        <f t="shared" si="81"/>
        <v>0</v>
      </c>
      <c r="P89" s="784">
        <f t="shared" si="82"/>
        <v>0</v>
      </c>
      <c r="Q89" s="784">
        <f t="shared" si="83"/>
        <v>0</v>
      </c>
      <c r="R89" s="789">
        <f t="shared" si="84"/>
        <v>0</v>
      </c>
      <c r="S89" s="784">
        <f t="shared" si="85"/>
        <v>0</v>
      </c>
      <c r="T89" s="777">
        <f t="shared" si="86"/>
        <v>0</v>
      </c>
      <c r="U89" s="778">
        <f t="shared" si="87"/>
        <v>0</v>
      </c>
      <c r="V89" s="784">
        <f t="shared" si="88"/>
        <v>0</v>
      </c>
      <c r="W89" s="777">
        <f t="shared" si="89"/>
        <v>0</v>
      </c>
      <c r="X89" s="778">
        <f t="shared" si="90"/>
        <v>0</v>
      </c>
      <c r="Z89" s="316" t="b">
        <f t="shared" si="92"/>
        <v>1</v>
      </c>
      <c r="AA89" s="316" t="b">
        <f t="shared" si="93"/>
        <v>1</v>
      </c>
      <c r="AB89" s="316" t="b">
        <f t="shared" si="94"/>
        <v>1</v>
      </c>
      <c r="AC89" s="316" t="b">
        <f t="shared" si="95"/>
        <v>1</v>
      </c>
      <c r="AD89" s="316" t="b">
        <f t="shared" si="96"/>
        <v>1</v>
      </c>
      <c r="AE89" s="316" t="b">
        <f t="shared" si="97"/>
        <v>1</v>
      </c>
      <c r="AF89" s="316" t="b">
        <f t="shared" si="98"/>
        <v>1</v>
      </c>
      <c r="AG89" s="316" t="b">
        <f t="shared" si="99"/>
        <v>1</v>
      </c>
      <c r="AH89" s="316" t="b">
        <f t="shared" si="100"/>
        <v>1</v>
      </c>
      <c r="AI89" s="316" t="b">
        <f t="shared" si="101"/>
        <v>1</v>
      </c>
      <c r="AJ89" s="316" t="b">
        <f t="shared" si="102"/>
        <v>1</v>
      </c>
      <c r="AK89" s="316" t="b">
        <f t="shared" si="103"/>
        <v>1</v>
      </c>
      <c r="AL89" s="810" t="str">
        <f t="shared" si="104"/>
        <v/>
      </c>
      <c r="AM89" s="811" t="str">
        <f t="shared" si="105"/>
        <v/>
      </c>
      <c r="AN89" s="811" t="str">
        <f t="shared" si="106"/>
        <v/>
      </c>
      <c r="AO89" s="811" t="str">
        <f t="shared" si="107"/>
        <v/>
      </c>
      <c r="AP89" s="811" t="str">
        <f t="shared" si="108"/>
        <v/>
      </c>
      <c r="AQ89" s="811" t="str">
        <f t="shared" si="109"/>
        <v/>
      </c>
      <c r="AR89" s="811" t="str">
        <f t="shared" si="110"/>
        <v/>
      </c>
      <c r="AS89" s="811" t="str">
        <f t="shared" si="111"/>
        <v/>
      </c>
      <c r="AT89" s="811" t="str">
        <f t="shared" si="112"/>
        <v/>
      </c>
      <c r="AU89" s="811" t="str">
        <f t="shared" si="113"/>
        <v/>
      </c>
      <c r="AV89" s="811" t="str">
        <f t="shared" si="114"/>
        <v/>
      </c>
      <c r="AW89" s="815" t="str">
        <f t="shared" si="114"/>
        <v/>
      </c>
    </row>
    <row r="90" spans="1:49">
      <c r="A90" s="795" t="str">
        <f t="shared" si="91"/>
        <v>Ca 1,</v>
      </c>
      <c r="B90" s="315" t="s">
        <v>538</v>
      </c>
      <c r="C90" s="315" t="str">
        <f t="shared" si="115"/>
        <v>陽極處理槽 dương cực Al3+ (18)</v>
      </c>
      <c r="D90" s="315" t="str">
        <f t="shared" si="116"/>
        <v>DC-000A</v>
      </c>
      <c r="E90" s="315" t="str">
        <f t="shared" si="117"/>
        <v>g/L</v>
      </c>
      <c r="F90" s="315" t="str">
        <f t="shared" si="118"/>
        <v>1~5
(3±1.5)</v>
      </c>
      <c r="G90" s="784">
        <f t="shared" si="73"/>
        <v>1.1250000000000004</v>
      </c>
      <c r="H90" s="784">
        <f t="shared" si="74"/>
        <v>0</v>
      </c>
      <c r="I90" s="789" t="str">
        <f t="shared" si="75"/>
        <v>kg</v>
      </c>
      <c r="J90" s="784">
        <f t="shared" si="76"/>
        <v>1.3749999999999996</v>
      </c>
      <c r="K90" s="784">
        <f t="shared" si="77"/>
        <v>0</v>
      </c>
      <c r="L90" s="789" t="str">
        <f t="shared" si="78"/>
        <v>kg</v>
      </c>
      <c r="M90" s="784">
        <f t="shared" si="79"/>
        <v>0</v>
      </c>
      <c r="N90" s="784">
        <f t="shared" si="80"/>
        <v>0</v>
      </c>
      <c r="O90" s="789">
        <f t="shared" si="81"/>
        <v>0</v>
      </c>
      <c r="P90" s="784">
        <f t="shared" si="82"/>
        <v>0</v>
      </c>
      <c r="Q90" s="784">
        <f t="shared" si="83"/>
        <v>0</v>
      </c>
      <c r="R90" s="789">
        <f t="shared" si="84"/>
        <v>0</v>
      </c>
      <c r="S90" s="784">
        <f t="shared" si="85"/>
        <v>0</v>
      </c>
      <c r="T90" s="777">
        <f t="shared" si="86"/>
        <v>0</v>
      </c>
      <c r="U90" s="778">
        <f t="shared" si="87"/>
        <v>0</v>
      </c>
      <c r="V90" s="784">
        <f t="shared" si="88"/>
        <v>0</v>
      </c>
      <c r="W90" s="777">
        <f t="shared" si="89"/>
        <v>0</v>
      </c>
      <c r="X90" s="778">
        <f t="shared" si="90"/>
        <v>0</v>
      </c>
      <c r="Z90" s="316" t="b">
        <f t="shared" si="92"/>
        <v>1</v>
      </c>
      <c r="AA90" s="316" t="b">
        <f t="shared" si="93"/>
        <v>1</v>
      </c>
      <c r="AB90" s="316" t="b">
        <f t="shared" si="94"/>
        <v>1</v>
      </c>
      <c r="AC90" s="316" t="b">
        <f t="shared" si="95"/>
        <v>1</v>
      </c>
      <c r="AD90" s="316" t="b">
        <f t="shared" si="96"/>
        <v>1</v>
      </c>
      <c r="AE90" s="316" t="b">
        <f t="shared" si="97"/>
        <v>1</v>
      </c>
      <c r="AF90" s="316" t="b">
        <f t="shared" si="98"/>
        <v>1</v>
      </c>
      <c r="AG90" s="316" t="b">
        <f t="shared" si="99"/>
        <v>1</v>
      </c>
      <c r="AH90" s="316" t="b">
        <f t="shared" si="100"/>
        <v>1</v>
      </c>
      <c r="AI90" s="316" t="b">
        <f t="shared" si="101"/>
        <v>1</v>
      </c>
      <c r="AJ90" s="316" t="b">
        <f t="shared" si="102"/>
        <v>1</v>
      </c>
      <c r="AK90" s="316" t="b">
        <f t="shared" si="103"/>
        <v>1</v>
      </c>
      <c r="AL90" s="810" t="str">
        <f t="shared" si="104"/>
        <v/>
      </c>
      <c r="AM90" s="811" t="str">
        <f t="shared" si="105"/>
        <v/>
      </c>
      <c r="AN90" s="811" t="str">
        <f t="shared" si="106"/>
        <v/>
      </c>
      <c r="AO90" s="811" t="str">
        <f t="shared" si="107"/>
        <v/>
      </c>
      <c r="AP90" s="811" t="str">
        <f t="shared" si="108"/>
        <v/>
      </c>
      <c r="AQ90" s="811" t="str">
        <f t="shared" si="109"/>
        <v/>
      </c>
      <c r="AR90" s="811" t="str">
        <f t="shared" si="110"/>
        <v/>
      </c>
      <c r="AS90" s="811" t="str">
        <f t="shared" si="111"/>
        <v/>
      </c>
      <c r="AT90" s="811" t="str">
        <f t="shared" si="112"/>
        <v/>
      </c>
      <c r="AU90" s="811" t="str">
        <f t="shared" si="113"/>
        <v/>
      </c>
      <c r="AV90" s="811" t="str">
        <f t="shared" si="114"/>
        <v/>
      </c>
      <c r="AW90" s="815" t="str">
        <f t="shared" si="114"/>
        <v/>
      </c>
    </row>
    <row r="91" spans="1:49">
      <c r="A91" s="795" t="str">
        <f t="shared" si="91"/>
        <v>Ca 1,</v>
      </c>
      <c r="B91" s="315" t="s">
        <v>540</v>
      </c>
      <c r="C91" s="315" t="str">
        <f t="shared" si="115"/>
        <v>陽極處理槽  dương cực  H2SO4 (19)</v>
      </c>
      <c r="D91" s="315" t="str">
        <f t="shared" si="116"/>
        <v>DC-000A</v>
      </c>
      <c r="E91" s="315" t="str">
        <f t="shared" si="117"/>
        <v>g/L</v>
      </c>
      <c r="F91" s="315" t="str">
        <f t="shared" si="118"/>
        <v>120~150
(135±15)</v>
      </c>
      <c r="G91" s="784">
        <f t="shared" si="73"/>
        <v>126.25</v>
      </c>
      <c r="H91" s="784">
        <f t="shared" si="74"/>
        <v>6.48</v>
      </c>
      <c r="I91" s="789" t="str">
        <f t="shared" si="75"/>
        <v>kg</v>
      </c>
      <c r="J91" s="784">
        <f t="shared" si="76"/>
        <v>125</v>
      </c>
      <c r="K91" s="784">
        <f t="shared" si="77"/>
        <v>8.64</v>
      </c>
      <c r="L91" s="789" t="str">
        <f t="shared" si="78"/>
        <v>kg</v>
      </c>
      <c r="M91" s="784">
        <f t="shared" si="79"/>
        <v>0</v>
      </c>
      <c r="N91" s="784">
        <f t="shared" si="80"/>
        <v>0</v>
      </c>
      <c r="O91" s="789">
        <f t="shared" si="81"/>
        <v>0</v>
      </c>
      <c r="P91" s="784">
        <f t="shared" si="82"/>
        <v>0</v>
      </c>
      <c r="Q91" s="784">
        <f t="shared" si="83"/>
        <v>0</v>
      </c>
      <c r="R91" s="789">
        <f t="shared" si="84"/>
        <v>0</v>
      </c>
      <c r="S91" s="784">
        <f t="shared" si="85"/>
        <v>0</v>
      </c>
      <c r="T91" s="777">
        <f t="shared" si="86"/>
        <v>0</v>
      </c>
      <c r="U91" s="778">
        <f t="shared" si="87"/>
        <v>0</v>
      </c>
      <c r="V91" s="784">
        <f t="shared" si="88"/>
        <v>0</v>
      </c>
      <c r="W91" s="777">
        <f t="shared" si="89"/>
        <v>0</v>
      </c>
      <c r="X91" s="778">
        <f t="shared" si="90"/>
        <v>0</v>
      </c>
      <c r="Z91" s="316" t="b">
        <f t="shared" si="92"/>
        <v>1</v>
      </c>
      <c r="AA91" s="316" t="b">
        <f t="shared" si="93"/>
        <v>1</v>
      </c>
      <c r="AB91" s="316" t="b">
        <f t="shared" si="94"/>
        <v>1</v>
      </c>
      <c r="AC91" s="316" t="b">
        <f t="shared" si="95"/>
        <v>1</v>
      </c>
      <c r="AD91" s="316" t="b">
        <f t="shared" si="96"/>
        <v>1</v>
      </c>
      <c r="AE91" s="316" t="b">
        <f t="shared" si="97"/>
        <v>1</v>
      </c>
      <c r="AF91" s="316" t="b">
        <f t="shared" si="98"/>
        <v>1</v>
      </c>
      <c r="AG91" s="316" t="b">
        <f t="shared" si="99"/>
        <v>1</v>
      </c>
      <c r="AH91" s="316" t="b">
        <f t="shared" si="100"/>
        <v>1</v>
      </c>
      <c r="AI91" s="316" t="b">
        <f t="shared" si="101"/>
        <v>1</v>
      </c>
      <c r="AJ91" s="316" t="b">
        <f t="shared" si="102"/>
        <v>1</v>
      </c>
      <c r="AK91" s="316" t="b">
        <f t="shared" si="103"/>
        <v>1</v>
      </c>
      <c r="AL91" s="810" t="str">
        <f t="shared" si="104"/>
        <v/>
      </c>
      <c r="AM91" s="811" t="str">
        <f t="shared" si="105"/>
        <v/>
      </c>
      <c r="AN91" s="811" t="str">
        <f t="shared" si="106"/>
        <v/>
      </c>
      <c r="AO91" s="811" t="str">
        <f t="shared" si="107"/>
        <v/>
      </c>
      <c r="AP91" s="811" t="str">
        <f t="shared" si="108"/>
        <v/>
      </c>
      <c r="AQ91" s="811" t="str">
        <f t="shared" si="109"/>
        <v/>
      </c>
      <c r="AR91" s="811" t="str">
        <f t="shared" si="110"/>
        <v/>
      </c>
      <c r="AS91" s="811" t="str">
        <f t="shared" si="111"/>
        <v/>
      </c>
      <c r="AT91" s="811" t="str">
        <f t="shared" si="112"/>
        <v/>
      </c>
      <c r="AU91" s="811" t="str">
        <f t="shared" si="113"/>
        <v/>
      </c>
      <c r="AV91" s="811" t="str">
        <f t="shared" si="114"/>
        <v/>
      </c>
      <c r="AW91" s="815" t="str">
        <f t="shared" si="114"/>
        <v/>
      </c>
    </row>
    <row r="92" spans="1:49">
      <c r="A92" s="795" t="str">
        <f t="shared" si="91"/>
        <v>Ca 1,</v>
      </c>
      <c r="B92" s="315" t="s">
        <v>541</v>
      </c>
      <c r="C92" s="315" t="str">
        <f t="shared" si="115"/>
        <v>陽極處理槽 dương cực Al3+ (19)</v>
      </c>
      <c r="D92" s="315" t="str">
        <f t="shared" si="116"/>
        <v>DC-000A</v>
      </c>
      <c r="E92" s="315" t="str">
        <f t="shared" si="117"/>
        <v>g/L</v>
      </c>
      <c r="F92" s="315" t="str">
        <f t="shared" si="118"/>
        <v>1~5
(3±1.5)</v>
      </c>
      <c r="G92" s="784">
        <f t="shared" si="73"/>
        <v>1.25</v>
      </c>
      <c r="H92" s="784">
        <f t="shared" si="74"/>
        <v>0</v>
      </c>
      <c r="I92" s="789" t="str">
        <f t="shared" si="75"/>
        <v>kg</v>
      </c>
      <c r="J92" s="784">
        <f t="shared" si="76"/>
        <v>1.3749999999999996</v>
      </c>
      <c r="K92" s="784">
        <f t="shared" si="77"/>
        <v>0</v>
      </c>
      <c r="L92" s="789" t="str">
        <f t="shared" si="78"/>
        <v>kg</v>
      </c>
      <c r="M92" s="784">
        <f t="shared" si="79"/>
        <v>0</v>
      </c>
      <c r="N92" s="784">
        <f t="shared" si="80"/>
        <v>0</v>
      </c>
      <c r="O92" s="789">
        <f t="shared" si="81"/>
        <v>0</v>
      </c>
      <c r="P92" s="784">
        <f t="shared" si="82"/>
        <v>0</v>
      </c>
      <c r="Q92" s="784">
        <f t="shared" si="83"/>
        <v>0</v>
      </c>
      <c r="R92" s="789">
        <f t="shared" si="84"/>
        <v>0</v>
      </c>
      <c r="S92" s="784">
        <f t="shared" si="85"/>
        <v>0</v>
      </c>
      <c r="T92" s="777">
        <f t="shared" si="86"/>
        <v>0</v>
      </c>
      <c r="U92" s="778">
        <f t="shared" si="87"/>
        <v>0</v>
      </c>
      <c r="V92" s="784">
        <f t="shared" si="88"/>
        <v>0</v>
      </c>
      <c r="W92" s="777">
        <f t="shared" si="89"/>
        <v>0</v>
      </c>
      <c r="X92" s="778">
        <f t="shared" si="90"/>
        <v>0</v>
      </c>
      <c r="Z92" s="316" t="b">
        <f t="shared" si="92"/>
        <v>1</v>
      </c>
      <c r="AA92" s="316" t="b">
        <f t="shared" si="93"/>
        <v>1</v>
      </c>
      <c r="AB92" s="316" t="b">
        <f t="shared" si="94"/>
        <v>1</v>
      </c>
      <c r="AC92" s="316" t="b">
        <f t="shared" si="95"/>
        <v>1</v>
      </c>
      <c r="AD92" s="316" t="b">
        <f t="shared" si="96"/>
        <v>1</v>
      </c>
      <c r="AE92" s="316" t="b">
        <f t="shared" si="97"/>
        <v>1</v>
      </c>
      <c r="AF92" s="316" t="b">
        <f t="shared" si="98"/>
        <v>1</v>
      </c>
      <c r="AG92" s="316" t="b">
        <f t="shared" si="99"/>
        <v>1</v>
      </c>
      <c r="AH92" s="316" t="b">
        <f t="shared" si="100"/>
        <v>1</v>
      </c>
      <c r="AI92" s="316" t="b">
        <f t="shared" si="101"/>
        <v>1</v>
      </c>
      <c r="AJ92" s="316" t="b">
        <f t="shared" si="102"/>
        <v>1</v>
      </c>
      <c r="AK92" s="316" t="b">
        <f t="shared" si="103"/>
        <v>1</v>
      </c>
      <c r="AL92" s="810" t="str">
        <f t="shared" si="104"/>
        <v/>
      </c>
      <c r="AM92" s="811" t="str">
        <f t="shared" si="105"/>
        <v/>
      </c>
      <c r="AN92" s="811" t="str">
        <f t="shared" si="106"/>
        <v/>
      </c>
      <c r="AO92" s="811" t="str">
        <f t="shared" si="107"/>
        <v/>
      </c>
      <c r="AP92" s="811" t="str">
        <f t="shared" si="108"/>
        <v/>
      </c>
      <c r="AQ92" s="811" t="str">
        <f t="shared" si="109"/>
        <v/>
      </c>
      <c r="AR92" s="811" t="str">
        <f t="shared" si="110"/>
        <v/>
      </c>
      <c r="AS92" s="811" t="str">
        <f t="shared" si="111"/>
        <v/>
      </c>
      <c r="AT92" s="811" t="str">
        <f t="shared" si="112"/>
        <v/>
      </c>
      <c r="AU92" s="811" t="str">
        <f t="shared" si="113"/>
        <v/>
      </c>
      <c r="AV92" s="811" t="str">
        <f t="shared" si="114"/>
        <v/>
      </c>
      <c r="AW92" s="815" t="str">
        <f t="shared" si="114"/>
        <v/>
      </c>
    </row>
    <row r="93" spans="1:49">
      <c r="A93" s="795" t="str">
        <f t="shared" si="91"/>
        <v>Ca 1,</v>
      </c>
      <c r="B93" s="315" t="s">
        <v>542</v>
      </c>
      <c r="C93" s="315" t="str">
        <f t="shared" si="115"/>
        <v>陽極處理槽  dương cực  H2SO4 (20)</v>
      </c>
      <c r="D93" s="315" t="str">
        <f t="shared" si="116"/>
        <v>DC-000A</v>
      </c>
      <c r="E93" s="315" t="str">
        <f t="shared" si="117"/>
        <v>g/L</v>
      </c>
      <c r="F93" s="315" t="str">
        <f t="shared" si="118"/>
        <v>120~150
(135±15)</v>
      </c>
      <c r="G93" s="784">
        <f t="shared" si="73"/>
        <v>123.75</v>
      </c>
      <c r="H93" s="784">
        <f t="shared" si="74"/>
        <v>10.8</v>
      </c>
      <c r="I93" s="789" t="str">
        <f t="shared" si="75"/>
        <v>kg</v>
      </c>
      <c r="J93" s="784">
        <f t="shared" si="76"/>
        <v>123.75</v>
      </c>
      <c r="K93" s="784">
        <f t="shared" si="77"/>
        <v>10.8</v>
      </c>
      <c r="L93" s="789" t="str">
        <f t="shared" si="78"/>
        <v>kg</v>
      </c>
      <c r="M93" s="784">
        <f t="shared" si="79"/>
        <v>0</v>
      </c>
      <c r="N93" s="784">
        <f t="shared" si="80"/>
        <v>0</v>
      </c>
      <c r="O93" s="789">
        <f t="shared" si="81"/>
        <v>0</v>
      </c>
      <c r="P93" s="784">
        <f t="shared" si="82"/>
        <v>0</v>
      </c>
      <c r="Q93" s="784">
        <f t="shared" si="83"/>
        <v>0</v>
      </c>
      <c r="R93" s="789">
        <f t="shared" si="84"/>
        <v>0</v>
      </c>
      <c r="S93" s="784">
        <f t="shared" si="85"/>
        <v>0</v>
      </c>
      <c r="T93" s="777">
        <f t="shared" si="86"/>
        <v>0</v>
      </c>
      <c r="U93" s="778">
        <f t="shared" si="87"/>
        <v>0</v>
      </c>
      <c r="V93" s="784">
        <f t="shared" si="88"/>
        <v>0</v>
      </c>
      <c r="W93" s="777">
        <f t="shared" si="89"/>
        <v>0</v>
      </c>
      <c r="X93" s="778">
        <f t="shared" si="90"/>
        <v>0</v>
      </c>
      <c r="Z93" s="316" t="b">
        <f t="shared" si="92"/>
        <v>1</v>
      </c>
      <c r="AA93" s="316" t="b">
        <f t="shared" si="93"/>
        <v>1</v>
      </c>
      <c r="AB93" s="316" t="b">
        <f t="shared" si="94"/>
        <v>1</v>
      </c>
      <c r="AC93" s="316" t="b">
        <f t="shared" si="95"/>
        <v>1</v>
      </c>
      <c r="AD93" s="316" t="b">
        <f t="shared" si="96"/>
        <v>1</v>
      </c>
      <c r="AE93" s="316" t="b">
        <f t="shared" si="97"/>
        <v>1</v>
      </c>
      <c r="AF93" s="316" t="b">
        <f t="shared" si="98"/>
        <v>1</v>
      </c>
      <c r="AG93" s="316" t="b">
        <f t="shared" si="99"/>
        <v>1</v>
      </c>
      <c r="AH93" s="316" t="b">
        <f t="shared" si="100"/>
        <v>1</v>
      </c>
      <c r="AI93" s="316" t="b">
        <f t="shared" si="101"/>
        <v>1</v>
      </c>
      <c r="AJ93" s="316" t="b">
        <f t="shared" si="102"/>
        <v>1</v>
      </c>
      <c r="AK93" s="316" t="b">
        <f t="shared" si="103"/>
        <v>1</v>
      </c>
      <c r="AL93" s="810" t="str">
        <f t="shared" si="104"/>
        <v/>
      </c>
      <c r="AM93" s="811" t="str">
        <f t="shared" si="105"/>
        <v/>
      </c>
      <c r="AN93" s="811" t="str">
        <f t="shared" si="106"/>
        <v/>
      </c>
      <c r="AO93" s="811" t="str">
        <f t="shared" si="107"/>
        <v/>
      </c>
      <c r="AP93" s="811" t="str">
        <f t="shared" si="108"/>
        <v/>
      </c>
      <c r="AQ93" s="811" t="str">
        <f t="shared" si="109"/>
        <v/>
      </c>
      <c r="AR93" s="811" t="str">
        <f t="shared" si="110"/>
        <v/>
      </c>
      <c r="AS93" s="811" t="str">
        <f t="shared" si="111"/>
        <v/>
      </c>
      <c r="AT93" s="811" t="str">
        <f t="shared" si="112"/>
        <v/>
      </c>
      <c r="AU93" s="811" t="str">
        <f t="shared" si="113"/>
        <v/>
      </c>
      <c r="AV93" s="811" t="str">
        <f t="shared" si="114"/>
        <v/>
      </c>
      <c r="AW93" s="815" t="str">
        <f t="shared" si="114"/>
        <v/>
      </c>
    </row>
    <row r="94" spans="1:49">
      <c r="A94" s="795" t="str">
        <f t="shared" si="91"/>
        <v>Ca 1,</v>
      </c>
      <c r="B94" s="315" t="s">
        <v>543</v>
      </c>
      <c r="C94" s="315" t="str">
        <f t="shared" si="115"/>
        <v>陽極處理槽 dương cực Al3+ (20)</v>
      </c>
      <c r="D94" s="315" t="str">
        <f t="shared" si="116"/>
        <v>DC-000A</v>
      </c>
      <c r="E94" s="315" t="str">
        <f t="shared" si="117"/>
        <v>g/L</v>
      </c>
      <c r="F94" s="315" t="str">
        <f t="shared" si="118"/>
        <v>1~5
(3±1.5)</v>
      </c>
      <c r="G94" s="784">
        <f t="shared" si="73"/>
        <v>0.74999999999999956</v>
      </c>
      <c r="H94" s="784">
        <f t="shared" si="74"/>
        <v>0</v>
      </c>
      <c r="I94" s="789" t="str">
        <f t="shared" si="75"/>
        <v>kg</v>
      </c>
      <c r="J94" s="784">
        <f t="shared" si="76"/>
        <v>1.3749999999999996</v>
      </c>
      <c r="K94" s="784">
        <f t="shared" si="77"/>
        <v>0</v>
      </c>
      <c r="L94" s="789" t="str">
        <f t="shared" si="78"/>
        <v>kg</v>
      </c>
      <c r="M94" s="784">
        <f t="shared" si="79"/>
        <v>0</v>
      </c>
      <c r="N94" s="784">
        <f t="shared" si="80"/>
        <v>0</v>
      </c>
      <c r="O94" s="789">
        <f t="shared" si="81"/>
        <v>0</v>
      </c>
      <c r="P94" s="784">
        <f t="shared" si="82"/>
        <v>0</v>
      </c>
      <c r="Q94" s="784">
        <f t="shared" si="83"/>
        <v>0</v>
      </c>
      <c r="R94" s="789">
        <f t="shared" si="84"/>
        <v>0</v>
      </c>
      <c r="S94" s="784">
        <f t="shared" si="85"/>
        <v>0</v>
      </c>
      <c r="T94" s="777">
        <f t="shared" si="86"/>
        <v>0</v>
      </c>
      <c r="U94" s="778">
        <f t="shared" si="87"/>
        <v>0</v>
      </c>
      <c r="V94" s="784">
        <f t="shared" si="88"/>
        <v>0</v>
      </c>
      <c r="W94" s="777">
        <f t="shared" si="89"/>
        <v>0</v>
      </c>
      <c r="X94" s="778">
        <f t="shared" si="90"/>
        <v>0</v>
      </c>
      <c r="Z94" s="316" t="b">
        <f t="shared" si="92"/>
        <v>1</v>
      </c>
      <c r="AA94" s="316" t="b">
        <f t="shared" si="93"/>
        <v>1</v>
      </c>
      <c r="AB94" s="316" t="b">
        <f t="shared" si="94"/>
        <v>1</v>
      </c>
      <c r="AC94" s="316" t="b">
        <f t="shared" si="95"/>
        <v>1</v>
      </c>
      <c r="AD94" s="316" t="b">
        <f t="shared" si="96"/>
        <v>1</v>
      </c>
      <c r="AE94" s="316" t="b">
        <f t="shared" si="97"/>
        <v>1</v>
      </c>
      <c r="AF94" s="316" t="b">
        <f t="shared" si="98"/>
        <v>1</v>
      </c>
      <c r="AG94" s="316" t="b">
        <f t="shared" si="99"/>
        <v>1</v>
      </c>
      <c r="AH94" s="316" t="b">
        <f t="shared" si="100"/>
        <v>1</v>
      </c>
      <c r="AI94" s="316" t="b">
        <f t="shared" si="101"/>
        <v>1</v>
      </c>
      <c r="AJ94" s="316" t="b">
        <f t="shared" si="102"/>
        <v>1</v>
      </c>
      <c r="AK94" s="316" t="b">
        <f t="shared" si="103"/>
        <v>1</v>
      </c>
      <c r="AL94" s="810" t="str">
        <f t="shared" si="104"/>
        <v/>
      </c>
      <c r="AM94" s="811" t="str">
        <f t="shared" si="105"/>
        <v/>
      </c>
      <c r="AN94" s="811" t="str">
        <f t="shared" si="106"/>
        <v/>
      </c>
      <c r="AO94" s="811" t="str">
        <f t="shared" si="107"/>
        <v/>
      </c>
      <c r="AP94" s="811" t="str">
        <f t="shared" si="108"/>
        <v/>
      </c>
      <c r="AQ94" s="811" t="str">
        <f t="shared" si="109"/>
        <v/>
      </c>
      <c r="AR94" s="811" t="str">
        <f t="shared" si="110"/>
        <v/>
      </c>
      <c r="AS94" s="811" t="str">
        <f t="shared" si="111"/>
        <v/>
      </c>
      <c r="AT94" s="811" t="str">
        <f t="shared" si="112"/>
        <v/>
      </c>
      <c r="AU94" s="811" t="str">
        <f t="shared" si="113"/>
        <v/>
      </c>
      <c r="AV94" s="811" t="str">
        <f t="shared" si="114"/>
        <v/>
      </c>
      <c r="AW94" s="815" t="str">
        <f t="shared" si="114"/>
        <v/>
      </c>
    </row>
    <row r="95" spans="1:49">
      <c r="A95" s="795" t="str">
        <f t="shared" si="91"/>
        <v>Ca 1,</v>
      </c>
      <c r="B95" s="315" t="s">
        <v>544</v>
      </c>
      <c r="C95" s="315" t="str">
        <f t="shared" si="115"/>
        <v>封孔 Đóng lỗ  (HK-101A1)</v>
      </c>
      <c r="D95" s="315" t="str">
        <f t="shared" si="116"/>
        <v>DC-000A</v>
      </c>
      <c r="E95" s="315" t="str">
        <f t="shared" si="117"/>
        <v>g/L</v>
      </c>
      <c r="F95" s="315" t="str">
        <f t="shared" si="118"/>
        <v>8~12
(10±1)</v>
      </c>
      <c r="G95" s="784">
        <f t="shared" si="73"/>
        <v>11.232000000000001</v>
      </c>
      <c r="H95" s="784">
        <f t="shared" si="74"/>
        <v>0</v>
      </c>
      <c r="I95" s="789" t="str">
        <f t="shared" si="75"/>
        <v>kg</v>
      </c>
      <c r="J95" s="784">
        <f t="shared" si="76"/>
        <v>11.023999999999999</v>
      </c>
      <c r="K95" s="784">
        <f t="shared" si="77"/>
        <v>0</v>
      </c>
      <c r="L95" s="789" t="str">
        <f t="shared" si="78"/>
        <v>kg</v>
      </c>
      <c r="M95" s="784">
        <f t="shared" si="79"/>
        <v>0</v>
      </c>
      <c r="N95" s="784">
        <f t="shared" si="80"/>
        <v>0</v>
      </c>
      <c r="O95" s="789">
        <f t="shared" si="81"/>
        <v>0</v>
      </c>
      <c r="P95" s="784">
        <f t="shared" si="82"/>
        <v>0</v>
      </c>
      <c r="Q95" s="784">
        <f t="shared" si="83"/>
        <v>0</v>
      </c>
      <c r="R95" s="789">
        <f t="shared" si="84"/>
        <v>0</v>
      </c>
      <c r="S95" s="784">
        <f t="shared" si="85"/>
        <v>0</v>
      </c>
      <c r="T95" s="777">
        <f t="shared" si="86"/>
        <v>0</v>
      </c>
      <c r="U95" s="778">
        <f t="shared" si="87"/>
        <v>0</v>
      </c>
      <c r="V95" s="784">
        <f t="shared" si="88"/>
        <v>0</v>
      </c>
      <c r="W95" s="777">
        <f t="shared" si="89"/>
        <v>0</v>
      </c>
      <c r="X95" s="778">
        <f t="shared" si="90"/>
        <v>0</v>
      </c>
      <c r="Z95" s="316" t="b">
        <f t="shared" si="92"/>
        <v>1</v>
      </c>
      <c r="AA95" s="316" t="b">
        <f t="shared" si="93"/>
        <v>1</v>
      </c>
      <c r="AB95" s="316" t="b">
        <f t="shared" si="94"/>
        <v>1</v>
      </c>
      <c r="AC95" s="316" t="b">
        <f t="shared" si="95"/>
        <v>1</v>
      </c>
      <c r="AD95" s="316" t="b">
        <f t="shared" si="96"/>
        <v>1</v>
      </c>
      <c r="AE95" s="316" t="b">
        <f t="shared" si="97"/>
        <v>1</v>
      </c>
      <c r="AF95" s="316" t="b">
        <f t="shared" si="98"/>
        <v>1</v>
      </c>
      <c r="AG95" s="316" t="b">
        <f t="shared" si="99"/>
        <v>1</v>
      </c>
      <c r="AH95" s="316" t="b">
        <f t="shared" si="100"/>
        <v>1</v>
      </c>
      <c r="AI95" s="316" t="b">
        <f t="shared" si="101"/>
        <v>1</v>
      </c>
      <c r="AJ95" s="316" t="b">
        <f t="shared" si="102"/>
        <v>1</v>
      </c>
      <c r="AK95" s="316" t="b">
        <f t="shared" si="103"/>
        <v>1</v>
      </c>
      <c r="AL95" s="810" t="str">
        <f t="shared" si="104"/>
        <v/>
      </c>
      <c r="AM95" s="811" t="str">
        <f t="shared" si="105"/>
        <v/>
      </c>
      <c r="AN95" s="811" t="str">
        <f t="shared" si="106"/>
        <v/>
      </c>
      <c r="AO95" s="811" t="str">
        <f t="shared" si="107"/>
        <v/>
      </c>
      <c r="AP95" s="811" t="str">
        <f t="shared" si="108"/>
        <v/>
      </c>
      <c r="AQ95" s="811" t="str">
        <f t="shared" si="109"/>
        <v/>
      </c>
      <c r="AR95" s="811" t="str">
        <f t="shared" si="110"/>
        <v/>
      </c>
      <c r="AS95" s="811" t="str">
        <f t="shared" si="111"/>
        <v/>
      </c>
      <c r="AT95" s="811" t="str">
        <f t="shared" si="112"/>
        <v/>
      </c>
      <c r="AU95" s="811" t="str">
        <f t="shared" si="113"/>
        <v/>
      </c>
      <c r="AV95" s="811" t="str">
        <f t="shared" si="114"/>
        <v/>
      </c>
      <c r="AW95" s="815" t="str">
        <f t="shared" si="114"/>
        <v/>
      </c>
    </row>
    <row r="96" spans="1:49">
      <c r="A96" s="795" t="str">
        <f t="shared" si="91"/>
        <v>Ca 1,</v>
      </c>
      <c r="B96" s="315" t="s">
        <v>547</v>
      </c>
      <c r="C96" s="315" t="str">
        <f t="shared" si="115"/>
        <v>pH</v>
      </c>
      <c r="D96" s="315" t="str">
        <f t="shared" si="116"/>
        <v>DC-000A</v>
      </c>
      <c r="E96" s="315" t="str">
        <f t="shared" si="117"/>
        <v>pH</v>
      </c>
      <c r="F96" s="315" t="str">
        <f t="shared" si="118"/>
        <v>6~8
(7±0.5)</v>
      </c>
      <c r="G96" s="784">
        <f t="shared" si="73"/>
        <v>6.6</v>
      </c>
      <c r="H96" s="784">
        <f t="shared" si="74"/>
        <v>0</v>
      </c>
      <c r="I96" s="789">
        <f t="shared" si="75"/>
        <v>0</v>
      </c>
      <c r="J96" s="784">
        <f t="shared" si="76"/>
        <v>6.6</v>
      </c>
      <c r="K96" s="784">
        <f t="shared" si="77"/>
        <v>0</v>
      </c>
      <c r="L96" s="789">
        <f t="shared" si="78"/>
        <v>0</v>
      </c>
      <c r="M96" s="784">
        <f t="shared" si="79"/>
        <v>0</v>
      </c>
      <c r="N96" s="784">
        <f t="shared" si="80"/>
        <v>0</v>
      </c>
      <c r="O96" s="789">
        <f t="shared" si="81"/>
        <v>0</v>
      </c>
      <c r="P96" s="784">
        <f t="shared" si="82"/>
        <v>0</v>
      </c>
      <c r="Q96" s="784">
        <f t="shared" si="83"/>
        <v>0</v>
      </c>
      <c r="R96" s="789">
        <f t="shared" si="84"/>
        <v>0</v>
      </c>
      <c r="S96" s="784">
        <f t="shared" si="85"/>
        <v>0</v>
      </c>
      <c r="T96" s="777">
        <f t="shared" si="86"/>
        <v>0</v>
      </c>
      <c r="U96" s="778">
        <f t="shared" si="87"/>
        <v>0</v>
      </c>
      <c r="V96" s="784">
        <f t="shared" si="88"/>
        <v>0</v>
      </c>
      <c r="W96" s="777">
        <f t="shared" si="89"/>
        <v>0</v>
      </c>
      <c r="X96" s="778">
        <f t="shared" si="90"/>
        <v>0</v>
      </c>
      <c r="Z96" s="316" t="b">
        <f t="shared" si="92"/>
        <v>1</v>
      </c>
      <c r="AA96" s="316" t="b">
        <f t="shared" si="93"/>
        <v>1</v>
      </c>
      <c r="AB96" s="316" t="b">
        <f t="shared" si="94"/>
        <v>1</v>
      </c>
      <c r="AC96" s="316" t="b">
        <f t="shared" si="95"/>
        <v>1</v>
      </c>
      <c r="AD96" s="316" t="b">
        <f t="shared" si="96"/>
        <v>1</v>
      </c>
      <c r="AE96" s="316" t="b">
        <f t="shared" si="97"/>
        <v>1</v>
      </c>
      <c r="AF96" s="316" t="b">
        <f t="shared" si="98"/>
        <v>1</v>
      </c>
      <c r="AG96" s="316" t="b">
        <f t="shared" si="99"/>
        <v>1</v>
      </c>
      <c r="AH96" s="316" t="b">
        <f t="shared" si="100"/>
        <v>1</v>
      </c>
      <c r="AI96" s="316" t="b">
        <f t="shared" si="101"/>
        <v>1</v>
      </c>
      <c r="AJ96" s="316" t="b">
        <f t="shared" si="102"/>
        <v>1</v>
      </c>
      <c r="AK96" s="316" t="b">
        <f t="shared" si="103"/>
        <v>1</v>
      </c>
      <c r="AL96" s="810" t="str">
        <f t="shared" si="104"/>
        <v/>
      </c>
      <c r="AM96" s="811" t="str">
        <f t="shared" si="105"/>
        <v/>
      </c>
      <c r="AN96" s="811" t="str">
        <f t="shared" si="106"/>
        <v/>
      </c>
      <c r="AO96" s="811" t="str">
        <f t="shared" si="107"/>
        <v/>
      </c>
      <c r="AP96" s="811" t="str">
        <f t="shared" si="108"/>
        <v/>
      </c>
      <c r="AQ96" s="811" t="str">
        <f t="shared" si="109"/>
        <v/>
      </c>
      <c r="AR96" s="811" t="str">
        <f t="shared" si="110"/>
        <v/>
      </c>
      <c r="AS96" s="811" t="str">
        <f t="shared" si="111"/>
        <v/>
      </c>
      <c r="AT96" s="811" t="str">
        <f t="shared" si="112"/>
        <v/>
      </c>
      <c r="AU96" s="811" t="str">
        <f t="shared" si="113"/>
        <v/>
      </c>
      <c r="AV96" s="811" t="str">
        <f t="shared" si="114"/>
        <v/>
      </c>
      <c r="AW96" s="815" t="str">
        <f t="shared" si="114"/>
        <v/>
      </c>
    </row>
    <row r="97" spans="1:49">
      <c r="A97" s="795" t="str">
        <f t="shared" si="91"/>
        <v>Ca 1,</v>
      </c>
      <c r="B97" s="315" t="s">
        <v>549</v>
      </c>
      <c r="C97" s="315" t="str">
        <f t="shared" si="115"/>
        <v xml:space="preserve"> 染色Màu - Black-05</v>
      </c>
      <c r="D97" s="315" t="str">
        <f t="shared" si="116"/>
        <v>DC-000A</v>
      </c>
      <c r="E97" s="315" t="str">
        <f t="shared" si="117"/>
        <v>pH</v>
      </c>
      <c r="F97" s="315" t="str">
        <f t="shared" si="118"/>
        <v>5.5~6.0</v>
      </c>
      <c r="G97" s="784">
        <f t="shared" si="73"/>
        <v>0</v>
      </c>
      <c r="H97" s="784">
        <f t="shared" si="74"/>
        <v>0</v>
      </c>
      <c r="I97" s="789">
        <f t="shared" si="75"/>
        <v>0</v>
      </c>
      <c r="J97" s="784">
        <f t="shared" si="76"/>
        <v>0</v>
      </c>
      <c r="K97" s="784">
        <f t="shared" si="77"/>
        <v>0</v>
      </c>
      <c r="L97" s="789">
        <f t="shared" si="78"/>
        <v>0</v>
      </c>
      <c r="M97" s="784">
        <f t="shared" si="79"/>
        <v>0</v>
      </c>
      <c r="N97" s="784">
        <f t="shared" si="80"/>
        <v>0</v>
      </c>
      <c r="O97" s="789">
        <f t="shared" si="81"/>
        <v>0</v>
      </c>
      <c r="P97" s="784">
        <f t="shared" si="82"/>
        <v>0</v>
      </c>
      <c r="Q97" s="784">
        <f t="shared" si="83"/>
        <v>0</v>
      </c>
      <c r="R97" s="789">
        <f t="shared" si="84"/>
        <v>0</v>
      </c>
      <c r="S97" s="784">
        <f t="shared" si="85"/>
        <v>0</v>
      </c>
      <c r="T97" s="777">
        <f t="shared" si="86"/>
        <v>0</v>
      </c>
      <c r="U97" s="778">
        <f t="shared" si="87"/>
        <v>0</v>
      </c>
      <c r="V97" s="784">
        <f t="shared" si="88"/>
        <v>0</v>
      </c>
      <c r="W97" s="777">
        <f t="shared" si="89"/>
        <v>0</v>
      </c>
      <c r="X97" s="778">
        <f t="shared" si="90"/>
        <v>0</v>
      </c>
      <c r="Z97" s="316" t="b">
        <f t="shared" si="92"/>
        <v>1</v>
      </c>
      <c r="AA97" s="316" t="b">
        <f t="shared" si="93"/>
        <v>1</v>
      </c>
      <c r="AB97" s="316" t="b">
        <f t="shared" si="94"/>
        <v>1</v>
      </c>
      <c r="AC97" s="316" t="b">
        <f t="shared" si="95"/>
        <v>1</v>
      </c>
      <c r="AD97" s="316" t="b">
        <f t="shared" si="96"/>
        <v>1</v>
      </c>
      <c r="AE97" s="316" t="b">
        <f t="shared" si="97"/>
        <v>1</v>
      </c>
      <c r="AF97" s="316" t="b">
        <f t="shared" si="98"/>
        <v>1</v>
      </c>
      <c r="AG97" s="316" t="b">
        <f t="shared" si="99"/>
        <v>1</v>
      </c>
      <c r="AH97" s="316" t="b">
        <f t="shared" si="100"/>
        <v>1</v>
      </c>
      <c r="AI97" s="316" t="b">
        <f t="shared" si="101"/>
        <v>1</v>
      </c>
      <c r="AJ97" s="316" t="b">
        <f t="shared" si="102"/>
        <v>1</v>
      </c>
      <c r="AK97" s="316" t="b">
        <f t="shared" si="103"/>
        <v>1</v>
      </c>
      <c r="AL97" s="810" t="str">
        <f t="shared" si="104"/>
        <v/>
      </c>
      <c r="AM97" s="811" t="str">
        <f t="shared" si="105"/>
        <v/>
      </c>
      <c r="AN97" s="811" t="str">
        <f t="shared" si="106"/>
        <v/>
      </c>
      <c r="AO97" s="811" t="str">
        <f t="shared" si="107"/>
        <v/>
      </c>
      <c r="AP97" s="811" t="str">
        <f t="shared" si="108"/>
        <v/>
      </c>
      <c r="AQ97" s="811" t="str">
        <f t="shared" si="109"/>
        <v/>
      </c>
      <c r="AR97" s="811" t="str">
        <f t="shared" si="110"/>
        <v/>
      </c>
      <c r="AS97" s="811" t="str">
        <f t="shared" si="111"/>
        <v/>
      </c>
      <c r="AT97" s="811" t="str">
        <f t="shared" si="112"/>
        <v/>
      </c>
      <c r="AU97" s="811" t="str">
        <f t="shared" si="113"/>
        <v/>
      </c>
      <c r="AV97" s="811" t="str">
        <f t="shared" si="114"/>
        <v/>
      </c>
      <c r="AW97" s="815" t="str">
        <f t="shared" si="114"/>
        <v/>
      </c>
    </row>
    <row r="98" spans="1:49">
      <c r="A98" s="795" t="str">
        <f t="shared" si="91"/>
        <v>Ca 1,</v>
      </c>
      <c r="B98" s="315" t="s">
        <v>551</v>
      </c>
      <c r="C98" s="315" t="str">
        <f t="shared" si="115"/>
        <v xml:space="preserve"> 染色Màu- Gey-07</v>
      </c>
      <c r="D98" s="315" t="str">
        <f t="shared" si="116"/>
        <v>DC-000A</v>
      </c>
      <c r="E98" s="315" t="str">
        <f t="shared" si="117"/>
        <v>pH</v>
      </c>
      <c r="F98" s="315" t="str">
        <f t="shared" si="118"/>
        <v>5.5~6.0</v>
      </c>
      <c r="G98" s="784">
        <f t="shared" si="73"/>
        <v>0</v>
      </c>
      <c r="H98" s="784">
        <f t="shared" si="74"/>
        <v>0</v>
      </c>
      <c r="I98" s="789">
        <f t="shared" si="75"/>
        <v>0</v>
      </c>
      <c r="J98" s="784">
        <f t="shared" si="76"/>
        <v>0</v>
      </c>
      <c r="K98" s="784">
        <f t="shared" si="77"/>
        <v>0</v>
      </c>
      <c r="L98" s="789">
        <f t="shared" si="78"/>
        <v>0</v>
      </c>
      <c r="M98" s="784">
        <f t="shared" si="79"/>
        <v>0</v>
      </c>
      <c r="N98" s="784">
        <f t="shared" si="80"/>
        <v>0</v>
      </c>
      <c r="O98" s="789">
        <f t="shared" si="81"/>
        <v>0</v>
      </c>
      <c r="P98" s="784">
        <f t="shared" si="82"/>
        <v>0</v>
      </c>
      <c r="Q98" s="784">
        <f t="shared" si="83"/>
        <v>0</v>
      </c>
      <c r="R98" s="789">
        <f t="shared" si="84"/>
        <v>0</v>
      </c>
      <c r="S98" s="784">
        <f t="shared" si="85"/>
        <v>0</v>
      </c>
      <c r="T98" s="777">
        <f t="shared" si="86"/>
        <v>0</v>
      </c>
      <c r="U98" s="778">
        <f t="shared" si="87"/>
        <v>0</v>
      </c>
      <c r="V98" s="784">
        <f t="shared" si="88"/>
        <v>0</v>
      </c>
      <c r="W98" s="777">
        <f t="shared" si="89"/>
        <v>0</v>
      </c>
      <c r="X98" s="778">
        <f t="shared" si="90"/>
        <v>0</v>
      </c>
      <c r="Z98" s="316" t="b">
        <f t="shared" si="92"/>
        <v>1</v>
      </c>
      <c r="AA98" s="316" t="b">
        <f t="shared" si="93"/>
        <v>1</v>
      </c>
      <c r="AB98" s="316" t="b">
        <f t="shared" si="94"/>
        <v>1</v>
      </c>
      <c r="AC98" s="316" t="b">
        <f t="shared" si="95"/>
        <v>1</v>
      </c>
      <c r="AD98" s="316" t="b">
        <f t="shared" si="96"/>
        <v>1</v>
      </c>
      <c r="AE98" s="316" t="b">
        <f t="shared" si="97"/>
        <v>1</v>
      </c>
      <c r="AF98" s="316" t="b">
        <f t="shared" si="98"/>
        <v>1</v>
      </c>
      <c r="AG98" s="316" t="b">
        <f t="shared" si="99"/>
        <v>1</v>
      </c>
      <c r="AH98" s="316" t="b">
        <f t="shared" si="100"/>
        <v>1</v>
      </c>
      <c r="AI98" s="316" t="b">
        <f t="shared" si="101"/>
        <v>1</v>
      </c>
      <c r="AJ98" s="316" t="b">
        <f t="shared" si="102"/>
        <v>1</v>
      </c>
      <c r="AK98" s="316" t="b">
        <f t="shared" si="103"/>
        <v>1</v>
      </c>
      <c r="AL98" s="810" t="str">
        <f t="shared" si="104"/>
        <v/>
      </c>
      <c r="AM98" s="811" t="str">
        <f t="shared" si="105"/>
        <v/>
      </c>
      <c r="AN98" s="811" t="str">
        <f t="shared" si="106"/>
        <v/>
      </c>
      <c r="AO98" s="811" t="str">
        <f t="shared" si="107"/>
        <v/>
      </c>
      <c r="AP98" s="811" t="str">
        <f t="shared" si="108"/>
        <v/>
      </c>
      <c r="AQ98" s="811" t="str">
        <f t="shared" si="109"/>
        <v/>
      </c>
      <c r="AR98" s="811" t="str">
        <f t="shared" si="110"/>
        <v/>
      </c>
      <c r="AS98" s="811" t="str">
        <f t="shared" si="111"/>
        <v/>
      </c>
      <c r="AT98" s="811" t="str">
        <f t="shared" si="112"/>
        <v/>
      </c>
      <c r="AU98" s="811" t="str">
        <f t="shared" si="113"/>
        <v/>
      </c>
      <c r="AV98" s="811" t="str">
        <f t="shared" si="114"/>
        <v/>
      </c>
      <c r="AW98" s="815" t="str">
        <f t="shared" si="114"/>
        <v/>
      </c>
    </row>
    <row r="99" spans="1:49">
      <c r="A99" s="795" t="str">
        <f t="shared" si="91"/>
        <v>Ca 1,</v>
      </c>
      <c r="B99" s="315" t="s">
        <v>553</v>
      </c>
      <c r="C99" s="315" t="str">
        <f t="shared" si="115"/>
        <v xml:space="preserve"> 染色Màu- Black-08</v>
      </c>
      <c r="D99" s="315" t="str">
        <f t="shared" si="116"/>
        <v>DC-000A</v>
      </c>
      <c r="E99" s="315" t="str">
        <f t="shared" si="117"/>
        <v>pH</v>
      </c>
      <c r="F99" s="315" t="str">
        <f t="shared" si="118"/>
        <v>5.5~6.0</v>
      </c>
      <c r="G99" s="784">
        <f t="shared" si="73"/>
        <v>5.8</v>
      </c>
      <c r="H99" s="784">
        <f t="shared" si="74"/>
        <v>0</v>
      </c>
      <c r="I99" s="789">
        <f t="shared" si="75"/>
        <v>0</v>
      </c>
      <c r="J99" s="784">
        <f t="shared" si="76"/>
        <v>5.7</v>
      </c>
      <c r="K99" s="784">
        <f t="shared" si="77"/>
        <v>0</v>
      </c>
      <c r="L99" s="789">
        <f t="shared" si="78"/>
        <v>0</v>
      </c>
      <c r="M99" s="784">
        <f t="shared" si="79"/>
        <v>0</v>
      </c>
      <c r="N99" s="784">
        <f t="shared" si="80"/>
        <v>0</v>
      </c>
      <c r="O99" s="789">
        <f t="shared" si="81"/>
        <v>0</v>
      </c>
      <c r="P99" s="784">
        <f t="shared" si="82"/>
        <v>0</v>
      </c>
      <c r="Q99" s="784">
        <f t="shared" si="83"/>
        <v>0</v>
      </c>
      <c r="R99" s="789">
        <f t="shared" si="84"/>
        <v>0</v>
      </c>
      <c r="S99" s="784">
        <f t="shared" si="85"/>
        <v>0</v>
      </c>
      <c r="T99" s="777">
        <f t="shared" si="86"/>
        <v>0</v>
      </c>
      <c r="U99" s="778">
        <f t="shared" si="87"/>
        <v>0</v>
      </c>
      <c r="V99" s="784">
        <f t="shared" si="88"/>
        <v>0</v>
      </c>
      <c r="W99" s="777">
        <f t="shared" si="89"/>
        <v>0</v>
      </c>
      <c r="X99" s="778">
        <f t="shared" si="90"/>
        <v>0</v>
      </c>
      <c r="Z99" s="316" t="b">
        <f t="shared" si="92"/>
        <v>1</v>
      </c>
      <c r="AA99" s="316" t="b">
        <f t="shared" si="93"/>
        <v>1</v>
      </c>
      <c r="AB99" s="316" t="b">
        <f t="shared" si="94"/>
        <v>1</v>
      </c>
      <c r="AC99" s="316" t="b">
        <f t="shared" si="95"/>
        <v>1</v>
      </c>
      <c r="AD99" s="316" t="b">
        <f t="shared" si="96"/>
        <v>1</v>
      </c>
      <c r="AE99" s="316" t="b">
        <f t="shared" si="97"/>
        <v>1</v>
      </c>
      <c r="AF99" s="316" t="b">
        <f t="shared" si="98"/>
        <v>1</v>
      </c>
      <c r="AG99" s="316" t="b">
        <f t="shared" si="99"/>
        <v>1</v>
      </c>
      <c r="AH99" s="316" t="b">
        <f t="shared" si="100"/>
        <v>1</v>
      </c>
      <c r="AI99" s="316" t="b">
        <f t="shared" si="101"/>
        <v>1</v>
      </c>
      <c r="AJ99" s="316" t="b">
        <f t="shared" si="102"/>
        <v>1</v>
      </c>
      <c r="AK99" s="316" t="b">
        <f t="shared" si="103"/>
        <v>1</v>
      </c>
      <c r="AL99" s="812" t="str">
        <f t="shared" si="104"/>
        <v/>
      </c>
      <c r="AM99" s="813" t="str">
        <f t="shared" si="105"/>
        <v/>
      </c>
      <c r="AN99" s="813" t="str">
        <f t="shared" si="106"/>
        <v/>
      </c>
      <c r="AO99" s="813" t="str">
        <f t="shared" si="107"/>
        <v/>
      </c>
      <c r="AP99" s="813" t="str">
        <f t="shared" si="108"/>
        <v/>
      </c>
      <c r="AQ99" s="813" t="str">
        <f t="shared" si="109"/>
        <v/>
      </c>
      <c r="AR99" s="813" t="str">
        <f t="shared" si="110"/>
        <v/>
      </c>
      <c r="AS99" s="813" t="str">
        <f t="shared" si="111"/>
        <v/>
      </c>
      <c r="AT99" s="813" t="str">
        <f t="shared" si="112"/>
        <v/>
      </c>
      <c r="AU99" s="813" t="str">
        <f t="shared" si="113"/>
        <v/>
      </c>
      <c r="AV99" s="813" t="str">
        <f t="shared" si="114"/>
        <v/>
      </c>
      <c r="AW99" s="816" t="str">
        <f t="shared" si="114"/>
        <v/>
      </c>
    </row>
  </sheetData>
  <phoneticPr fontId="7" type="noConversion"/>
  <pageMargins left="0.7" right="0.7" top="0.75" bottom="0.75" header="0.3" footer="0.3"/>
  <pageSetup paperSize="9" orientation="portrait" verticalDpi="0" r:id="rId1"/>
  <drawing r:id="rId2"/>
</worksheet>
</file>

<file path=xl/worksheets/sheet49.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12" customWidth="1"/>
    <col min="2" max="2" width="13" style="312" customWidth="1"/>
    <col min="3" max="3" width="37" style="312" customWidth="1"/>
    <col min="4" max="5" width="12.625" style="312" customWidth="1"/>
    <col min="6" max="6" width="19.125" style="312" customWidth="1"/>
    <col min="7" max="7" width="12.5" style="313" bestFit="1" customWidth="1"/>
    <col min="8" max="8" width="12.5" style="313" customWidth="1"/>
    <col min="9" max="9" width="13.375" style="313" bestFit="1" customWidth="1"/>
    <col min="10" max="10" width="13.375" style="313" customWidth="1"/>
    <col min="11" max="11" width="13.375" style="313" bestFit="1" customWidth="1"/>
    <col min="12" max="12" width="13.375" style="313" customWidth="1"/>
    <col min="13" max="13" width="15.125" style="313" customWidth="1"/>
    <col min="14" max="14" width="11.75" style="313" customWidth="1"/>
    <col min="15" max="15" width="10.125" style="313" bestFit="1" customWidth="1"/>
    <col min="16" max="16" width="10.125" style="313" customWidth="1"/>
    <col min="17" max="17" width="10.125" style="313" bestFit="1" customWidth="1"/>
    <col min="18" max="18" width="10.125" style="313" customWidth="1"/>
    <col min="19" max="19" width="9" style="309"/>
    <col min="20" max="31" width="0" style="785" hidden="1" customWidth="1"/>
    <col min="32" max="16384" width="9" style="309"/>
  </cols>
  <sheetData>
    <row r="1" spans="1:43" ht="71.45" customHeight="1">
      <c r="A1" s="775" t="s">
        <v>807</v>
      </c>
      <c r="B1" s="768"/>
      <c r="C1" s="768"/>
      <c r="D1" s="768"/>
      <c r="E1" s="768"/>
      <c r="F1" s="768"/>
      <c r="G1" s="768"/>
      <c r="H1" s="768"/>
      <c r="I1" s="768"/>
      <c r="J1" s="768"/>
      <c r="K1" s="768"/>
      <c r="L1" s="768"/>
      <c r="M1" s="768"/>
      <c r="N1" s="768"/>
      <c r="O1" s="768"/>
      <c r="P1" s="768"/>
      <c r="Q1" s="768"/>
      <c r="R1" s="769"/>
    </row>
    <row r="2" spans="1:43" s="772" customFormat="1">
      <c r="A2" s="771" t="s">
        <v>790</v>
      </c>
      <c r="B2" s="771" t="s">
        <v>791</v>
      </c>
      <c r="C2" s="771" t="s">
        <v>321</v>
      </c>
      <c r="D2" s="771" t="s">
        <v>322</v>
      </c>
      <c r="E2" s="771" t="s">
        <v>323</v>
      </c>
      <c r="F2" s="771" t="s">
        <v>324</v>
      </c>
      <c r="G2" s="771" t="s">
        <v>792</v>
      </c>
      <c r="H2" s="771" t="s">
        <v>793</v>
      </c>
      <c r="I2" s="771" t="s">
        <v>794</v>
      </c>
      <c r="J2" s="771" t="s">
        <v>795</v>
      </c>
      <c r="K2" s="771" t="s">
        <v>796</v>
      </c>
      <c r="L2" s="771" t="s">
        <v>797</v>
      </c>
      <c r="M2" s="771" t="s">
        <v>798</v>
      </c>
      <c r="N2" s="771" t="s">
        <v>799</v>
      </c>
      <c r="O2" s="771" t="s">
        <v>800</v>
      </c>
      <c r="P2" s="771" t="s">
        <v>801</v>
      </c>
      <c r="Q2" s="771" t="s">
        <v>802</v>
      </c>
      <c r="R2" s="771" t="s">
        <v>803</v>
      </c>
      <c r="T2" s="781">
        <v>1</v>
      </c>
      <c r="U2" s="781" t="s">
        <v>831</v>
      </c>
      <c r="V2" s="781">
        <v>2</v>
      </c>
      <c r="W2" s="781" t="s">
        <v>831</v>
      </c>
      <c r="X2" s="781">
        <v>3</v>
      </c>
      <c r="Y2" s="781" t="s">
        <v>831</v>
      </c>
      <c r="Z2" s="781">
        <v>4</v>
      </c>
      <c r="AA2" s="781" t="s">
        <v>831</v>
      </c>
      <c r="AB2" s="781">
        <v>5</v>
      </c>
      <c r="AC2" s="781" t="s">
        <v>831</v>
      </c>
      <c r="AD2" s="781">
        <v>6</v>
      </c>
      <c r="AE2" s="781" t="s">
        <v>831</v>
      </c>
      <c r="AF2" s="798">
        <v>1</v>
      </c>
      <c r="AG2" s="798" t="s">
        <v>831</v>
      </c>
      <c r="AH2" s="798">
        <v>2</v>
      </c>
      <c r="AI2" s="798" t="s">
        <v>831</v>
      </c>
      <c r="AJ2" s="798">
        <v>3</v>
      </c>
      <c r="AK2" s="798" t="s">
        <v>831</v>
      </c>
      <c r="AL2" s="798">
        <v>4</v>
      </c>
      <c r="AM2" s="798" t="s">
        <v>831</v>
      </c>
      <c r="AN2" s="798">
        <v>5</v>
      </c>
      <c r="AO2" s="798" t="s">
        <v>831</v>
      </c>
      <c r="AP2" s="798">
        <v>6</v>
      </c>
      <c r="AQ2" s="798" t="s">
        <v>831</v>
      </c>
    </row>
    <row r="3" spans="1:43" s="772" customFormat="1">
      <c r="A3" s="771" t="s">
        <v>790</v>
      </c>
      <c r="B3" s="773" t="s">
        <v>344</v>
      </c>
      <c r="C3" s="773" t="s">
        <v>804</v>
      </c>
      <c r="D3" s="773" t="s">
        <v>346</v>
      </c>
      <c r="E3" s="774" t="s">
        <v>347</v>
      </c>
      <c r="F3" s="774" t="s">
        <v>348</v>
      </c>
      <c r="G3" s="773" t="s">
        <v>805</v>
      </c>
      <c r="H3" s="773" t="s">
        <v>806</v>
      </c>
      <c r="I3" s="773" t="s">
        <v>805</v>
      </c>
      <c r="J3" s="773" t="s">
        <v>806</v>
      </c>
      <c r="K3" s="773" t="s">
        <v>805</v>
      </c>
      <c r="L3" s="773" t="s">
        <v>806</v>
      </c>
      <c r="M3" s="773" t="s">
        <v>805</v>
      </c>
      <c r="N3" s="773" t="s">
        <v>806</v>
      </c>
      <c r="O3" s="773" t="s">
        <v>805</v>
      </c>
      <c r="P3" s="773" t="s">
        <v>806</v>
      </c>
      <c r="Q3" s="773" t="s">
        <v>805</v>
      </c>
      <c r="R3" s="773" t="s">
        <v>806</v>
      </c>
      <c r="T3" s="314"/>
      <c r="U3" s="314"/>
      <c r="V3" s="314"/>
      <c r="W3" s="314"/>
      <c r="X3" s="314"/>
      <c r="Y3" s="314"/>
      <c r="Z3" s="314"/>
      <c r="AA3" s="314"/>
      <c r="AB3" s="314"/>
      <c r="AC3" s="314"/>
      <c r="AD3" s="314"/>
      <c r="AE3" s="314"/>
    </row>
    <row r="4" spans="1:43" s="316" customFormat="1">
      <c r="A4" s="795" t="str">
        <f>'IT.NONG DO'!A4</f>
        <v>Ca 1,</v>
      </c>
      <c r="B4" s="315" t="s">
        <v>253</v>
      </c>
      <c r="C4" s="315" t="str">
        <f t="shared" ref="C4:C27" si="0">IFERROR(VLOOKUP($B4,_XM_XT_THUCTE,3,0),"")</f>
        <v>Nhiệt  độ xà bông nóng (1)
 熱脫脂溫度(1)</v>
      </c>
      <c r="D4" s="315" t="str">
        <f t="shared" ref="D4:D27" si="1">IFERROR(VLOOKUP($B4,_XM_XT_THUCTE,2,0),"")</f>
        <v>XL-001E</v>
      </c>
      <c r="E4" s="315" t="str">
        <f t="shared" ref="E4:E27" si="2">IFERROR(VLOOKUP($B4,_XM_XT_THUCTE,4,0),"")</f>
        <v>0C</v>
      </c>
      <c r="F4" s="315" t="str">
        <f t="shared" ref="F4:F27" si="3">IFERROR(VLOOKUP($B4,_XM_XT_THUCTE,5,0),"")</f>
        <v>50~70</v>
      </c>
      <c r="G4" s="778">
        <f>IFERROR(VLOOKUP($B4,_XM_XT_THUCTE,8,0),"")</f>
        <v>0</v>
      </c>
      <c r="H4" s="778">
        <f t="shared" ref="H4:H27" si="4">IFERROR(VLOOKUP($B4,_XM_XT_THUCTE,11,0),"")</f>
        <v>0</v>
      </c>
      <c r="I4" s="778">
        <f t="shared" ref="I4:I27" si="5">IFERROR(VLOOKUP($B4,_XM_XT_THUCTE,14,0),"")</f>
        <v>0</v>
      </c>
      <c r="J4" s="778">
        <f t="shared" ref="J4:J27" si="6">IFERROR(VLOOKUP($B4,_XM_XT_THUCTE,17,0),"")</f>
        <v>0</v>
      </c>
      <c r="K4" s="778">
        <f t="shared" ref="K4:K27" si="7">IFERROR(VLOOKUP($B4,_XM_XT_THUCTE,20,0),"")</f>
        <v>0</v>
      </c>
      <c r="L4" s="778">
        <f t="shared" ref="L4:L27" si="8">IFERROR(VLOOKUP($B4,_XM_XT_THUCTE,23,0),"")</f>
        <v>0</v>
      </c>
      <c r="M4" s="778">
        <f t="shared" ref="M4:M27" si="9">IFERROR(VLOOKUP($B4,_XM_XT_THUCTE,26,0),"")</f>
        <v>0</v>
      </c>
      <c r="N4" s="778">
        <f t="shared" ref="N4:N27" si="10">IFERROR(VLOOKUP($B4,_XM_XT_THUCTE,29,0),"")</f>
        <v>0</v>
      </c>
      <c r="O4" s="778">
        <f t="shared" ref="O4:O27" si="11">IFERROR(VLOOKUP($B4,_XM_XT_THUCTE,32,0),"")</f>
        <v>0</v>
      </c>
      <c r="P4" s="778">
        <f t="shared" ref="P4:P27" si="12">IFERROR(VLOOKUP($B4,_XM_XT_THUCTE,35,0),"")</f>
        <v>0</v>
      </c>
      <c r="Q4" s="778">
        <f t="shared" ref="Q4:Q27" si="13">IFERROR(VLOOKUP($B4,_XM_XT_THUCTE,38,0),"")</f>
        <v>0</v>
      </c>
      <c r="R4" s="778">
        <f t="shared" ref="R4:R27" si="14">IFERROR(VLOOKUP($B4,_XM_XT_THUCTE,41,0),"")</f>
        <v>0</v>
      </c>
      <c r="T4" s="785" t="b">
        <f>ISNUMBER(G4)</f>
        <v>1</v>
      </c>
      <c r="U4" s="785" t="b">
        <f t="shared" ref="U4:AE19" si="15">ISNUMBER(H4)</f>
        <v>1</v>
      </c>
      <c r="V4" s="785" t="b">
        <f t="shared" si="15"/>
        <v>1</v>
      </c>
      <c r="W4" s="785" t="b">
        <f t="shared" si="15"/>
        <v>1</v>
      </c>
      <c r="X4" s="785" t="b">
        <f t="shared" si="15"/>
        <v>1</v>
      </c>
      <c r="Y4" s="785" t="b">
        <f t="shared" si="15"/>
        <v>1</v>
      </c>
      <c r="Z4" s="785" t="b">
        <f t="shared" si="15"/>
        <v>1</v>
      </c>
      <c r="AA4" s="785" t="b">
        <f t="shared" si="15"/>
        <v>1</v>
      </c>
      <c r="AB4" s="785" t="b">
        <f t="shared" si="15"/>
        <v>1</v>
      </c>
      <c r="AC4" s="785" t="b">
        <f t="shared" si="15"/>
        <v>1</v>
      </c>
      <c r="AD4" s="785" t="b">
        <f t="shared" si="15"/>
        <v>1</v>
      </c>
      <c r="AE4" s="785" t="b">
        <f t="shared" si="15"/>
        <v>1</v>
      </c>
      <c r="AF4" s="799" t="str">
        <f>IF(T4=TRUE,"",1)</f>
        <v/>
      </c>
      <c r="AG4" s="800" t="str">
        <f t="shared" ref="AG4:AQ4" si="16">IF(U4=TRUE,"",1)</f>
        <v/>
      </c>
      <c r="AH4" s="800" t="str">
        <f t="shared" si="16"/>
        <v/>
      </c>
      <c r="AI4" s="800" t="str">
        <f t="shared" si="16"/>
        <v/>
      </c>
      <c r="AJ4" s="800" t="str">
        <f t="shared" si="16"/>
        <v/>
      </c>
      <c r="AK4" s="800" t="str">
        <f t="shared" si="16"/>
        <v/>
      </c>
      <c r="AL4" s="800" t="str">
        <f t="shared" si="16"/>
        <v/>
      </c>
      <c r="AM4" s="800" t="str">
        <f t="shared" si="16"/>
        <v/>
      </c>
      <c r="AN4" s="800" t="str">
        <f t="shared" si="16"/>
        <v/>
      </c>
      <c r="AO4" s="800" t="str">
        <f t="shared" si="16"/>
        <v/>
      </c>
      <c r="AP4" s="800" t="str">
        <f t="shared" si="16"/>
        <v/>
      </c>
      <c r="AQ4" s="801" t="str">
        <f t="shared" si="16"/>
        <v/>
      </c>
    </row>
    <row r="5" spans="1:43" s="316" customFormat="1">
      <c r="A5" s="795" t="str">
        <f>IF(B5="","",$A$4)</f>
        <v>Ca 1,</v>
      </c>
      <c r="B5" s="315" t="s">
        <v>254</v>
      </c>
      <c r="C5" s="315" t="str">
        <f t="shared" si="0"/>
        <v>Nhiệt  độ xà bông nóng (2)
 熱脫脂溫度(2)</v>
      </c>
      <c r="D5" s="315" t="str">
        <f t="shared" si="1"/>
        <v>XL-001E</v>
      </c>
      <c r="E5" s="315" t="str">
        <f t="shared" si="2"/>
        <v>0C</v>
      </c>
      <c r="F5" s="315" t="str">
        <f t="shared" si="3"/>
        <v>50~70</v>
      </c>
      <c r="G5" s="778">
        <f t="shared" ref="G5:G27" si="17">IFERROR(VLOOKUP($B5,_XM_XT_THUCTE,8,0),"")</f>
        <v>0</v>
      </c>
      <c r="H5" s="778">
        <f t="shared" si="4"/>
        <v>0</v>
      </c>
      <c r="I5" s="778">
        <f t="shared" si="5"/>
        <v>0</v>
      </c>
      <c r="J5" s="778">
        <f t="shared" si="6"/>
        <v>0</v>
      </c>
      <c r="K5" s="778">
        <f t="shared" si="7"/>
        <v>0</v>
      </c>
      <c r="L5" s="778">
        <f t="shared" si="8"/>
        <v>0</v>
      </c>
      <c r="M5" s="778">
        <f t="shared" si="9"/>
        <v>0</v>
      </c>
      <c r="N5" s="778">
        <f t="shared" si="10"/>
        <v>0</v>
      </c>
      <c r="O5" s="778">
        <f t="shared" si="11"/>
        <v>0</v>
      </c>
      <c r="P5" s="778">
        <f t="shared" si="12"/>
        <v>0</v>
      </c>
      <c r="Q5" s="778">
        <f t="shared" si="13"/>
        <v>0</v>
      </c>
      <c r="R5" s="778">
        <f t="shared" si="14"/>
        <v>0</v>
      </c>
      <c r="T5" s="785" t="b">
        <f t="shared" ref="T5:AE39" si="18">ISNUMBER(G5)</f>
        <v>1</v>
      </c>
      <c r="U5" s="785" t="b">
        <f t="shared" si="15"/>
        <v>1</v>
      </c>
      <c r="V5" s="785" t="b">
        <f t="shared" si="15"/>
        <v>1</v>
      </c>
      <c r="W5" s="785" t="b">
        <f t="shared" si="15"/>
        <v>1</v>
      </c>
      <c r="X5" s="785" t="b">
        <f t="shared" si="15"/>
        <v>1</v>
      </c>
      <c r="Y5" s="785" t="b">
        <f t="shared" si="15"/>
        <v>1</v>
      </c>
      <c r="Z5" s="785" t="b">
        <f t="shared" si="15"/>
        <v>1</v>
      </c>
      <c r="AA5" s="785" t="b">
        <f t="shared" si="15"/>
        <v>1</v>
      </c>
      <c r="AB5" s="785" t="b">
        <f t="shared" si="15"/>
        <v>1</v>
      </c>
      <c r="AC5" s="785" t="b">
        <f t="shared" si="15"/>
        <v>1</v>
      </c>
      <c r="AD5" s="785" t="b">
        <f t="shared" si="15"/>
        <v>1</v>
      </c>
      <c r="AE5" s="785" t="b">
        <f t="shared" si="15"/>
        <v>1</v>
      </c>
      <c r="AF5" s="802" t="str">
        <f t="shared" ref="AF5:AF51" si="19">IF(T5=TRUE,"",1)</f>
        <v/>
      </c>
      <c r="AG5" s="803" t="str">
        <f t="shared" ref="AG5:AG51" si="20">IF(U5=TRUE,"",1)</f>
        <v/>
      </c>
      <c r="AH5" s="803" t="str">
        <f t="shared" ref="AH5:AH51" si="21">IF(V5=TRUE,"",1)</f>
        <v/>
      </c>
      <c r="AI5" s="803" t="str">
        <f t="shared" ref="AI5:AI51" si="22">IF(W5=TRUE,"",1)</f>
        <v/>
      </c>
      <c r="AJ5" s="803" t="str">
        <f t="shared" ref="AJ5:AJ51" si="23">IF(X5=TRUE,"",1)</f>
        <v/>
      </c>
      <c r="AK5" s="803" t="str">
        <f t="shared" ref="AK5:AK51" si="24">IF(Y5=TRUE,"",1)</f>
        <v/>
      </c>
      <c r="AL5" s="803" t="str">
        <f t="shared" ref="AL5:AL51" si="25">IF(Z5=TRUE,"",1)</f>
        <v/>
      </c>
      <c r="AM5" s="803" t="str">
        <f t="shared" ref="AM5:AM51" si="26">IF(AA5=TRUE,"",1)</f>
        <v/>
      </c>
      <c r="AN5" s="803" t="str">
        <f t="shared" ref="AN5:AN51" si="27">IF(AB5=TRUE,"",1)</f>
        <v/>
      </c>
      <c r="AO5" s="803" t="str">
        <f t="shared" ref="AO5:AO51" si="28">IF(AC5=TRUE,"",1)</f>
        <v/>
      </c>
      <c r="AP5" s="803" t="str">
        <f t="shared" ref="AP5:AP51" si="29">IF(AD5=TRUE,"",1)</f>
        <v/>
      </c>
      <c r="AQ5" s="804" t="str">
        <f t="shared" ref="AQ5:AQ51" si="30">IF(AE5=TRUE,"",1)</f>
        <v/>
      </c>
    </row>
    <row r="6" spans="1:43" s="316" customFormat="1">
      <c r="A6" s="795" t="str">
        <f t="shared" ref="A6:A40" si="31">IF(B6="","",$A$4)</f>
        <v>Ca 1,</v>
      </c>
      <c r="B6" s="315" t="s">
        <v>255</v>
      </c>
      <c r="C6" s="315" t="str">
        <f t="shared" si="0"/>
        <v>Nhiệt độ điện giải (1) 
電解1 溫度</v>
      </c>
      <c r="D6" s="315" t="str">
        <f t="shared" si="1"/>
        <v>XL-001E</v>
      </c>
      <c r="E6" s="315" t="str">
        <f t="shared" si="2"/>
        <v>0C</v>
      </c>
      <c r="F6" s="315" t="str">
        <f t="shared" si="3"/>
        <v>40~60</v>
      </c>
      <c r="G6" s="778">
        <f t="shared" si="17"/>
        <v>0</v>
      </c>
      <c r="H6" s="778">
        <f t="shared" si="4"/>
        <v>0</v>
      </c>
      <c r="I6" s="778">
        <f t="shared" si="5"/>
        <v>0</v>
      </c>
      <c r="J6" s="778">
        <f t="shared" si="6"/>
        <v>0</v>
      </c>
      <c r="K6" s="778">
        <f t="shared" si="7"/>
        <v>0</v>
      </c>
      <c r="L6" s="778">
        <f t="shared" si="8"/>
        <v>0</v>
      </c>
      <c r="M6" s="778">
        <f t="shared" si="9"/>
        <v>0</v>
      </c>
      <c r="N6" s="778">
        <f t="shared" si="10"/>
        <v>0</v>
      </c>
      <c r="O6" s="778">
        <f t="shared" si="11"/>
        <v>0</v>
      </c>
      <c r="P6" s="778">
        <f t="shared" si="12"/>
        <v>0</v>
      </c>
      <c r="Q6" s="778">
        <f t="shared" si="13"/>
        <v>0</v>
      </c>
      <c r="R6" s="778">
        <f t="shared" si="14"/>
        <v>0</v>
      </c>
      <c r="T6" s="785" t="b">
        <f t="shared" si="18"/>
        <v>1</v>
      </c>
      <c r="U6" s="785" t="b">
        <f t="shared" si="15"/>
        <v>1</v>
      </c>
      <c r="V6" s="785" t="b">
        <f t="shared" si="15"/>
        <v>1</v>
      </c>
      <c r="W6" s="785" t="b">
        <f t="shared" si="15"/>
        <v>1</v>
      </c>
      <c r="X6" s="785" t="b">
        <f t="shared" si="15"/>
        <v>1</v>
      </c>
      <c r="Y6" s="785" t="b">
        <f t="shared" si="15"/>
        <v>1</v>
      </c>
      <c r="Z6" s="785" t="b">
        <f t="shared" si="15"/>
        <v>1</v>
      </c>
      <c r="AA6" s="785" t="b">
        <f t="shared" si="15"/>
        <v>1</v>
      </c>
      <c r="AB6" s="785" t="b">
        <f t="shared" si="15"/>
        <v>1</v>
      </c>
      <c r="AC6" s="785" t="b">
        <f t="shared" si="15"/>
        <v>1</v>
      </c>
      <c r="AD6" s="785" t="b">
        <f t="shared" si="15"/>
        <v>1</v>
      </c>
      <c r="AE6" s="785" t="b">
        <f t="shared" si="15"/>
        <v>1</v>
      </c>
      <c r="AF6" s="802" t="str">
        <f t="shared" si="19"/>
        <v/>
      </c>
      <c r="AG6" s="803" t="str">
        <f t="shared" si="20"/>
        <v/>
      </c>
      <c r="AH6" s="803" t="str">
        <f t="shared" si="21"/>
        <v/>
      </c>
      <c r="AI6" s="803" t="str">
        <f t="shared" si="22"/>
        <v/>
      </c>
      <c r="AJ6" s="803" t="str">
        <f t="shared" si="23"/>
        <v/>
      </c>
      <c r="AK6" s="803" t="str">
        <f t="shared" si="24"/>
        <v/>
      </c>
      <c r="AL6" s="803" t="str">
        <f t="shared" si="25"/>
        <v/>
      </c>
      <c r="AM6" s="803" t="str">
        <f t="shared" si="26"/>
        <v/>
      </c>
      <c r="AN6" s="803" t="str">
        <f t="shared" si="27"/>
        <v/>
      </c>
      <c r="AO6" s="803" t="str">
        <f t="shared" si="28"/>
        <v/>
      </c>
      <c r="AP6" s="803" t="str">
        <f t="shared" si="29"/>
        <v/>
      </c>
      <c r="AQ6" s="804" t="str">
        <f t="shared" si="30"/>
        <v/>
      </c>
    </row>
    <row r="7" spans="1:43" s="316" customFormat="1">
      <c r="A7" s="795" t="str">
        <f t="shared" si="31"/>
        <v>Ca 1,</v>
      </c>
      <c r="B7" s="315" t="s">
        <v>256</v>
      </c>
      <c r="C7" s="315" t="str">
        <f t="shared" si="0"/>
        <v>Nhiệt độ điện giải (2)
電解 2 溫度</v>
      </c>
      <c r="D7" s="315" t="str">
        <f t="shared" si="1"/>
        <v>XL-001E</v>
      </c>
      <c r="E7" s="315" t="str">
        <f t="shared" si="2"/>
        <v>0C</v>
      </c>
      <c r="F7" s="315" t="str">
        <f t="shared" si="3"/>
        <v>40~60</v>
      </c>
      <c r="G7" s="778">
        <f t="shared" si="17"/>
        <v>0</v>
      </c>
      <c r="H7" s="778">
        <f t="shared" si="4"/>
        <v>0</v>
      </c>
      <c r="I7" s="778">
        <f t="shared" si="5"/>
        <v>0</v>
      </c>
      <c r="J7" s="778">
        <f t="shared" si="6"/>
        <v>0</v>
      </c>
      <c r="K7" s="778">
        <f t="shared" si="7"/>
        <v>0</v>
      </c>
      <c r="L7" s="778">
        <f t="shared" si="8"/>
        <v>0</v>
      </c>
      <c r="M7" s="778">
        <f t="shared" si="9"/>
        <v>0</v>
      </c>
      <c r="N7" s="778">
        <f t="shared" si="10"/>
        <v>0</v>
      </c>
      <c r="O7" s="778">
        <f t="shared" si="11"/>
        <v>0</v>
      </c>
      <c r="P7" s="778">
        <f t="shared" si="12"/>
        <v>0</v>
      </c>
      <c r="Q7" s="778">
        <f t="shared" si="13"/>
        <v>0</v>
      </c>
      <c r="R7" s="778">
        <f t="shared" si="14"/>
        <v>0</v>
      </c>
      <c r="T7" s="785" t="b">
        <f t="shared" si="18"/>
        <v>1</v>
      </c>
      <c r="U7" s="785" t="b">
        <f t="shared" si="15"/>
        <v>1</v>
      </c>
      <c r="V7" s="785" t="b">
        <f t="shared" si="15"/>
        <v>1</v>
      </c>
      <c r="W7" s="785" t="b">
        <f t="shared" si="15"/>
        <v>1</v>
      </c>
      <c r="X7" s="785" t="b">
        <f t="shared" si="15"/>
        <v>1</v>
      </c>
      <c r="Y7" s="785" t="b">
        <f t="shared" si="15"/>
        <v>1</v>
      </c>
      <c r="Z7" s="785" t="b">
        <f t="shared" si="15"/>
        <v>1</v>
      </c>
      <c r="AA7" s="785" t="b">
        <f t="shared" si="15"/>
        <v>1</v>
      </c>
      <c r="AB7" s="785" t="b">
        <f t="shared" si="15"/>
        <v>1</v>
      </c>
      <c r="AC7" s="785" t="b">
        <f t="shared" si="15"/>
        <v>1</v>
      </c>
      <c r="AD7" s="785" t="b">
        <f t="shared" si="15"/>
        <v>1</v>
      </c>
      <c r="AE7" s="785" t="b">
        <f t="shared" si="15"/>
        <v>1</v>
      </c>
      <c r="AF7" s="802" t="str">
        <f t="shared" si="19"/>
        <v/>
      </c>
      <c r="AG7" s="803" t="str">
        <f t="shared" si="20"/>
        <v/>
      </c>
      <c r="AH7" s="803" t="str">
        <f t="shared" si="21"/>
        <v/>
      </c>
      <c r="AI7" s="803" t="str">
        <f t="shared" si="22"/>
        <v/>
      </c>
      <c r="AJ7" s="803" t="str">
        <f t="shared" si="23"/>
        <v/>
      </c>
      <c r="AK7" s="803" t="str">
        <f t="shared" si="24"/>
        <v/>
      </c>
      <c r="AL7" s="803" t="str">
        <f t="shared" si="25"/>
        <v/>
      </c>
      <c r="AM7" s="803" t="str">
        <f t="shared" si="26"/>
        <v/>
      </c>
      <c r="AN7" s="803" t="str">
        <f t="shared" si="27"/>
        <v/>
      </c>
      <c r="AO7" s="803" t="str">
        <f t="shared" si="28"/>
        <v/>
      </c>
      <c r="AP7" s="803" t="str">
        <f t="shared" si="29"/>
        <v/>
      </c>
      <c r="AQ7" s="804" t="str">
        <f t="shared" si="30"/>
        <v/>
      </c>
    </row>
    <row r="8" spans="1:43" s="316" customFormat="1">
      <c r="A8" s="795" t="str">
        <f t="shared" si="31"/>
        <v>Ca 1,</v>
      </c>
      <c r="B8" s="315" t="s">
        <v>314</v>
      </c>
      <c r="C8" s="315" t="str">
        <f t="shared" si="0"/>
        <v>Nhiệt độ bồn xi
鍍鋅槽溫度</v>
      </c>
      <c r="D8" s="315" t="str">
        <f t="shared" si="1"/>
        <v>XL-001E</v>
      </c>
      <c r="E8" s="315" t="str">
        <f t="shared" si="2"/>
        <v>0C</v>
      </c>
      <c r="F8" s="315" t="str">
        <f t="shared" si="3"/>
        <v>20~35</v>
      </c>
      <c r="G8" s="778">
        <f t="shared" si="17"/>
        <v>0</v>
      </c>
      <c r="H8" s="778">
        <f t="shared" si="4"/>
        <v>0</v>
      </c>
      <c r="I8" s="778">
        <f t="shared" si="5"/>
        <v>0</v>
      </c>
      <c r="J8" s="778">
        <f t="shared" si="6"/>
        <v>0</v>
      </c>
      <c r="K8" s="778">
        <f t="shared" si="7"/>
        <v>0</v>
      </c>
      <c r="L8" s="778">
        <f t="shared" si="8"/>
        <v>0</v>
      </c>
      <c r="M8" s="778">
        <f t="shared" si="9"/>
        <v>0</v>
      </c>
      <c r="N8" s="778">
        <f t="shared" si="10"/>
        <v>0</v>
      </c>
      <c r="O8" s="778">
        <f t="shared" si="11"/>
        <v>0</v>
      </c>
      <c r="P8" s="778">
        <f t="shared" si="12"/>
        <v>0</v>
      </c>
      <c r="Q8" s="778">
        <f t="shared" si="13"/>
        <v>0</v>
      </c>
      <c r="R8" s="778">
        <f t="shared" si="14"/>
        <v>0</v>
      </c>
      <c r="T8" s="785" t="b">
        <f t="shared" si="18"/>
        <v>1</v>
      </c>
      <c r="U8" s="785" t="b">
        <f t="shared" si="15"/>
        <v>1</v>
      </c>
      <c r="V8" s="785" t="b">
        <f t="shared" si="15"/>
        <v>1</v>
      </c>
      <c r="W8" s="785" t="b">
        <f t="shared" si="15"/>
        <v>1</v>
      </c>
      <c r="X8" s="785" t="b">
        <f t="shared" si="15"/>
        <v>1</v>
      </c>
      <c r="Y8" s="785" t="b">
        <f t="shared" si="15"/>
        <v>1</v>
      </c>
      <c r="Z8" s="785" t="b">
        <f t="shared" si="15"/>
        <v>1</v>
      </c>
      <c r="AA8" s="785" t="b">
        <f t="shared" si="15"/>
        <v>1</v>
      </c>
      <c r="AB8" s="785" t="b">
        <f t="shared" si="15"/>
        <v>1</v>
      </c>
      <c r="AC8" s="785" t="b">
        <f t="shared" si="15"/>
        <v>1</v>
      </c>
      <c r="AD8" s="785" t="b">
        <f t="shared" si="15"/>
        <v>1</v>
      </c>
      <c r="AE8" s="785" t="b">
        <f t="shared" si="15"/>
        <v>1</v>
      </c>
      <c r="AF8" s="802" t="str">
        <f t="shared" si="19"/>
        <v/>
      </c>
      <c r="AG8" s="803" t="str">
        <f t="shared" si="20"/>
        <v/>
      </c>
      <c r="AH8" s="803" t="str">
        <f t="shared" si="21"/>
        <v/>
      </c>
      <c r="AI8" s="803" t="str">
        <f t="shared" si="22"/>
        <v/>
      </c>
      <c r="AJ8" s="803" t="str">
        <f t="shared" si="23"/>
        <v/>
      </c>
      <c r="AK8" s="803" t="str">
        <f t="shared" si="24"/>
        <v/>
      </c>
      <c r="AL8" s="803" t="str">
        <f t="shared" si="25"/>
        <v/>
      </c>
      <c r="AM8" s="803" t="str">
        <f t="shared" si="26"/>
        <v/>
      </c>
      <c r="AN8" s="803" t="str">
        <f t="shared" si="27"/>
        <v/>
      </c>
      <c r="AO8" s="803" t="str">
        <f t="shared" si="28"/>
        <v/>
      </c>
      <c r="AP8" s="803" t="str">
        <f t="shared" si="29"/>
        <v/>
      </c>
      <c r="AQ8" s="804" t="str">
        <f t="shared" si="30"/>
        <v/>
      </c>
    </row>
    <row r="9" spans="1:43" s="316" customFormat="1">
      <c r="A9" s="795" t="str">
        <f t="shared" si="31"/>
        <v>Ca 1,</v>
      </c>
      <c r="B9" s="315" t="s">
        <v>257</v>
      </c>
      <c r="C9" s="315" t="str">
        <f t="shared" si="0"/>
        <v>Nhiệt độ bồn màu Cr2O3
三價鉻 溫度</v>
      </c>
      <c r="D9" s="315" t="str">
        <f t="shared" si="1"/>
        <v>XL-001E</v>
      </c>
      <c r="E9" s="315" t="str">
        <f t="shared" si="2"/>
        <v>0C</v>
      </c>
      <c r="F9" s="315" t="str">
        <f t="shared" si="3"/>
        <v>30~40</v>
      </c>
      <c r="G9" s="778">
        <f t="shared" si="17"/>
        <v>0</v>
      </c>
      <c r="H9" s="778">
        <f t="shared" si="4"/>
        <v>0</v>
      </c>
      <c r="I9" s="778">
        <f t="shared" si="5"/>
        <v>0</v>
      </c>
      <c r="J9" s="778">
        <f t="shared" si="6"/>
        <v>0</v>
      </c>
      <c r="K9" s="778">
        <f t="shared" si="7"/>
        <v>0</v>
      </c>
      <c r="L9" s="778">
        <f t="shared" si="8"/>
        <v>0</v>
      </c>
      <c r="M9" s="778">
        <f t="shared" si="9"/>
        <v>0</v>
      </c>
      <c r="N9" s="778">
        <f t="shared" si="10"/>
        <v>0</v>
      </c>
      <c r="O9" s="778">
        <f t="shared" si="11"/>
        <v>0</v>
      </c>
      <c r="P9" s="778">
        <f t="shared" si="12"/>
        <v>0</v>
      </c>
      <c r="Q9" s="778">
        <f t="shared" si="13"/>
        <v>0</v>
      </c>
      <c r="R9" s="778">
        <f t="shared" si="14"/>
        <v>0</v>
      </c>
      <c r="T9" s="785" t="b">
        <f t="shared" si="18"/>
        <v>1</v>
      </c>
      <c r="U9" s="785" t="b">
        <f t="shared" si="15"/>
        <v>1</v>
      </c>
      <c r="V9" s="785" t="b">
        <f t="shared" si="15"/>
        <v>1</v>
      </c>
      <c r="W9" s="785" t="b">
        <f t="shared" si="15"/>
        <v>1</v>
      </c>
      <c r="X9" s="785" t="b">
        <f t="shared" si="15"/>
        <v>1</v>
      </c>
      <c r="Y9" s="785" t="b">
        <f t="shared" si="15"/>
        <v>1</v>
      </c>
      <c r="Z9" s="785" t="b">
        <f t="shared" si="15"/>
        <v>1</v>
      </c>
      <c r="AA9" s="785" t="b">
        <f t="shared" si="15"/>
        <v>1</v>
      </c>
      <c r="AB9" s="785" t="b">
        <f t="shared" si="15"/>
        <v>1</v>
      </c>
      <c r="AC9" s="785" t="b">
        <f t="shared" si="15"/>
        <v>1</v>
      </c>
      <c r="AD9" s="785" t="b">
        <f t="shared" si="15"/>
        <v>1</v>
      </c>
      <c r="AE9" s="785" t="b">
        <f t="shared" si="15"/>
        <v>1</v>
      </c>
      <c r="AF9" s="802" t="str">
        <f t="shared" si="19"/>
        <v/>
      </c>
      <c r="AG9" s="803" t="str">
        <f t="shared" si="20"/>
        <v/>
      </c>
      <c r="AH9" s="803" t="str">
        <f t="shared" si="21"/>
        <v/>
      </c>
      <c r="AI9" s="803" t="str">
        <f t="shared" si="22"/>
        <v/>
      </c>
      <c r="AJ9" s="803" t="str">
        <f t="shared" si="23"/>
        <v/>
      </c>
      <c r="AK9" s="803" t="str">
        <f t="shared" si="24"/>
        <v/>
      </c>
      <c r="AL9" s="803" t="str">
        <f t="shared" si="25"/>
        <v/>
      </c>
      <c r="AM9" s="803" t="str">
        <f t="shared" si="26"/>
        <v/>
      </c>
      <c r="AN9" s="803" t="str">
        <f t="shared" si="27"/>
        <v/>
      </c>
      <c r="AO9" s="803" t="str">
        <f t="shared" si="28"/>
        <v/>
      </c>
      <c r="AP9" s="803" t="str">
        <f t="shared" si="29"/>
        <v/>
      </c>
      <c r="AQ9" s="804" t="str">
        <f t="shared" si="30"/>
        <v/>
      </c>
    </row>
    <row r="10" spans="1:43" s="316" customFormat="1">
      <c r="A10" s="795" t="str">
        <f t="shared" si="31"/>
        <v>Ca 1,</v>
      </c>
      <c r="B10" s="315" t="s">
        <v>258</v>
      </c>
      <c r="C10" s="315" t="str">
        <f t="shared" si="0"/>
        <v xml:space="preserve">Nhiệt độ bồn nước nóng
熱水溫度 </v>
      </c>
      <c r="D10" s="315" t="str">
        <f t="shared" si="1"/>
        <v>XL-001E</v>
      </c>
      <c r="E10" s="315" t="str">
        <f t="shared" si="2"/>
        <v>0C</v>
      </c>
      <c r="F10" s="315" t="str">
        <f t="shared" si="3"/>
        <v>50~70</v>
      </c>
      <c r="G10" s="778">
        <f t="shared" si="17"/>
        <v>0</v>
      </c>
      <c r="H10" s="778">
        <f t="shared" si="4"/>
        <v>0</v>
      </c>
      <c r="I10" s="778">
        <f t="shared" si="5"/>
        <v>0</v>
      </c>
      <c r="J10" s="778">
        <f t="shared" si="6"/>
        <v>0</v>
      </c>
      <c r="K10" s="778">
        <f t="shared" si="7"/>
        <v>0</v>
      </c>
      <c r="L10" s="778">
        <f t="shared" si="8"/>
        <v>0</v>
      </c>
      <c r="M10" s="778">
        <f t="shared" si="9"/>
        <v>0</v>
      </c>
      <c r="N10" s="778">
        <f t="shared" si="10"/>
        <v>0</v>
      </c>
      <c r="O10" s="778">
        <f t="shared" si="11"/>
        <v>0</v>
      </c>
      <c r="P10" s="778">
        <f t="shared" si="12"/>
        <v>0</v>
      </c>
      <c r="Q10" s="778">
        <f t="shared" si="13"/>
        <v>0</v>
      </c>
      <c r="R10" s="778">
        <f t="shared" si="14"/>
        <v>0</v>
      </c>
      <c r="T10" s="785" t="b">
        <f t="shared" si="18"/>
        <v>1</v>
      </c>
      <c r="U10" s="785" t="b">
        <f t="shared" si="15"/>
        <v>1</v>
      </c>
      <c r="V10" s="785" t="b">
        <f t="shared" si="15"/>
        <v>1</v>
      </c>
      <c r="W10" s="785" t="b">
        <f t="shared" si="15"/>
        <v>1</v>
      </c>
      <c r="X10" s="785" t="b">
        <f t="shared" si="15"/>
        <v>1</v>
      </c>
      <c r="Y10" s="785" t="b">
        <f t="shared" si="15"/>
        <v>1</v>
      </c>
      <c r="Z10" s="785" t="b">
        <f t="shared" si="15"/>
        <v>1</v>
      </c>
      <c r="AA10" s="785" t="b">
        <f t="shared" si="15"/>
        <v>1</v>
      </c>
      <c r="AB10" s="785" t="b">
        <f t="shared" si="15"/>
        <v>1</v>
      </c>
      <c r="AC10" s="785" t="b">
        <f t="shared" si="15"/>
        <v>1</v>
      </c>
      <c r="AD10" s="785" t="b">
        <f t="shared" si="15"/>
        <v>1</v>
      </c>
      <c r="AE10" s="785" t="b">
        <f t="shared" si="15"/>
        <v>1</v>
      </c>
      <c r="AF10" s="802" t="str">
        <f t="shared" si="19"/>
        <v/>
      </c>
      <c r="AG10" s="803" t="str">
        <f t="shared" si="20"/>
        <v/>
      </c>
      <c r="AH10" s="803" t="str">
        <f t="shared" si="21"/>
        <v/>
      </c>
      <c r="AI10" s="803" t="str">
        <f t="shared" si="22"/>
        <v/>
      </c>
      <c r="AJ10" s="803" t="str">
        <f t="shared" si="23"/>
        <v/>
      </c>
      <c r="AK10" s="803" t="str">
        <f t="shared" si="24"/>
        <v/>
      </c>
      <c r="AL10" s="803" t="str">
        <f t="shared" si="25"/>
        <v/>
      </c>
      <c r="AM10" s="803" t="str">
        <f t="shared" si="26"/>
        <v/>
      </c>
      <c r="AN10" s="803" t="str">
        <f t="shared" si="27"/>
        <v/>
      </c>
      <c r="AO10" s="803" t="str">
        <f t="shared" si="28"/>
        <v/>
      </c>
      <c r="AP10" s="803" t="str">
        <f t="shared" si="29"/>
        <v/>
      </c>
      <c r="AQ10" s="804" t="str">
        <f t="shared" si="30"/>
        <v/>
      </c>
    </row>
    <row r="11" spans="1:43" s="316" customFormat="1">
      <c r="A11" s="795" t="str">
        <f t="shared" si="31"/>
        <v>Ca 1,</v>
      </c>
      <c r="B11" s="315" t="s">
        <v>259</v>
      </c>
      <c r="C11" s="315" t="str">
        <f t="shared" si="0"/>
        <v>Sấy khô
烘乾</v>
      </c>
      <c r="D11" s="315" t="str">
        <f t="shared" si="1"/>
        <v>XL-001E</v>
      </c>
      <c r="E11" s="315" t="str">
        <f t="shared" si="2"/>
        <v>0C</v>
      </c>
      <c r="F11" s="315" t="str">
        <f t="shared" si="3"/>
        <v>80~100</v>
      </c>
      <c r="G11" s="778">
        <f t="shared" si="17"/>
        <v>0</v>
      </c>
      <c r="H11" s="778">
        <f t="shared" si="4"/>
        <v>0</v>
      </c>
      <c r="I11" s="778">
        <f t="shared" si="5"/>
        <v>0</v>
      </c>
      <c r="J11" s="778">
        <f t="shared" si="6"/>
        <v>0</v>
      </c>
      <c r="K11" s="778">
        <f t="shared" si="7"/>
        <v>0</v>
      </c>
      <c r="L11" s="778">
        <f t="shared" si="8"/>
        <v>0</v>
      </c>
      <c r="M11" s="778">
        <f t="shared" si="9"/>
        <v>0</v>
      </c>
      <c r="N11" s="778">
        <f t="shared" si="10"/>
        <v>0</v>
      </c>
      <c r="O11" s="778">
        <f t="shared" si="11"/>
        <v>0</v>
      </c>
      <c r="P11" s="778">
        <f t="shared" si="12"/>
        <v>0</v>
      </c>
      <c r="Q11" s="778">
        <f t="shared" si="13"/>
        <v>0</v>
      </c>
      <c r="R11" s="778">
        <f t="shared" si="14"/>
        <v>0</v>
      </c>
      <c r="T11" s="785" t="b">
        <f t="shared" si="18"/>
        <v>1</v>
      </c>
      <c r="U11" s="785" t="b">
        <f t="shared" si="15"/>
        <v>1</v>
      </c>
      <c r="V11" s="785" t="b">
        <f t="shared" si="15"/>
        <v>1</v>
      </c>
      <c r="W11" s="785" t="b">
        <f t="shared" si="15"/>
        <v>1</v>
      </c>
      <c r="X11" s="785" t="b">
        <f t="shared" si="15"/>
        <v>1</v>
      </c>
      <c r="Y11" s="785" t="b">
        <f t="shared" si="15"/>
        <v>1</v>
      </c>
      <c r="Z11" s="785" t="b">
        <f t="shared" si="15"/>
        <v>1</v>
      </c>
      <c r="AA11" s="785" t="b">
        <f t="shared" si="15"/>
        <v>1</v>
      </c>
      <c r="AB11" s="785" t="b">
        <f t="shared" si="15"/>
        <v>1</v>
      </c>
      <c r="AC11" s="785" t="b">
        <f t="shared" si="15"/>
        <v>1</v>
      </c>
      <c r="AD11" s="785" t="b">
        <f t="shared" si="15"/>
        <v>1</v>
      </c>
      <c r="AE11" s="785" t="b">
        <f t="shared" si="15"/>
        <v>1</v>
      </c>
      <c r="AF11" s="802" t="str">
        <f t="shared" si="19"/>
        <v/>
      </c>
      <c r="AG11" s="803" t="str">
        <f t="shared" si="20"/>
        <v/>
      </c>
      <c r="AH11" s="803" t="str">
        <f t="shared" si="21"/>
        <v/>
      </c>
      <c r="AI11" s="803" t="str">
        <f t="shared" si="22"/>
        <v/>
      </c>
      <c r="AJ11" s="803" t="str">
        <f t="shared" si="23"/>
        <v/>
      </c>
      <c r="AK11" s="803" t="str">
        <f t="shared" si="24"/>
        <v/>
      </c>
      <c r="AL11" s="803" t="str">
        <f t="shared" si="25"/>
        <v/>
      </c>
      <c r="AM11" s="803" t="str">
        <f t="shared" si="26"/>
        <v/>
      </c>
      <c r="AN11" s="803" t="str">
        <f t="shared" si="27"/>
        <v/>
      </c>
      <c r="AO11" s="803" t="str">
        <f t="shared" si="28"/>
        <v/>
      </c>
      <c r="AP11" s="803" t="str">
        <f t="shared" si="29"/>
        <v/>
      </c>
      <c r="AQ11" s="804" t="str">
        <f t="shared" si="30"/>
        <v/>
      </c>
    </row>
    <row r="12" spans="1:43" s="316" customFormat="1">
      <c r="A12" s="795" t="str">
        <f t="shared" si="31"/>
        <v>Ca 1,</v>
      </c>
      <c r="B12" s="315" t="s">
        <v>276</v>
      </c>
      <c r="C12" s="315" t="str">
        <f t="shared" si="0"/>
        <v>Nhiệt  độ xà bông nóng (1)
 熱脫脂溫度(1)</v>
      </c>
      <c r="D12" s="315" t="str">
        <f t="shared" si="1"/>
        <v>XL-001F</v>
      </c>
      <c r="E12" s="315" t="str">
        <f t="shared" si="2"/>
        <v>0C</v>
      </c>
      <c r="F12" s="315" t="str">
        <f t="shared" si="3"/>
        <v>50~70</v>
      </c>
      <c r="G12" s="778">
        <f t="shared" si="17"/>
        <v>0</v>
      </c>
      <c r="H12" s="778">
        <f t="shared" si="4"/>
        <v>0</v>
      </c>
      <c r="I12" s="778">
        <f t="shared" si="5"/>
        <v>0</v>
      </c>
      <c r="J12" s="778">
        <f t="shared" si="6"/>
        <v>0</v>
      </c>
      <c r="K12" s="778">
        <f t="shared" si="7"/>
        <v>0</v>
      </c>
      <c r="L12" s="778">
        <f t="shared" si="8"/>
        <v>60</v>
      </c>
      <c r="M12" s="778">
        <f t="shared" si="9"/>
        <v>60</v>
      </c>
      <c r="N12" s="778">
        <f t="shared" si="10"/>
        <v>0</v>
      </c>
      <c r="O12" s="778">
        <f t="shared" si="11"/>
        <v>0</v>
      </c>
      <c r="P12" s="778">
        <f t="shared" si="12"/>
        <v>0</v>
      </c>
      <c r="Q12" s="778">
        <f t="shared" si="13"/>
        <v>0</v>
      </c>
      <c r="R12" s="778">
        <f t="shared" si="14"/>
        <v>0</v>
      </c>
      <c r="T12" s="785" t="b">
        <f t="shared" si="18"/>
        <v>1</v>
      </c>
      <c r="U12" s="785" t="b">
        <f t="shared" si="15"/>
        <v>1</v>
      </c>
      <c r="V12" s="785" t="b">
        <f t="shared" si="15"/>
        <v>1</v>
      </c>
      <c r="W12" s="785" t="b">
        <f t="shared" si="15"/>
        <v>1</v>
      </c>
      <c r="X12" s="785" t="b">
        <f t="shared" si="15"/>
        <v>1</v>
      </c>
      <c r="Y12" s="785" t="b">
        <f t="shared" si="15"/>
        <v>1</v>
      </c>
      <c r="Z12" s="785" t="b">
        <f t="shared" si="15"/>
        <v>1</v>
      </c>
      <c r="AA12" s="785" t="b">
        <f t="shared" si="15"/>
        <v>1</v>
      </c>
      <c r="AB12" s="785" t="b">
        <f t="shared" si="15"/>
        <v>1</v>
      </c>
      <c r="AC12" s="785" t="b">
        <f t="shared" si="15"/>
        <v>1</v>
      </c>
      <c r="AD12" s="785" t="b">
        <f t="shared" si="15"/>
        <v>1</v>
      </c>
      <c r="AE12" s="785" t="b">
        <f t="shared" si="15"/>
        <v>1</v>
      </c>
      <c r="AF12" s="802" t="str">
        <f t="shared" si="19"/>
        <v/>
      </c>
      <c r="AG12" s="803" t="str">
        <f t="shared" si="20"/>
        <v/>
      </c>
      <c r="AH12" s="803" t="str">
        <f t="shared" si="21"/>
        <v/>
      </c>
      <c r="AI12" s="803" t="str">
        <f t="shared" si="22"/>
        <v/>
      </c>
      <c r="AJ12" s="803" t="str">
        <f t="shared" si="23"/>
        <v/>
      </c>
      <c r="AK12" s="803" t="str">
        <f t="shared" si="24"/>
        <v/>
      </c>
      <c r="AL12" s="803" t="str">
        <f t="shared" si="25"/>
        <v/>
      </c>
      <c r="AM12" s="803" t="str">
        <f t="shared" si="26"/>
        <v/>
      </c>
      <c r="AN12" s="803" t="str">
        <f t="shared" si="27"/>
        <v/>
      </c>
      <c r="AO12" s="803" t="str">
        <f t="shared" si="28"/>
        <v/>
      </c>
      <c r="AP12" s="803" t="str">
        <f t="shared" si="29"/>
        <v/>
      </c>
      <c r="AQ12" s="804" t="str">
        <f t="shared" si="30"/>
        <v/>
      </c>
    </row>
    <row r="13" spans="1:43" s="316" customFormat="1">
      <c r="A13" s="795" t="str">
        <f t="shared" si="31"/>
        <v>Ca 1,</v>
      </c>
      <c r="B13" s="315" t="s">
        <v>277</v>
      </c>
      <c r="C13" s="315" t="str">
        <f t="shared" si="0"/>
        <v>Nhiệt  độ xà bông nóng (2)
 熱脫脂溫度(2)</v>
      </c>
      <c r="D13" s="315" t="str">
        <f t="shared" si="1"/>
        <v>XL-001F</v>
      </c>
      <c r="E13" s="315" t="str">
        <f t="shared" si="2"/>
        <v>0C</v>
      </c>
      <c r="F13" s="315" t="str">
        <f t="shared" si="3"/>
        <v>50~70</v>
      </c>
      <c r="G13" s="778">
        <f t="shared" si="17"/>
        <v>0</v>
      </c>
      <c r="H13" s="778">
        <f t="shared" si="4"/>
        <v>0</v>
      </c>
      <c r="I13" s="778">
        <f t="shared" si="5"/>
        <v>0</v>
      </c>
      <c r="J13" s="778">
        <f t="shared" si="6"/>
        <v>0</v>
      </c>
      <c r="K13" s="778">
        <f t="shared" si="7"/>
        <v>0</v>
      </c>
      <c r="L13" s="778">
        <f t="shared" si="8"/>
        <v>60</v>
      </c>
      <c r="M13" s="778">
        <f t="shared" si="9"/>
        <v>60</v>
      </c>
      <c r="N13" s="778">
        <f t="shared" si="10"/>
        <v>0</v>
      </c>
      <c r="O13" s="778">
        <f t="shared" si="11"/>
        <v>0</v>
      </c>
      <c r="P13" s="778">
        <f t="shared" si="12"/>
        <v>0</v>
      </c>
      <c r="Q13" s="778">
        <f t="shared" si="13"/>
        <v>0</v>
      </c>
      <c r="R13" s="778">
        <f t="shared" si="14"/>
        <v>0</v>
      </c>
      <c r="T13" s="785" t="b">
        <f t="shared" si="18"/>
        <v>1</v>
      </c>
      <c r="U13" s="785" t="b">
        <f t="shared" si="15"/>
        <v>1</v>
      </c>
      <c r="V13" s="785" t="b">
        <f t="shared" si="15"/>
        <v>1</v>
      </c>
      <c r="W13" s="785" t="b">
        <f t="shared" si="15"/>
        <v>1</v>
      </c>
      <c r="X13" s="785" t="b">
        <f t="shared" si="15"/>
        <v>1</v>
      </c>
      <c r="Y13" s="785" t="b">
        <f t="shared" si="15"/>
        <v>1</v>
      </c>
      <c r="Z13" s="785" t="b">
        <f t="shared" si="15"/>
        <v>1</v>
      </c>
      <c r="AA13" s="785" t="b">
        <f t="shared" si="15"/>
        <v>1</v>
      </c>
      <c r="AB13" s="785" t="b">
        <f t="shared" si="15"/>
        <v>1</v>
      </c>
      <c r="AC13" s="785" t="b">
        <f t="shared" si="15"/>
        <v>1</v>
      </c>
      <c r="AD13" s="785" t="b">
        <f t="shared" si="15"/>
        <v>1</v>
      </c>
      <c r="AE13" s="785" t="b">
        <f t="shared" si="15"/>
        <v>1</v>
      </c>
      <c r="AF13" s="802" t="str">
        <f t="shared" si="19"/>
        <v/>
      </c>
      <c r="AG13" s="803" t="str">
        <f t="shared" si="20"/>
        <v/>
      </c>
      <c r="AH13" s="803" t="str">
        <f t="shared" si="21"/>
        <v/>
      </c>
      <c r="AI13" s="803" t="str">
        <f t="shared" si="22"/>
        <v/>
      </c>
      <c r="AJ13" s="803" t="str">
        <f t="shared" si="23"/>
        <v/>
      </c>
      <c r="AK13" s="803" t="str">
        <f t="shared" si="24"/>
        <v/>
      </c>
      <c r="AL13" s="803" t="str">
        <f t="shared" si="25"/>
        <v/>
      </c>
      <c r="AM13" s="803" t="str">
        <f t="shared" si="26"/>
        <v/>
      </c>
      <c r="AN13" s="803" t="str">
        <f t="shared" si="27"/>
        <v/>
      </c>
      <c r="AO13" s="803" t="str">
        <f t="shared" si="28"/>
        <v/>
      </c>
      <c r="AP13" s="803" t="str">
        <f t="shared" si="29"/>
        <v/>
      </c>
      <c r="AQ13" s="804" t="str">
        <f t="shared" si="30"/>
        <v/>
      </c>
    </row>
    <row r="14" spans="1:43" s="316" customFormat="1">
      <c r="A14" s="795" t="str">
        <f t="shared" si="31"/>
        <v>Ca 1,</v>
      </c>
      <c r="B14" s="315" t="s">
        <v>278</v>
      </c>
      <c r="C14" s="315" t="str">
        <f t="shared" si="0"/>
        <v>Nhiệt độ điện giải (1) 
電解1 溫度</v>
      </c>
      <c r="D14" s="315" t="str">
        <f t="shared" si="1"/>
        <v>XL-001F</v>
      </c>
      <c r="E14" s="315" t="str">
        <f t="shared" si="2"/>
        <v>0C</v>
      </c>
      <c r="F14" s="315" t="str">
        <f t="shared" si="3"/>
        <v>40~60</v>
      </c>
      <c r="G14" s="778">
        <f t="shared" si="17"/>
        <v>0</v>
      </c>
      <c r="H14" s="778">
        <f t="shared" si="4"/>
        <v>0</v>
      </c>
      <c r="I14" s="778">
        <f t="shared" si="5"/>
        <v>0</v>
      </c>
      <c r="J14" s="778">
        <f t="shared" si="6"/>
        <v>0</v>
      </c>
      <c r="K14" s="778">
        <f t="shared" si="7"/>
        <v>0</v>
      </c>
      <c r="L14" s="778">
        <f t="shared" si="8"/>
        <v>53</v>
      </c>
      <c r="M14" s="778">
        <f t="shared" si="9"/>
        <v>52</v>
      </c>
      <c r="N14" s="778">
        <f t="shared" si="10"/>
        <v>0</v>
      </c>
      <c r="O14" s="778">
        <f t="shared" si="11"/>
        <v>0</v>
      </c>
      <c r="P14" s="778">
        <f t="shared" si="12"/>
        <v>0</v>
      </c>
      <c r="Q14" s="778">
        <f t="shared" si="13"/>
        <v>0</v>
      </c>
      <c r="R14" s="778">
        <f t="shared" si="14"/>
        <v>0</v>
      </c>
      <c r="T14" s="785" t="b">
        <f t="shared" si="18"/>
        <v>1</v>
      </c>
      <c r="U14" s="785" t="b">
        <f t="shared" si="15"/>
        <v>1</v>
      </c>
      <c r="V14" s="785" t="b">
        <f t="shared" si="15"/>
        <v>1</v>
      </c>
      <c r="W14" s="785" t="b">
        <f t="shared" si="15"/>
        <v>1</v>
      </c>
      <c r="X14" s="785" t="b">
        <f t="shared" si="15"/>
        <v>1</v>
      </c>
      <c r="Y14" s="785" t="b">
        <f t="shared" si="15"/>
        <v>1</v>
      </c>
      <c r="Z14" s="785" t="b">
        <f t="shared" si="15"/>
        <v>1</v>
      </c>
      <c r="AA14" s="785" t="b">
        <f t="shared" si="15"/>
        <v>1</v>
      </c>
      <c r="AB14" s="785" t="b">
        <f t="shared" si="15"/>
        <v>1</v>
      </c>
      <c r="AC14" s="785" t="b">
        <f t="shared" si="15"/>
        <v>1</v>
      </c>
      <c r="AD14" s="785" t="b">
        <f t="shared" si="15"/>
        <v>1</v>
      </c>
      <c r="AE14" s="785" t="b">
        <f t="shared" si="15"/>
        <v>1</v>
      </c>
      <c r="AF14" s="802" t="str">
        <f t="shared" si="19"/>
        <v/>
      </c>
      <c r="AG14" s="803" t="str">
        <f t="shared" si="20"/>
        <v/>
      </c>
      <c r="AH14" s="803" t="str">
        <f t="shared" si="21"/>
        <v/>
      </c>
      <c r="AI14" s="803" t="str">
        <f t="shared" si="22"/>
        <v/>
      </c>
      <c r="AJ14" s="803" t="str">
        <f t="shared" si="23"/>
        <v/>
      </c>
      <c r="AK14" s="803" t="str">
        <f t="shared" si="24"/>
        <v/>
      </c>
      <c r="AL14" s="803" t="str">
        <f t="shared" si="25"/>
        <v/>
      </c>
      <c r="AM14" s="803" t="str">
        <f t="shared" si="26"/>
        <v/>
      </c>
      <c r="AN14" s="803" t="str">
        <f t="shared" si="27"/>
        <v/>
      </c>
      <c r="AO14" s="803" t="str">
        <f t="shared" si="28"/>
        <v/>
      </c>
      <c r="AP14" s="803" t="str">
        <f t="shared" si="29"/>
        <v/>
      </c>
      <c r="AQ14" s="804" t="str">
        <f t="shared" si="30"/>
        <v/>
      </c>
    </row>
    <row r="15" spans="1:43" s="316" customFormat="1">
      <c r="A15" s="795" t="str">
        <f t="shared" si="31"/>
        <v>Ca 1,</v>
      </c>
      <c r="B15" s="315" t="s">
        <v>279</v>
      </c>
      <c r="C15" s="315" t="str">
        <f t="shared" si="0"/>
        <v>Nhiệt độ điện giải (2)
電解 2 溫度</v>
      </c>
      <c r="D15" s="315" t="str">
        <f t="shared" si="1"/>
        <v>XL-001F</v>
      </c>
      <c r="E15" s="315" t="str">
        <f t="shared" si="2"/>
        <v>0C</v>
      </c>
      <c r="F15" s="315" t="str">
        <f t="shared" si="3"/>
        <v>40~60</v>
      </c>
      <c r="G15" s="778">
        <f t="shared" si="17"/>
        <v>0</v>
      </c>
      <c r="H15" s="778">
        <f t="shared" si="4"/>
        <v>0</v>
      </c>
      <c r="I15" s="778">
        <f t="shared" si="5"/>
        <v>0</v>
      </c>
      <c r="J15" s="778">
        <f t="shared" si="6"/>
        <v>0</v>
      </c>
      <c r="K15" s="778">
        <f t="shared" si="7"/>
        <v>0</v>
      </c>
      <c r="L15" s="778">
        <f t="shared" si="8"/>
        <v>50</v>
      </c>
      <c r="M15" s="778">
        <f t="shared" si="9"/>
        <v>50</v>
      </c>
      <c r="N15" s="778">
        <f t="shared" si="10"/>
        <v>0</v>
      </c>
      <c r="O15" s="778">
        <f t="shared" si="11"/>
        <v>0</v>
      </c>
      <c r="P15" s="778">
        <f t="shared" si="12"/>
        <v>0</v>
      </c>
      <c r="Q15" s="778">
        <f t="shared" si="13"/>
        <v>0</v>
      </c>
      <c r="R15" s="778">
        <f t="shared" si="14"/>
        <v>0</v>
      </c>
      <c r="T15" s="785" t="b">
        <f t="shared" si="18"/>
        <v>1</v>
      </c>
      <c r="U15" s="785" t="b">
        <f t="shared" si="15"/>
        <v>1</v>
      </c>
      <c r="V15" s="785" t="b">
        <f t="shared" si="15"/>
        <v>1</v>
      </c>
      <c r="W15" s="785" t="b">
        <f t="shared" si="15"/>
        <v>1</v>
      </c>
      <c r="X15" s="785" t="b">
        <f t="shared" si="15"/>
        <v>1</v>
      </c>
      <c r="Y15" s="785" t="b">
        <f t="shared" si="15"/>
        <v>1</v>
      </c>
      <c r="Z15" s="785" t="b">
        <f t="shared" si="15"/>
        <v>1</v>
      </c>
      <c r="AA15" s="785" t="b">
        <f t="shared" si="15"/>
        <v>1</v>
      </c>
      <c r="AB15" s="785" t="b">
        <f t="shared" si="15"/>
        <v>1</v>
      </c>
      <c r="AC15" s="785" t="b">
        <f t="shared" si="15"/>
        <v>1</v>
      </c>
      <c r="AD15" s="785" t="b">
        <f t="shared" si="15"/>
        <v>1</v>
      </c>
      <c r="AE15" s="785" t="b">
        <f t="shared" si="15"/>
        <v>1</v>
      </c>
      <c r="AF15" s="802" t="str">
        <f t="shared" si="19"/>
        <v/>
      </c>
      <c r="AG15" s="803" t="str">
        <f t="shared" si="20"/>
        <v/>
      </c>
      <c r="AH15" s="803" t="str">
        <f t="shared" si="21"/>
        <v/>
      </c>
      <c r="AI15" s="803" t="str">
        <f t="shared" si="22"/>
        <v/>
      </c>
      <c r="AJ15" s="803" t="str">
        <f t="shared" si="23"/>
        <v/>
      </c>
      <c r="AK15" s="803" t="str">
        <f t="shared" si="24"/>
        <v/>
      </c>
      <c r="AL15" s="803" t="str">
        <f t="shared" si="25"/>
        <v/>
      </c>
      <c r="AM15" s="803" t="str">
        <f t="shared" si="26"/>
        <v/>
      </c>
      <c r="AN15" s="803" t="str">
        <f t="shared" si="27"/>
        <v/>
      </c>
      <c r="AO15" s="803" t="str">
        <f t="shared" si="28"/>
        <v/>
      </c>
      <c r="AP15" s="803" t="str">
        <f t="shared" si="29"/>
        <v/>
      </c>
      <c r="AQ15" s="804" t="str">
        <f t="shared" si="30"/>
        <v/>
      </c>
    </row>
    <row r="16" spans="1:43" s="316" customFormat="1">
      <c r="A16" s="795" t="str">
        <f t="shared" si="31"/>
        <v>Ca 1,</v>
      </c>
      <c r="B16" s="315" t="s">
        <v>315</v>
      </c>
      <c r="C16" s="315" t="str">
        <f t="shared" si="0"/>
        <v>Nhiệt độ bồn xi
鍍鋅槽溫度</v>
      </c>
      <c r="D16" s="315" t="str">
        <f t="shared" si="1"/>
        <v>XL-001F</v>
      </c>
      <c r="E16" s="315" t="str">
        <f t="shared" si="2"/>
        <v>0C</v>
      </c>
      <c r="F16" s="315" t="str">
        <f t="shared" si="3"/>
        <v>22~35</v>
      </c>
      <c r="G16" s="778">
        <f t="shared" si="17"/>
        <v>0</v>
      </c>
      <c r="H16" s="778">
        <f t="shared" si="4"/>
        <v>0</v>
      </c>
      <c r="I16" s="778">
        <f t="shared" si="5"/>
        <v>0</v>
      </c>
      <c r="J16" s="778">
        <f t="shared" si="6"/>
        <v>0</v>
      </c>
      <c r="K16" s="778">
        <f t="shared" si="7"/>
        <v>0</v>
      </c>
      <c r="L16" s="778">
        <f t="shared" si="8"/>
        <v>36</v>
      </c>
      <c r="M16" s="778">
        <f t="shared" si="9"/>
        <v>36</v>
      </c>
      <c r="N16" s="778">
        <f t="shared" si="10"/>
        <v>0</v>
      </c>
      <c r="O16" s="778">
        <f t="shared" si="11"/>
        <v>0</v>
      </c>
      <c r="P16" s="778">
        <f t="shared" si="12"/>
        <v>0</v>
      </c>
      <c r="Q16" s="778">
        <f t="shared" si="13"/>
        <v>0</v>
      </c>
      <c r="R16" s="778">
        <f t="shared" si="14"/>
        <v>0</v>
      </c>
      <c r="T16" s="785" t="b">
        <f t="shared" si="18"/>
        <v>1</v>
      </c>
      <c r="U16" s="785" t="b">
        <f t="shared" si="15"/>
        <v>1</v>
      </c>
      <c r="V16" s="785" t="b">
        <f t="shared" si="15"/>
        <v>1</v>
      </c>
      <c r="W16" s="785" t="b">
        <f t="shared" si="15"/>
        <v>1</v>
      </c>
      <c r="X16" s="785" t="b">
        <f t="shared" si="15"/>
        <v>1</v>
      </c>
      <c r="Y16" s="785" t="b">
        <f t="shared" si="15"/>
        <v>1</v>
      </c>
      <c r="Z16" s="785" t="b">
        <f t="shared" si="15"/>
        <v>1</v>
      </c>
      <c r="AA16" s="785" t="b">
        <f t="shared" si="15"/>
        <v>1</v>
      </c>
      <c r="AB16" s="785" t="b">
        <f t="shared" si="15"/>
        <v>1</v>
      </c>
      <c r="AC16" s="785" t="b">
        <f t="shared" si="15"/>
        <v>1</v>
      </c>
      <c r="AD16" s="785" t="b">
        <f t="shared" si="15"/>
        <v>1</v>
      </c>
      <c r="AE16" s="785" t="b">
        <f t="shared" si="15"/>
        <v>1</v>
      </c>
      <c r="AF16" s="802" t="str">
        <f t="shared" si="19"/>
        <v/>
      </c>
      <c r="AG16" s="803" t="str">
        <f t="shared" si="20"/>
        <v/>
      </c>
      <c r="AH16" s="803" t="str">
        <f t="shared" si="21"/>
        <v/>
      </c>
      <c r="AI16" s="803" t="str">
        <f t="shared" si="22"/>
        <v/>
      </c>
      <c r="AJ16" s="803" t="str">
        <f t="shared" si="23"/>
        <v/>
      </c>
      <c r="AK16" s="803" t="str">
        <f t="shared" si="24"/>
        <v/>
      </c>
      <c r="AL16" s="803" t="str">
        <f t="shared" si="25"/>
        <v/>
      </c>
      <c r="AM16" s="803" t="str">
        <f t="shared" si="26"/>
        <v/>
      </c>
      <c r="AN16" s="803" t="str">
        <f t="shared" si="27"/>
        <v/>
      </c>
      <c r="AO16" s="803" t="str">
        <f t="shared" si="28"/>
        <v/>
      </c>
      <c r="AP16" s="803" t="str">
        <f t="shared" si="29"/>
        <v/>
      </c>
      <c r="AQ16" s="804" t="str">
        <f t="shared" si="30"/>
        <v/>
      </c>
    </row>
    <row r="17" spans="1:43">
      <c r="A17" s="795" t="str">
        <f t="shared" si="31"/>
        <v>Ca 1,</v>
      </c>
      <c r="B17" s="315" t="s">
        <v>280</v>
      </c>
      <c r="C17" s="315" t="str">
        <f t="shared" si="0"/>
        <v>Nhiệt độ bồn màu Cr2O3
三價鉻 溫度</v>
      </c>
      <c r="D17" s="315" t="str">
        <f t="shared" si="1"/>
        <v>XL-001F</v>
      </c>
      <c r="E17" s="315" t="str">
        <f t="shared" si="2"/>
        <v>0C</v>
      </c>
      <c r="F17" s="315" t="str">
        <f t="shared" si="3"/>
        <v>30-38</v>
      </c>
      <c r="G17" s="778">
        <f t="shared" si="17"/>
        <v>0</v>
      </c>
      <c r="H17" s="778">
        <f t="shared" si="4"/>
        <v>0</v>
      </c>
      <c r="I17" s="778">
        <f t="shared" si="5"/>
        <v>0</v>
      </c>
      <c r="J17" s="778">
        <f t="shared" si="6"/>
        <v>0</v>
      </c>
      <c r="K17" s="778">
        <f t="shared" si="7"/>
        <v>0</v>
      </c>
      <c r="L17" s="778">
        <f t="shared" si="8"/>
        <v>34</v>
      </c>
      <c r="M17" s="778">
        <f t="shared" si="9"/>
        <v>33</v>
      </c>
      <c r="N17" s="778">
        <f t="shared" si="10"/>
        <v>0</v>
      </c>
      <c r="O17" s="778">
        <f t="shared" si="11"/>
        <v>0</v>
      </c>
      <c r="P17" s="778">
        <f t="shared" si="12"/>
        <v>0</v>
      </c>
      <c r="Q17" s="778">
        <f t="shared" si="13"/>
        <v>0</v>
      </c>
      <c r="R17" s="778">
        <f t="shared" si="14"/>
        <v>0</v>
      </c>
      <c r="T17" s="785" t="b">
        <f t="shared" si="18"/>
        <v>1</v>
      </c>
      <c r="U17" s="785" t="b">
        <f t="shared" si="15"/>
        <v>1</v>
      </c>
      <c r="V17" s="785" t="b">
        <f t="shared" si="15"/>
        <v>1</v>
      </c>
      <c r="W17" s="785" t="b">
        <f t="shared" si="15"/>
        <v>1</v>
      </c>
      <c r="X17" s="785" t="b">
        <f t="shared" si="15"/>
        <v>1</v>
      </c>
      <c r="Y17" s="785" t="b">
        <f t="shared" si="15"/>
        <v>1</v>
      </c>
      <c r="Z17" s="785" t="b">
        <f t="shared" si="15"/>
        <v>1</v>
      </c>
      <c r="AA17" s="785" t="b">
        <f t="shared" si="15"/>
        <v>1</v>
      </c>
      <c r="AB17" s="785" t="b">
        <f t="shared" si="15"/>
        <v>1</v>
      </c>
      <c r="AC17" s="785" t="b">
        <f t="shared" si="15"/>
        <v>1</v>
      </c>
      <c r="AD17" s="785" t="b">
        <f t="shared" si="15"/>
        <v>1</v>
      </c>
      <c r="AE17" s="785" t="b">
        <f t="shared" si="15"/>
        <v>1</v>
      </c>
      <c r="AF17" s="802" t="str">
        <f t="shared" si="19"/>
        <v/>
      </c>
      <c r="AG17" s="803" t="str">
        <f t="shared" si="20"/>
        <v/>
      </c>
      <c r="AH17" s="803" t="str">
        <f t="shared" si="21"/>
        <v/>
      </c>
      <c r="AI17" s="803" t="str">
        <f t="shared" si="22"/>
        <v/>
      </c>
      <c r="AJ17" s="803" t="str">
        <f t="shared" si="23"/>
        <v/>
      </c>
      <c r="AK17" s="803" t="str">
        <f t="shared" si="24"/>
        <v/>
      </c>
      <c r="AL17" s="803" t="str">
        <f t="shared" si="25"/>
        <v/>
      </c>
      <c r="AM17" s="803" t="str">
        <f t="shared" si="26"/>
        <v/>
      </c>
      <c r="AN17" s="803" t="str">
        <f t="shared" si="27"/>
        <v/>
      </c>
      <c r="AO17" s="803" t="str">
        <f t="shared" si="28"/>
        <v/>
      </c>
      <c r="AP17" s="803" t="str">
        <f t="shared" si="29"/>
        <v/>
      </c>
      <c r="AQ17" s="804" t="str">
        <f t="shared" si="30"/>
        <v/>
      </c>
    </row>
    <row r="18" spans="1:43" s="316" customFormat="1">
      <c r="A18" s="795" t="str">
        <f t="shared" si="31"/>
        <v>Ca 1,</v>
      </c>
      <c r="B18" s="315" t="s">
        <v>281</v>
      </c>
      <c r="C18" s="315" t="str">
        <f t="shared" si="0"/>
        <v xml:space="preserve">Nhiệt độ bồn nước nóng
熱水溫度 </v>
      </c>
      <c r="D18" s="315" t="str">
        <f t="shared" si="1"/>
        <v>XL-001F</v>
      </c>
      <c r="E18" s="315" t="str">
        <f t="shared" si="2"/>
        <v>0C</v>
      </c>
      <c r="F18" s="315" t="str">
        <f t="shared" si="3"/>
        <v>50~70</v>
      </c>
      <c r="G18" s="778">
        <f t="shared" si="17"/>
        <v>0</v>
      </c>
      <c r="H18" s="778">
        <f t="shared" si="4"/>
        <v>0</v>
      </c>
      <c r="I18" s="778">
        <f t="shared" si="5"/>
        <v>0</v>
      </c>
      <c r="J18" s="778">
        <f t="shared" si="6"/>
        <v>0</v>
      </c>
      <c r="K18" s="778">
        <f t="shared" si="7"/>
        <v>0</v>
      </c>
      <c r="L18" s="778">
        <f t="shared" si="8"/>
        <v>56</v>
      </c>
      <c r="M18" s="778">
        <f t="shared" si="9"/>
        <v>55</v>
      </c>
      <c r="N18" s="778">
        <f t="shared" si="10"/>
        <v>0</v>
      </c>
      <c r="O18" s="778">
        <f t="shared" si="11"/>
        <v>0</v>
      </c>
      <c r="P18" s="778">
        <f t="shared" si="12"/>
        <v>0</v>
      </c>
      <c r="Q18" s="778">
        <f t="shared" si="13"/>
        <v>0</v>
      </c>
      <c r="R18" s="778">
        <f t="shared" si="14"/>
        <v>0</v>
      </c>
      <c r="T18" s="785" t="b">
        <f t="shared" si="18"/>
        <v>1</v>
      </c>
      <c r="U18" s="785" t="b">
        <f t="shared" si="15"/>
        <v>1</v>
      </c>
      <c r="V18" s="785" t="b">
        <f t="shared" si="15"/>
        <v>1</v>
      </c>
      <c r="W18" s="785" t="b">
        <f t="shared" si="15"/>
        <v>1</v>
      </c>
      <c r="X18" s="785" t="b">
        <f t="shared" si="15"/>
        <v>1</v>
      </c>
      <c r="Y18" s="785" t="b">
        <f t="shared" si="15"/>
        <v>1</v>
      </c>
      <c r="Z18" s="785" t="b">
        <f t="shared" si="15"/>
        <v>1</v>
      </c>
      <c r="AA18" s="785" t="b">
        <f t="shared" si="15"/>
        <v>1</v>
      </c>
      <c r="AB18" s="785" t="b">
        <f t="shared" si="15"/>
        <v>1</v>
      </c>
      <c r="AC18" s="785" t="b">
        <f t="shared" si="15"/>
        <v>1</v>
      </c>
      <c r="AD18" s="785" t="b">
        <f t="shared" si="15"/>
        <v>1</v>
      </c>
      <c r="AE18" s="785" t="b">
        <f t="shared" si="15"/>
        <v>1</v>
      </c>
      <c r="AF18" s="802" t="str">
        <f t="shared" si="19"/>
        <v/>
      </c>
      <c r="AG18" s="803" t="str">
        <f t="shared" si="20"/>
        <v/>
      </c>
      <c r="AH18" s="803" t="str">
        <f t="shared" si="21"/>
        <v/>
      </c>
      <c r="AI18" s="803" t="str">
        <f t="shared" si="22"/>
        <v/>
      </c>
      <c r="AJ18" s="803" t="str">
        <f t="shared" si="23"/>
        <v/>
      </c>
      <c r="AK18" s="803" t="str">
        <f t="shared" si="24"/>
        <v/>
      </c>
      <c r="AL18" s="803" t="str">
        <f t="shared" si="25"/>
        <v/>
      </c>
      <c r="AM18" s="803" t="str">
        <f t="shared" si="26"/>
        <v/>
      </c>
      <c r="AN18" s="803" t="str">
        <f t="shared" si="27"/>
        <v/>
      </c>
      <c r="AO18" s="803" t="str">
        <f t="shared" si="28"/>
        <v/>
      </c>
      <c r="AP18" s="803" t="str">
        <f t="shared" si="29"/>
        <v/>
      </c>
      <c r="AQ18" s="804" t="str">
        <f t="shared" si="30"/>
        <v/>
      </c>
    </row>
    <row r="19" spans="1:43" s="316" customFormat="1">
      <c r="A19" s="795" t="str">
        <f t="shared" si="31"/>
        <v>Ca 1,</v>
      </c>
      <c r="B19" s="315" t="s">
        <v>282</v>
      </c>
      <c r="C19" s="315" t="str">
        <f t="shared" si="0"/>
        <v>Sấy khô
烘乾</v>
      </c>
      <c r="D19" s="315" t="str">
        <f t="shared" si="1"/>
        <v>XL-001F</v>
      </c>
      <c r="E19" s="315" t="str">
        <f t="shared" si="2"/>
        <v>0C</v>
      </c>
      <c r="F19" s="315" t="str">
        <f t="shared" si="3"/>
        <v>80~100</v>
      </c>
      <c r="G19" s="778">
        <f t="shared" si="17"/>
        <v>0</v>
      </c>
      <c r="H19" s="778">
        <f t="shared" si="4"/>
        <v>0</v>
      </c>
      <c r="I19" s="778">
        <f t="shared" si="5"/>
        <v>0</v>
      </c>
      <c r="J19" s="778">
        <f t="shared" si="6"/>
        <v>0</v>
      </c>
      <c r="K19" s="778">
        <f t="shared" si="7"/>
        <v>0</v>
      </c>
      <c r="L19" s="778">
        <f t="shared" si="8"/>
        <v>0</v>
      </c>
      <c r="M19" s="778">
        <f t="shared" si="9"/>
        <v>90</v>
      </c>
      <c r="N19" s="778">
        <f t="shared" si="10"/>
        <v>0</v>
      </c>
      <c r="O19" s="778">
        <f t="shared" si="11"/>
        <v>0</v>
      </c>
      <c r="P19" s="778">
        <f t="shared" si="12"/>
        <v>0</v>
      </c>
      <c r="Q19" s="778">
        <f t="shared" si="13"/>
        <v>0</v>
      </c>
      <c r="R19" s="778">
        <f t="shared" si="14"/>
        <v>0</v>
      </c>
      <c r="T19" s="785" t="b">
        <f t="shared" si="18"/>
        <v>1</v>
      </c>
      <c r="U19" s="785" t="b">
        <f t="shared" si="15"/>
        <v>1</v>
      </c>
      <c r="V19" s="785" t="b">
        <f t="shared" si="15"/>
        <v>1</v>
      </c>
      <c r="W19" s="785" t="b">
        <f t="shared" si="15"/>
        <v>1</v>
      </c>
      <c r="X19" s="785" t="b">
        <f t="shared" si="15"/>
        <v>1</v>
      </c>
      <c r="Y19" s="785" t="b">
        <f t="shared" si="15"/>
        <v>1</v>
      </c>
      <c r="Z19" s="785" t="b">
        <f t="shared" si="15"/>
        <v>1</v>
      </c>
      <c r="AA19" s="785" t="b">
        <f t="shared" si="15"/>
        <v>1</v>
      </c>
      <c r="AB19" s="785" t="b">
        <f t="shared" si="15"/>
        <v>1</v>
      </c>
      <c r="AC19" s="785" t="b">
        <f t="shared" si="15"/>
        <v>1</v>
      </c>
      <c r="AD19" s="785" t="b">
        <f t="shared" si="15"/>
        <v>1</v>
      </c>
      <c r="AE19" s="785" t="b">
        <f t="shared" si="15"/>
        <v>1</v>
      </c>
      <c r="AF19" s="802" t="str">
        <f t="shared" si="19"/>
        <v/>
      </c>
      <c r="AG19" s="803" t="str">
        <f t="shared" si="20"/>
        <v/>
      </c>
      <c r="AH19" s="803" t="str">
        <f t="shared" si="21"/>
        <v/>
      </c>
      <c r="AI19" s="803" t="str">
        <f t="shared" si="22"/>
        <v/>
      </c>
      <c r="AJ19" s="803" t="str">
        <f t="shared" si="23"/>
        <v/>
      </c>
      <c r="AK19" s="803" t="str">
        <f t="shared" si="24"/>
        <v/>
      </c>
      <c r="AL19" s="803" t="str">
        <f t="shared" si="25"/>
        <v/>
      </c>
      <c r="AM19" s="803" t="str">
        <f t="shared" si="26"/>
        <v/>
      </c>
      <c r="AN19" s="803" t="str">
        <f t="shared" si="27"/>
        <v/>
      </c>
      <c r="AO19" s="803" t="str">
        <f t="shared" si="28"/>
        <v/>
      </c>
      <c r="AP19" s="803" t="str">
        <f t="shared" si="29"/>
        <v/>
      </c>
      <c r="AQ19" s="804" t="str">
        <f t="shared" si="30"/>
        <v/>
      </c>
    </row>
    <row r="20" spans="1:43" s="316" customFormat="1">
      <c r="A20" s="795" t="str">
        <f t="shared" si="31"/>
        <v>Ca 1,</v>
      </c>
      <c r="B20" s="315" t="s">
        <v>299</v>
      </c>
      <c r="C20" s="315" t="str">
        <f t="shared" si="0"/>
        <v>Nhiệt  độ xà bông nóng (1)
 熱脫脂溫度(1)</v>
      </c>
      <c r="D20" s="315" t="str">
        <f t="shared" si="1"/>
        <v>XT-000C</v>
      </c>
      <c r="E20" s="315" t="str">
        <f t="shared" si="2"/>
        <v>0C</v>
      </c>
      <c r="F20" s="315" t="str">
        <f t="shared" si="3"/>
        <v>50~70</v>
      </c>
      <c r="G20" s="778">
        <f t="shared" si="17"/>
        <v>0</v>
      </c>
      <c r="H20" s="778">
        <f t="shared" si="4"/>
        <v>0</v>
      </c>
      <c r="I20" s="778">
        <f t="shared" si="5"/>
        <v>0</v>
      </c>
      <c r="J20" s="778">
        <f t="shared" si="6"/>
        <v>0</v>
      </c>
      <c r="K20" s="778">
        <f t="shared" si="7"/>
        <v>0</v>
      </c>
      <c r="L20" s="778">
        <f t="shared" si="8"/>
        <v>60</v>
      </c>
      <c r="M20" s="778">
        <f t="shared" si="9"/>
        <v>60</v>
      </c>
      <c r="N20" s="778">
        <f t="shared" si="10"/>
        <v>0</v>
      </c>
      <c r="O20" s="778">
        <f t="shared" si="11"/>
        <v>0</v>
      </c>
      <c r="P20" s="778">
        <f t="shared" si="12"/>
        <v>0</v>
      </c>
      <c r="Q20" s="778">
        <f t="shared" si="13"/>
        <v>0</v>
      </c>
      <c r="R20" s="778">
        <f t="shared" si="14"/>
        <v>0</v>
      </c>
      <c r="T20" s="785" t="b">
        <f t="shared" si="18"/>
        <v>1</v>
      </c>
      <c r="U20" s="785" t="b">
        <f t="shared" si="18"/>
        <v>1</v>
      </c>
      <c r="V20" s="785" t="b">
        <f t="shared" si="18"/>
        <v>1</v>
      </c>
      <c r="W20" s="785" t="b">
        <f t="shared" si="18"/>
        <v>1</v>
      </c>
      <c r="X20" s="785" t="b">
        <f t="shared" si="18"/>
        <v>1</v>
      </c>
      <c r="Y20" s="785" t="b">
        <f t="shared" si="18"/>
        <v>1</v>
      </c>
      <c r="Z20" s="785" t="b">
        <f t="shared" si="18"/>
        <v>1</v>
      </c>
      <c r="AA20" s="785" t="b">
        <f t="shared" si="18"/>
        <v>1</v>
      </c>
      <c r="AB20" s="785" t="b">
        <f t="shared" si="18"/>
        <v>1</v>
      </c>
      <c r="AC20" s="785" t="b">
        <f t="shared" si="18"/>
        <v>1</v>
      </c>
      <c r="AD20" s="785" t="b">
        <f t="shared" si="18"/>
        <v>1</v>
      </c>
      <c r="AE20" s="785" t="b">
        <f t="shared" si="18"/>
        <v>1</v>
      </c>
      <c r="AF20" s="802" t="str">
        <f t="shared" si="19"/>
        <v/>
      </c>
      <c r="AG20" s="803" t="str">
        <f t="shared" si="20"/>
        <v/>
      </c>
      <c r="AH20" s="803" t="str">
        <f t="shared" si="21"/>
        <v/>
      </c>
      <c r="AI20" s="803" t="str">
        <f t="shared" si="22"/>
        <v/>
      </c>
      <c r="AJ20" s="803" t="str">
        <f t="shared" si="23"/>
        <v/>
      </c>
      <c r="AK20" s="803" t="str">
        <f t="shared" si="24"/>
        <v/>
      </c>
      <c r="AL20" s="803" t="str">
        <f t="shared" si="25"/>
        <v/>
      </c>
      <c r="AM20" s="803" t="str">
        <f t="shared" si="26"/>
        <v/>
      </c>
      <c r="AN20" s="803" t="str">
        <f t="shared" si="27"/>
        <v/>
      </c>
      <c r="AO20" s="803" t="str">
        <f t="shared" si="28"/>
        <v/>
      </c>
      <c r="AP20" s="803" t="str">
        <f t="shared" si="29"/>
        <v/>
      </c>
      <c r="AQ20" s="804" t="str">
        <f t="shared" si="30"/>
        <v/>
      </c>
    </row>
    <row r="21" spans="1:43" s="316" customFormat="1">
      <c r="A21" s="795" t="str">
        <f t="shared" si="31"/>
        <v>Ca 1,</v>
      </c>
      <c r="B21" s="315" t="s">
        <v>300</v>
      </c>
      <c r="C21" s="315" t="str">
        <f t="shared" si="0"/>
        <v>Nhiệt  độ xà bông nóng (2)
 熱脫脂溫度(2)</v>
      </c>
      <c r="D21" s="315" t="str">
        <f t="shared" si="1"/>
        <v>XT-000C</v>
      </c>
      <c r="E21" s="315" t="str">
        <f t="shared" si="2"/>
        <v>0C</v>
      </c>
      <c r="F21" s="315" t="str">
        <f t="shared" si="3"/>
        <v>50~70</v>
      </c>
      <c r="G21" s="778">
        <f t="shared" si="17"/>
        <v>0</v>
      </c>
      <c r="H21" s="778">
        <f t="shared" si="4"/>
        <v>0</v>
      </c>
      <c r="I21" s="778">
        <f t="shared" si="5"/>
        <v>0</v>
      </c>
      <c r="J21" s="778">
        <f t="shared" si="6"/>
        <v>0</v>
      </c>
      <c r="K21" s="778">
        <f t="shared" si="7"/>
        <v>0</v>
      </c>
      <c r="L21" s="778">
        <f t="shared" si="8"/>
        <v>62</v>
      </c>
      <c r="M21" s="778">
        <f t="shared" si="9"/>
        <v>61</v>
      </c>
      <c r="N21" s="778">
        <f t="shared" si="10"/>
        <v>0</v>
      </c>
      <c r="O21" s="778">
        <f t="shared" si="11"/>
        <v>0</v>
      </c>
      <c r="P21" s="778">
        <f t="shared" si="12"/>
        <v>0</v>
      </c>
      <c r="Q21" s="778">
        <f t="shared" si="13"/>
        <v>0</v>
      </c>
      <c r="R21" s="778">
        <f t="shared" si="14"/>
        <v>0</v>
      </c>
      <c r="T21" s="785" t="b">
        <f t="shared" si="18"/>
        <v>1</v>
      </c>
      <c r="U21" s="785" t="b">
        <f t="shared" si="18"/>
        <v>1</v>
      </c>
      <c r="V21" s="785" t="b">
        <f t="shared" si="18"/>
        <v>1</v>
      </c>
      <c r="W21" s="785" t="b">
        <f t="shared" si="18"/>
        <v>1</v>
      </c>
      <c r="X21" s="785" t="b">
        <f t="shared" si="18"/>
        <v>1</v>
      </c>
      <c r="Y21" s="785" t="b">
        <f t="shared" si="18"/>
        <v>1</v>
      </c>
      <c r="Z21" s="785" t="b">
        <f t="shared" si="18"/>
        <v>1</v>
      </c>
      <c r="AA21" s="785" t="b">
        <f t="shared" si="18"/>
        <v>1</v>
      </c>
      <c r="AB21" s="785" t="b">
        <f t="shared" si="18"/>
        <v>1</v>
      </c>
      <c r="AC21" s="785" t="b">
        <f t="shared" si="18"/>
        <v>1</v>
      </c>
      <c r="AD21" s="785" t="b">
        <f t="shared" si="18"/>
        <v>1</v>
      </c>
      <c r="AE21" s="785" t="b">
        <f t="shared" si="18"/>
        <v>1</v>
      </c>
      <c r="AF21" s="802" t="str">
        <f t="shared" si="19"/>
        <v/>
      </c>
      <c r="AG21" s="803" t="str">
        <f t="shared" si="20"/>
        <v/>
      </c>
      <c r="AH21" s="803" t="str">
        <f t="shared" si="21"/>
        <v/>
      </c>
      <c r="AI21" s="803" t="str">
        <f t="shared" si="22"/>
        <v/>
      </c>
      <c r="AJ21" s="803" t="str">
        <f t="shared" si="23"/>
        <v/>
      </c>
      <c r="AK21" s="803" t="str">
        <f t="shared" si="24"/>
        <v/>
      </c>
      <c r="AL21" s="803" t="str">
        <f t="shared" si="25"/>
        <v/>
      </c>
      <c r="AM21" s="803" t="str">
        <f t="shared" si="26"/>
        <v/>
      </c>
      <c r="AN21" s="803" t="str">
        <f t="shared" si="27"/>
        <v/>
      </c>
      <c r="AO21" s="803" t="str">
        <f t="shared" si="28"/>
        <v/>
      </c>
      <c r="AP21" s="803" t="str">
        <f t="shared" si="29"/>
        <v/>
      </c>
      <c r="AQ21" s="804" t="str">
        <f t="shared" si="30"/>
        <v/>
      </c>
    </row>
    <row r="22" spans="1:43" s="316" customFormat="1">
      <c r="A22" s="795" t="str">
        <f t="shared" si="31"/>
        <v>Ca 1,</v>
      </c>
      <c r="B22" s="315" t="s">
        <v>301</v>
      </c>
      <c r="C22" s="315" t="str">
        <f t="shared" si="0"/>
        <v>Nhiệt độ điện giải (1) 
電解1 溫度</v>
      </c>
      <c r="D22" s="315" t="str">
        <f t="shared" si="1"/>
        <v>XT-000C</v>
      </c>
      <c r="E22" s="315" t="str">
        <f t="shared" si="2"/>
        <v>0C</v>
      </c>
      <c r="F22" s="315" t="str">
        <f t="shared" si="3"/>
        <v>50~70</v>
      </c>
      <c r="G22" s="778">
        <f t="shared" si="17"/>
        <v>0</v>
      </c>
      <c r="H22" s="778">
        <f t="shared" si="4"/>
        <v>0</v>
      </c>
      <c r="I22" s="778">
        <f t="shared" si="5"/>
        <v>0</v>
      </c>
      <c r="J22" s="778">
        <f t="shared" si="6"/>
        <v>0</v>
      </c>
      <c r="K22" s="778">
        <f t="shared" si="7"/>
        <v>0</v>
      </c>
      <c r="L22" s="778">
        <f t="shared" si="8"/>
        <v>60</v>
      </c>
      <c r="M22" s="778">
        <f t="shared" si="9"/>
        <v>60</v>
      </c>
      <c r="N22" s="778">
        <f t="shared" si="10"/>
        <v>0</v>
      </c>
      <c r="O22" s="778">
        <f t="shared" si="11"/>
        <v>0</v>
      </c>
      <c r="P22" s="778">
        <f t="shared" si="12"/>
        <v>0</v>
      </c>
      <c r="Q22" s="778">
        <f t="shared" si="13"/>
        <v>0</v>
      </c>
      <c r="R22" s="778">
        <f t="shared" si="14"/>
        <v>0</v>
      </c>
      <c r="T22" s="785" t="b">
        <f t="shared" si="18"/>
        <v>1</v>
      </c>
      <c r="U22" s="785" t="b">
        <f t="shared" si="18"/>
        <v>1</v>
      </c>
      <c r="V22" s="785" t="b">
        <f t="shared" si="18"/>
        <v>1</v>
      </c>
      <c r="W22" s="785" t="b">
        <f t="shared" si="18"/>
        <v>1</v>
      </c>
      <c r="X22" s="785" t="b">
        <f t="shared" si="18"/>
        <v>1</v>
      </c>
      <c r="Y22" s="785" t="b">
        <f t="shared" si="18"/>
        <v>1</v>
      </c>
      <c r="Z22" s="785" t="b">
        <f t="shared" si="18"/>
        <v>1</v>
      </c>
      <c r="AA22" s="785" t="b">
        <f t="shared" si="18"/>
        <v>1</v>
      </c>
      <c r="AB22" s="785" t="b">
        <f t="shared" si="18"/>
        <v>1</v>
      </c>
      <c r="AC22" s="785" t="b">
        <f t="shared" si="18"/>
        <v>1</v>
      </c>
      <c r="AD22" s="785" t="b">
        <f t="shared" si="18"/>
        <v>1</v>
      </c>
      <c r="AE22" s="785" t="b">
        <f t="shared" si="18"/>
        <v>1</v>
      </c>
      <c r="AF22" s="802" t="str">
        <f t="shared" si="19"/>
        <v/>
      </c>
      <c r="AG22" s="803" t="str">
        <f t="shared" si="20"/>
        <v/>
      </c>
      <c r="AH22" s="803" t="str">
        <f t="shared" si="21"/>
        <v/>
      </c>
      <c r="AI22" s="803" t="str">
        <f t="shared" si="22"/>
        <v/>
      </c>
      <c r="AJ22" s="803" t="str">
        <f t="shared" si="23"/>
        <v/>
      </c>
      <c r="AK22" s="803" t="str">
        <f t="shared" si="24"/>
        <v/>
      </c>
      <c r="AL22" s="803" t="str">
        <f t="shared" si="25"/>
        <v/>
      </c>
      <c r="AM22" s="803" t="str">
        <f t="shared" si="26"/>
        <v/>
      </c>
      <c r="AN22" s="803" t="str">
        <f t="shared" si="27"/>
        <v/>
      </c>
      <c r="AO22" s="803" t="str">
        <f t="shared" si="28"/>
        <v/>
      </c>
      <c r="AP22" s="803" t="str">
        <f t="shared" si="29"/>
        <v/>
      </c>
      <c r="AQ22" s="804" t="str">
        <f t="shared" si="30"/>
        <v/>
      </c>
    </row>
    <row r="23" spans="1:43" s="316" customFormat="1">
      <c r="A23" s="795" t="str">
        <f t="shared" si="31"/>
        <v>Ca 1,</v>
      </c>
      <c r="B23" s="315" t="s">
        <v>302</v>
      </c>
      <c r="C23" s="315" t="str">
        <f t="shared" si="0"/>
        <v>Nhiệt độ điện giải (2)
電解 2 溫度</v>
      </c>
      <c r="D23" s="315" t="str">
        <f t="shared" si="1"/>
        <v>XT-000C</v>
      </c>
      <c r="E23" s="315" t="str">
        <f t="shared" si="2"/>
        <v>0C</v>
      </c>
      <c r="F23" s="315" t="str">
        <f t="shared" si="3"/>
        <v>50~70</v>
      </c>
      <c r="G23" s="778">
        <f t="shared" si="17"/>
        <v>0</v>
      </c>
      <c r="H23" s="778">
        <f t="shared" si="4"/>
        <v>0</v>
      </c>
      <c r="I23" s="778">
        <f t="shared" si="5"/>
        <v>0</v>
      </c>
      <c r="J23" s="778">
        <f t="shared" si="6"/>
        <v>0</v>
      </c>
      <c r="K23" s="778">
        <f t="shared" si="7"/>
        <v>0</v>
      </c>
      <c r="L23" s="778">
        <f t="shared" si="8"/>
        <v>60</v>
      </c>
      <c r="M23" s="778">
        <f t="shared" si="9"/>
        <v>60</v>
      </c>
      <c r="N23" s="778">
        <f t="shared" si="10"/>
        <v>0</v>
      </c>
      <c r="O23" s="778">
        <f t="shared" si="11"/>
        <v>0</v>
      </c>
      <c r="P23" s="778">
        <f t="shared" si="12"/>
        <v>0</v>
      </c>
      <c r="Q23" s="778">
        <f t="shared" si="13"/>
        <v>0</v>
      </c>
      <c r="R23" s="778">
        <f t="shared" si="14"/>
        <v>0</v>
      </c>
      <c r="T23" s="785" t="b">
        <f t="shared" si="18"/>
        <v>1</v>
      </c>
      <c r="U23" s="785" t="b">
        <f t="shared" si="18"/>
        <v>1</v>
      </c>
      <c r="V23" s="785" t="b">
        <f t="shared" si="18"/>
        <v>1</v>
      </c>
      <c r="W23" s="785" t="b">
        <f t="shared" si="18"/>
        <v>1</v>
      </c>
      <c r="X23" s="785" t="b">
        <f t="shared" si="18"/>
        <v>1</v>
      </c>
      <c r="Y23" s="785" t="b">
        <f t="shared" si="18"/>
        <v>1</v>
      </c>
      <c r="Z23" s="785" t="b">
        <f t="shared" si="18"/>
        <v>1</v>
      </c>
      <c r="AA23" s="785" t="b">
        <f t="shared" si="18"/>
        <v>1</v>
      </c>
      <c r="AB23" s="785" t="b">
        <f t="shared" si="18"/>
        <v>1</v>
      </c>
      <c r="AC23" s="785" t="b">
        <f t="shared" si="18"/>
        <v>1</v>
      </c>
      <c r="AD23" s="785" t="b">
        <f t="shared" si="18"/>
        <v>1</v>
      </c>
      <c r="AE23" s="785" t="b">
        <f t="shared" si="18"/>
        <v>1</v>
      </c>
      <c r="AF23" s="802" t="str">
        <f t="shared" si="19"/>
        <v/>
      </c>
      <c r="AG23" s="803" t="str">
        <f t="shared" si="20"/>
        <v/>
      </c>
      <c r="AH23" s="803" t="str">
        <f t="shared" si="21"/>
        <v/>
      </c>
      <c r="AI23" s="803" t="str">
        <f t="shared" si="22"/>
        <v/>
      </c>
      <c r="AJ23" s="803" t="str">
        <f t="shared" si="23"/>
        <v/>
      </c>
      <c r="AK23" s="803" t="str">
        <f t="shared" si="24"/>
        <v/>
      </c>
      <c r="AL23" s="803" t="str">
        <f t="shared" si="25"/>
        <v/>
      </c>
      <c r="AM23" s="803" t="str">
        <f t="shared" si="26"/>
        <v/>
      </c>
      <c r="AN23" s="803" t="str">
        <f t="shared" si="27"/>
        <v/>
      </c>
      <c r="AO23" s="803" t="str">
        <f t="shared" si="28"/>
        <v/>
      </c>
      <c r="AP23" s="803" t="str">
        <f t="shared" si="29"/>
        <v/>
      </c>
      <c r="AQ23" s="804" t="str">
        <f t="shared" si="30"/>
        <v/>
      </c>
    </row>
    <row r="24" spans="1:43" s="316" customFormat="1">
      <c r="A24" s="795" t="str">
        <f t="shared" si="31"/>
        <v>Ca 1,</v>
      </c>
      <c r="B24" s="315" t="s">
        <v>313</v>
      </c>
      <c r="C24" s="315" t="str">
        <f t="shared" si="0"/>
        <v>Nhiệt độ bồn xi
鍍鋅槽溫度</v>
      </c>
      <c r="D24" s="315" t="str">
        <f t="shared" si="1"/>
        <v>XT-000C</v>
      </c>
      <c r="E24" s="315" t="str">
        <f t="shared" si="2"/>
        <v>0C</v>
      </c>
      <c r="F24" s="315" t="str">
        <f t="shared" si="3"/>
        <v>22~28</v>
      </c>
      <c r="G24" s="778">
        <f t="shared" si="17"/>
        <v>0</v>
      </c>
      <c r="H24" s="778">
        <f t="shared" si="4"/>
        <v>0</v>
      </c>
      <c r="I24" s="778">
        <f t="shared" si="5"/>
        <v>0</v>
      </c>
      <c r="J24" s="778">
        <f t="shared" si="6"/>
        <v>0</v>
      </c>
      <c r="K24" s="778">
        <f t="shared" si="7"/>
        <v>0</v>
      </c>
      <c r="L24" s="778">
        <f t="shared" si="8"/>
        <v>26</v>
      </c>
      <c r="M24" s="778">
        <f t="shared" si="9"/>
        <v>26</v>
      </c>
      <c r="N24" s="778">
        <f t="shared" si="10"/>
        <v>0</v>
      </c>
      <c r="O24" s="778">
        <f t="shared" si="11"/>
        <v>0</v>
      </c>
      <c r="P24" s="778">
        <f t="shared" si="12"/>
        <v>0</v>
      </c>
      <c r="Q24" s="778">
        <f t="shared" si="13"/>
        <v>0</v>
      </c>
      <c r="R24" s="778">
        <f t="shared" si="14"/>
        <v>0</v>
      </c>
      <c r="T24" s="785" t="b">
        <f t="shared" si="18"/>
        <v>1</v>
      </c>
      <c r="U24" s="785" t="b">
        <f t="shared" si="18"/>
        <v>1</v>
      </c>
      <c r="V24" s="785" t="b">
        <f t="shared" si="18"/>
        <v>1</v>
      </c>
      <c r="W24" s="785" t="b">
        <f t="shared" si="18"/>
        <v>1</v>
      </c>
      <c r="X24" s="785" t="b">
        <f t="shared" si="18"/>
        <v>1</v>
      </c>
      <c r="Y24" s="785" t="b">
        <f t="shared" si="18"/>
        <v>1</v>
      </c>
      <c r="Z24" s="785" t="b">
        <f t="shared" si="18"/>
        <v>1</v>
      </c>
      <c r="AA24" s="785" t="b">
        <f t="shared" si="18"/>
        <v>1</v>
      </c>
      <c r="AB24" s="785" t="b">
        <f t="shared" si="18"/>
        <v>1</v>
      </c>
      <c r="AC24" s="785" t="b">
        <f t="shared" si="18"/>
        <v>1</v>
      </c>
      <c r="AD24" s="785" t="b">
        <f t="shared" si="18"/>
        <v>1</v>
      </c>
      <c r="AE24" s="785" t="b">
        <f t="shared" si="18"/>
        <v>1</v>
      </c>
      <c r="AF24" s="802" t="str">
        <f t="shared" si="19"/>
        <v/>
      </c>
      <c r="AG24" s="803" t="str">
        <f t="shared" si="20"/>
        <v/>
      </c>
      <c r="AH24" s="803" t="str">
        <f t="shared" si="21"/>
        <v/>
      </c>
      <c r="AI24" s="803" t="str">
        <f t="shared" si="22"/>
        <v/>
      </c>
      <c r="AJ24" s="803" t="str">
        <f t="shared" si="23"/>
        <v/>
      </c>
      <c r="AK24" s="803" t="str">
        <f t="shared" si="24"/>
        <v/>
      </c>
      <c r="AL24" s="803" t="str">
        <f t="shared" si="25"/>
        <v/>
      </c>
      <c r="AM24" s="803" t="str">
        <f t="shared" si="26"/>
        <v/>
      </c>
      <c r="AN24" s="803" t="str">
        <f t="shared" si="27"/>
        <v/>
      </c>
      <c r="AO24" s="803" t="str">
        <f t="shared" si="28"/>
        <v/>
      </c>
      <c r="AP24" s="803" t="str">
        <f t="shared" si="29"/>
        <v/>
      </c>
      <c r="AQ24" s="804" t="str">
        <f t="shared" si="30"/>
        <v/>
      </c>
    </row>
    <row r="25" spans="1:43" s="316" customFormat="1">
      <c r="A25" s="795" t="str">
        <f t="shared" si="31"/>
        <v>Ca 1,</v>
      </c>
      <c r="B25" s="315" t="s">
        <v>303</v>
      </c>
      <c r="C25" s="315" t="str">
        <f t="shared" si="0"/>
        <v>Nhiệt độ bồn màu Cr2O3 (I)
三價鉻 溫度  HALO</v>
      </c>
      <c r="D25" s="315" t="str">
        <f t="shared" si="1"/>
        <v>XT-000C</v>
      </c>
      <c r="E25" s="315" t="str">
        <f t="shared" si="2"/>
        <v>0C</v>
      </c>
      <c r="F25" s="315" t="str">
        <f t="shared" si="3"/>
        <v>30~40</v>
      </c>
      <c r="G25" s="778">
        <f t="shared" si="17"/>
        <v>0</v>
      </c>
      <c r="H25" s="778">
        <f t="shared" si="4"/>
        <v>0</v>
      </c>
      <c r="I25" s="778">
        <f t="shared" si="5"/>
        <v>0</v>
      </c>
      <c r="J25" s="778">
        <f t="shared" si="6"/>
        <v>0</v>
      </c>
      <c r="K25" s="778">
        <f t="shared" si="7"/>
        <v>0</v>
      </c>
      <c r="L25" s="778">
        <f t="shared" si="8"/>
        <v>33</v>
      </c>
      <c r="M25" s="778">
        <f t="shared" si="9"/>
        <v>32</v>
      </c>
      <c r="N25" s="778">
        <f t="shared" si="10"/>
        <v>0</v>
      </c>
      <c r="O25" s="778">
        <f t="shared" si="11"/>
        <v>0</v>
      </c>
      <c r="P25" s="778">
        <f t="shared" si="12"/>
        <v>0</v>
      </c>
      <c r="Q25" s="778">
        <f t="shared" si="13"/>
        <v>0</v>
      </c>
      <c r="R25" s="778">
        <f t="shared" si="14"/>
        <v>0</v>
      </c>
      <c r="T25" s="785" t="b">
        <f t="shared" si="18"/>
        <v>1</v>
      </c>
      <c r="U25" s="785" t="b">
        <f t="shared" si="18"/>
        <v>1</v>
      </c>
      <c r="V25" s="785" t="b">
        <f t="shared" si="18"/>
        <v>1</v>
      </c>
      <c r="W25" s="785" t="b">
        <f t="shared" si="18"/>
        <v>1</v>
      </c>
      <c r="X25" s="785" t="b">
        <f t="shared" si="18"/>
        <v>1</v>
      </c>
      <c r="Y25" s="785" t="b">
        <f t="shared" si="18"/>
        <v>1</v>
      </c>
      <c r="Z25" s="785" t="b">
        <f t="shared" si="18"/>
        <v>1</v>
      </c>
      <c r="AA25" s="785" t="b">
        <f t="shared" si="18"/>
        <v>1</v>
      </c>
      <c r="AB25" s="785" t="b">
        <f t="shared" si="18"/>
        <v>1</v>
      </c>
      <c r="AC25" s="785" t="b">
        <f t="shared" si="18"/>
        <v>1</v>
      </c>
      <c r="AD25" s="785" t="b">
        <f t="shared" si="18"/>
        <v>1</v>
      </c>
      <c r="AE25" s="785" t="b">
        <f t="shared" si="18"/>
        <v>1</v>
      </c>
      <c r="AF25" s="802" t="str">
        <f t="shared" si="19"/>
        <v/>
      </c>
      <c r="AG25" s="803" t="str">
        <f t="shared" si="20"/>
        <v/>
      </c>
      <c r="AH25" s="803" t="str">
        <f t="shared" si="21"/>
        <v/>
      </c>
      <c r="AI25" s="803" t="str">
        <f t="shared" si="22"/>
        <v/>
      </c>
      <c r="AJ25" s="803" t="str">
        <f t="shared" si="23"/>
        <v/>
      </c>
      <c r="AK25" s="803" t="str">
        <f t="shared" si="24"/>
        <v/>
      </c>
      <c r="AL25" s="803" t="str">
        <f t="shared" si="25"/>
        <v/>
      </c>
      <c r="AM25" s="803" t="str">
        <f t="shared" si="26"/>
        <v/>
      </c>
      <c r="AN25" s="803" t="str">
        <f t="shared" si="27"/>
        <v/>
      </c>
      <c r="AO25" s="803" t="str">
        <f t="shared" si="28"/>
        <v/>
      </c>
      <c r="AP25" s="803" t="str">
        <f t="shared" si="29"/>
        <v/>
      </c>
      <c r="AQ25" s="804" t="str">
        <f t="shared" si="30"/>
        <v/>
      </c>
    </row>
    <row r="26" spans="1:43" s="316" customFormat="1">
      <c r="A26" s="795" t="str">
        <f t="shared" si="31"/>
        <v>Ca 1,</v>
      </c>
      <c r="B26" s="315" t="s">
        <v>304</v>
      </c>
      <c r="C26" s="315" t="str">
        <f t="shared" si="0"/>
        <v xml:space="preserve">Nhiệt độ bồn nước nóng
熱水溫度 </v>
      </c>
      <c r="D26" s="315" t="str">
        <f t="shared" si="1"/>
        <v>XT-000C</v>
      </c>
      <c r="E26" s="315" t="str">
        <f t="shared" si="2"/>
        <v>0C</v>
      </c>
      <c r="F26" s="315" t="str">
        <f t="shared" si="3"/>
        <v>55~65</v>
      </c>
      <c r="G26" s="778">
        <f t="shared" si="17"/>
        <v>0</v>
      </c>
      <c r="H26" s="778">
        <f t="shared" si="4"/>
        <v>0</v>
      </c>
      <c r="I26" s="778">
        <f t="shared" si="5"/>
        <v>0</v>
      </c>
      <c r="J26" s="778">
        <f t="shared" si="6"/>
        <v>0</v>
      </c>
      <c r="K26" s="778">
        <f t="shared" si="7"/>
        <v>0</v>
      </c>
      <c r="L26" s="778">
        <f t="shared" si="8"/>
        <v>56</v>
      </c>
      <c r="M26" s="778">
        <f t="shared" si="9"/>
        <v>55</v>
      </c>
      <c r="N26" s="778">
        <f t="shared" si="10"/>
        <v>0</v>
      </c>
      <c r="O26" s="778">
        <f t="shared" si="11"/>
        <v>0</v>
      </c>
      <c r="P26" s="778">
        <f t="shared" si="12"/>
        <v>0</v>
      </c>
      <c r="Q26" s="778">
        <f t="shared" si="13"/>
        <v>0</v>
      </c>
      <c r="R26" s="778">
        <f t="shared" si="14"/>
        <v>0</v>
      </c>
      <c r="T26" s="785" t="b">
        <f t="shared" si="18"/>
        <v>1</v>
      </c>
      <c r="U26" s="785" t="b">
        <f t="shared" si="18"/>
        <v>1</v>
      </c>
      <c r="V26" s="785" t="b">
        <f t="shared" si="18"/>
        <v>1</v>
      </c>
      <c r="W26" s="785" t="b">
        <f t="shared" si="18"/>
        <v>1</v>
      </c>
      <c r="X26" s="785" t="b">
        <f t="shared" si="18"/>
        <v>1</v>
      </c>
      <c r="Y26" s="785" t="b">
        <f t="shared" si="18"/>
        <v>1</v>
      </c>
      <c r="Z26" s="785" t="b">
        <f t="shared" si="18"/>
        <v>1</v>
      </c>
      <c r="AA26" s="785" t="b">
        <f t="shared" si="18"/>
        <v>1</v>
      </c>
      <c r="AB26" s="785" t="b">
        <f t="shared" si="18"/>
        <v>1</v>
      </c>
      <c r="AC26" s="785" t="b">
        <f t="shared" si="18"/>
        <v>1</v>
      </c>
      <c r="AD26" s="785" t="b">
        <f t="shared" si="18"/>
        <v>1</v>
      </c>
      <c r="AE26" s="785" t="b">
        <f t="shared" si="18"/>
        <v>1</v>
      </c>
      <c r="AF26" s="802" t="str">
        <f t="shared" si="19"/>
        <v/>
      </c>
      <c r="AG26" s="803" t="str">
        <f t="shared" si="20"/>
        <v/>
      </c>
      <c r="AH26" s="803" t="str">
        <f t="shared" si="21"/>
        <v/>
      </c>
      <c r="AI26" s="803" t="str">
        <f t="shared" si="22"/>
        <v/>
      </c>
      <c r="AJ26" s="803" t="str">
        <f t="shared" si="23"/>
        <v/>
      </c>
      <c r="AK26" s="803" t="str">
        <f t="shared" si="24"/>
        <v/>
      </c>
      <c r="AL26" s="803" t="str">
        <f t="shared" si="25"/>
        <v/>
      </c>
      <c r="AM26" s="803" t="str">
        <f t="shared" si="26"/>
        <v/>
      </c>
      <c r="AN26" s="803" t="str">
        <f t="shared" si="27"/>
        <v/>
      </c>
      <c r="AO26" s="803" t="str">
        <f t="shared" si="28"/>
        <v/>
      </c>
      <c r="AP26" s="803" t="str">
        <f t="shared" si="29"/>
        <v/>
      </c>
      <c r="AQ26" s="804" t="str">
        <f t="shared" si="30"/>
        <v/>
      </c>
    </row>
    <row r="27" spans="1:43" s="316" customFormat="1">
      <c r="A27" s="795" t="str">
        <f t="shared" si="31"/>
        <v>Ca 1,</v>
      </c>
      <c r="B27" s="315" t="s">
        <v>305</v>
      </c>
      <c r="C27" s="315" t="str">
        <f t="shared" si="0"/>
        <v>Sấy khô
烘乾</v>
      </c>
      <c r="D27" s="315" t="str">
        <f t="shared" si="1"/>
        <v>XT-000C</v>
      </c>
      <c r="E27" s="315" t="str">
        <f t="shared" si="2"/>
        <v>0C</v>
      </c>
      <c r="F27" s="315" t="str">
        <f t="shared" si="3"/>
        <v>80~100</v>
      </c>
      <c r="G27" s="778">
        <f t="shared" si="17"/>
        <v>0</v>
      </c>
      <c r="H27" s="778">
        <f t="shared" si="4"/>
        <v>0</v>
      </c>
      <c r="I27" s="778">
        <f t="shared" si="5"/>
        <v>0</v>
      </c>
      <c r="J27" s="778">
        <f t="shared" si="6"/>
        <v>0</v>
      </c>
      <c r="K27" s="778">
        <f t="shared" si="7"/>
        <v>0</v>
      </c>
      <c r="L27" s="778" t="str">
        <f t="shared" si="8"/>
        <v>\</v>
      </c>
      <c r="M27" s="778">
        <f t="shared" si="9"/>
        <v>90</v>
      </c>
      <c r="N27" s="778">
        <f t="shared" si="10"/>
        <v>0</v>
      </c>
      <c r="O27" s="778">
        <f t="shared" si="11"/>
        <v>0</v>
      </c>
      <c r="P27" s="778">
        <f t="shared" si="12"/>
        <v>0</v>
      </c>
      <c r="Q27" s="778">
        <f t="shared" si="13"/>
        <v>0</v>
      </c>
      <c r="R27" s="778">
        <f t="shared" si="14"/>
        <v>0</v>
      </c>
      <c r="T27" s="785" t="b">
        <f t="shared" si="18"/>
        <v>1</v>
      </c>
      <c r="U27" s="785" t="b">
        <f t="shared" si="18"/>
        <v>1</v>
      </c>
      <c r="V27" s="785" t="b">
        <f t="shared" si="18"/>
        <v>1</v>
      </c>
      <c r="W27" s="785" t="b">
        <f t="shared" si="18"/>
        <v>1</v>
      </c>
      <c r="X27" s="785" t="b">
        <f t="shared" si="18"/>
        <v>1</v>
      </c>
      <c r="Y27" s="785" t="b">
        <f t="shared" si="18"/>
        <v>0</v>
      </c>
      <c r="Z27" s="785" t="b">
        <f t="shared" si="18"/>
        <v>1</v>
      </c>
      <c r="AA27" s="785" t="b">
        <f t="shared" si="18"/>
        <v>1</v>
      </c>
      <c r="AB27" s="785" t="b">
        <f t="shared" si="18"/>
        <v>1</v>
      </c>
      <c r="AC27" s="785" t="b">
        <f t="shared" si="18"/>
        <v>1</v>
      </c>
      <c r="AD27" s="785" t="b">
        <f t="shared" si="18"/>
        <v>1</v>
      </c>
      <c r="AE27" s="785" t="b">
        <f t="shared" si="18"/>
        <v>1</v>
      </c>
      <c r="AF27" s="802" t="str">
        <f t="shared" si="19"/>
        <v/>
      </c>
      <c r="AG27" s="803" t="str">
        <f t="shared" si="20"/>
        <v/>
      </c>
      <c r="AH27" s="803" t="str">
        <f t="shared" si="21"/>
        <v/>
      </c>
      <c r="AI27" s="803" t="str">
        <f t="shared" si="22"/>
        <v/>
      </c>
      <c r="AJ27" s="803" t="str">
        <f t="shared" si="23"/>
        <v/>
      </c>
      <c r="AK27" s="803">
        <f t="shared" si="24"/>
        <v>1</v>
      </c>
      <c r="AL27" s="803" t="str">
        <f t="shared" si="25"/>
        <v/>
      </c>
      <c r="AM27" s="803" t="str">
        <f t="shared" si="26"/>
        <v/>
      </c>
      <c r="AN27" s="803" t="str">
        <f t="shared" si="27"/>
        <v/>
      </c>
      <c r="AO27" s="803" t="str">
        <f t="shared" si="28"/>
        <v/>
      </c>
      <c r="AP27" s="803" t="str">
        <f t="shared" si="29"/>
        <v/>
      </c>
      <c r="AQ27" s="804" t="str">
        <f t="shared" si="30"/>
        <v/>
      </c>
    </row>
    <row r="28" spans="1:43" s="776" customFormat="1">
      <c r="A28" s="795" t="str">
        <f t="shared" si="31"/>
        <v>Ca 1,</v>
      </c>
      <c r="B28" s="756" t="s">
        <v>444</v>
      </c>
      <c r="C28" s="756" t="str">
        <f t="shared" ref="C28:C51" si="32">IFERROR(VLOOKUP($B28,RLMLXD,2,0),"")</f>
        <v>Muối axit Phosphoric (1)
磷酸鹽</v>
      </c>
      <c r="D28" s="756" t="str">
        <f t="shared" ref="D28:D51" si="33">IFERROR(VLOOKUP($B28,RLMLXD,43,0),"")</f>
        <v>CR-000E</v>
      </c>
      <c r="E28" s="756" t="str">
        <f t="shared" ref="E28:E51" si="34">IFERROR(VLOOKUP($B28,RLMLXD,4,0),"")</f>
        <v>0C</v>
      </c>
      <c r="F28" s="756" t="str">
        <f t="shared" ref="F28:F51" si="35">IFERROR(VLOOKUP($B28,RLMLXD,5,0),"")</f>
        <v>65~85OC</v>
      </c>
      <c r="G28" s="780">
        <f t="shared" ref="G28:G51" si="36">IFERROR(VLOOKUP($B28,RLMLXD,8,0),"")</f>
        <v>0</v>
      </c>
      <c r="H28" s="780">
        <f t="shared" ref="H28:H51" si="37">IFERROR(VLOOKUP($B28,RLMLXD,11,0),"")</f>
        <v>0</v>
      </c>
      <c r="I28" s="780">
        <f t="shared" ref="I28:I51" si="38">IFERROR(VLOOKUP($B28,RLMLXD,14,0),"")</f>
        <v>0</v>
      </c>
      <c r="J28" s="780">
        <f t="shared" ref="J28:J51" si="39">IFERROR(VLOOKUP($B28,RLMLXD,17,0),"")</f>
        <v>0</v>
      </c>
      <c r="K28" s="780">
        <f t="shared" ref="K28:K51" si="40">IFERROR(VLOOKUP($B28,RLMLXD,20,0),"")</f>
        <v>0</v>
      </c>
      <c r="L28" s="780">
        <f t="shared" ref="L28:L51" si="41">IFERROR(VLOOKUP($B28,RLMLXD,23,0),"")</f>
        <v>0</v>
      </c>
      <c r="M28" s="780">
        <f t="shared" ref="M28:M51" si="42">IFERROR(VLOOKUP($B28,RLMLXD,26,0),"")</f>
        <v>0</v>
      </c>
      <c r="N28" s="780">
        <f t="shared" ref="N28:N51" si="43">IFERROR(VLOOKUP($B28,RLMLXD,29,0),"")</f>
        <v>0</v>
      </c>
      <c r="O28" s="780">
        <f t="shared" ref="O28:O51" si="44">IFERROR(VLOOKUP($B28,RLMLXD,32,0),"")</f>
        <v>0</v>
      </c>
      <c r="P28" s="780">
        <f t="shared" ref="P28:P51" si="45">IFERROR(VLOOKUP($B28,RLMLXD,35,0),"")</f>
        <v>0</v>
      </c>
      <c r="Q28" s="780">
        <f t="shared" ref="Q28:Q51" si="46">IFERROR(VLOOKUP($B28,RLMLXD,38,0),"")</f>
        <v>0</v>
      </c>
      <c r="R28" s="780">
        <f t="shared" ref="R28:R51" si="47">IFERROR(VLOOKUP($B28,RLMLXD,41,0),"")</f>
        <v>0</v>
      </c>
      <c r="T28" s="785" t="b">
        <f t="shared" si="18"/>
        <v>1</v>
      </c>
      <c r="U28" s="785" t="b">
        <f t="shared" si="18"/>
        <v>1</v>
      </c>
      <c r="V28" s="785" t="b">
        <f t="shared" si="18"/>
        <v>1</v>
      </c>
      <c r="W28" s="785" t="b">
        <f t="shared" si="18"/>
        <v>1</v>
      </c>
      <c r="X28" s="785" t="b">
        <f t="shared" si="18"/>
        <v>1</v>
      </c>
      <c r="Y28" s="785" t="b">
        <f t="shared" si="18"/>
        <v>1</v>
      </c>
      <c r="Z28" s="785" t="b">
        <f t="shared" si="18"/>
        <v>1</v>
      </c>
      <c r="AA28" s="785" t="b">
        <f t="shared" si="18"/>
        <v>1</v>
      </c>
      <c r="AB28" s="785" t="b">
        <f t="shared" si="18"/>
        <v>1</v>
      </c>
      <c r="AC28" s="785" t="b">
        <f t="shared" si="18"/>
        <v>1</v>
      </c>
      <c r="AD28" s="785" t="b">
        <f t="shared" si="18"/>
        <v>1</v>
      </c>
      <c r="AE28" s="785" t="b">
        <f t="shared" si="18"/>
        <v>1</v>
      </c>
      <c r="AF28" s="802" t="str">
        <f t="shared" si="19"/>
        <v/>
      </c>
      <c r="AG28" s="803" t="str">
        <f t="shared" si="20"/>
        <v/>
      </c>
      <c r="AH28" s="803" t="str">
        <f t="shared" si="21"/>
        <v/>
      </c>
      <c r="AI28" s="803" t="str">
        <f t="shared" si="22"/>
        <v/>
      </c>
      <c r="AJ28" s="803" t="str">
        <f t="shared" si="23"/>
        <v/>
      </c>
      <c r="AK28" s="803" t="str">
        <f t="shared" si="24"/>
        <v/>
      </c>
      <c r="AL28" s="803" t="str">
        <f t="shared" si="25"/>
        <v/>
      </c>
      <c r="AM28" s="803" t="str">
        <f t="shared" si="26"/>
        <v/>
      </c>
      <c r="AN28" s="803" t="str">
        <f t="shared" si="27"/>
        <v/>
      </c>
      <c r="AO28" s="803" t="str">
        <f t="shared" si="28"/>
        <v/>
      </c>
      <c r="AP28" s="803" t="str">
        <f t="shared" si="29"/>
        <v/>
      </c>
      <c r="AQ28" s="804" t="str">
        <f t="shared" si="30"/>
        <v/>
      </c>
    </row>
    <row r="29" spans="1:43">
      <c r="A29" s="795" t="str">
        <f t="shared" si="31"/>
        <v>Ca 1,</v>
      </c>
      <c r="B29" s="315" t="s">
        <v>446</v>
      </c>
      <c r="C29" s="315" t="str">
        <f t="shared" si="32"/>
        <v>Muối axit Phosphoric (2)
磷酸鹽</v>
      </c>
      <c r="D29" s="315" t="str">
        <f t="shared" si="33"/>
        <v>CR-000E</v>
      </c>
      <c r="E29" s="315" t="str">
        <f t="shared" si="34"/>
        <v>0C</v>
      </c>
      <c r="F29" s="315" t="str">
        <f t="shared" si="35"/>
        <v>65~85OC</v>
      </c>
      <c r="G29" s="778">
        <f t="shared" si="36"/>
        <v>0</v>
      </c>
      <c r="H29" s="778">
        <f t="shared" si="37"/>
        <v>0</v>
      </c>
      <c r="I29" s="778">
        <f t="shared" si="38"/>
        <v>0</v>
      </c>
      <c r="J29" s="778">
        <f t="shared" si="39"/>
        <v>0</v>
      </c>
      <c r="K29" s="778">
        <f t="shared" si="40"/>
        <v>0</v>
      </c>
      <c r="L29" s="778">
        <f t="shared" si="41"/>
        <v>0</v>
      </c>
      <c r="M29" s="778">
        <f t="shared" si="42"/>
        <v>0</v>
      </c>
      <c r="N29" s="778">
        <f t="shared" si="43"/>
        <v>0</v>
      </c>
      <c r="O29" s="778">
        <f t="shared" si="44"/>
        <v>0</v>
      </c>
      <c r="P29" s="778">
        <f t="shared" si="45"/>
        <v>0</v>
      </c>
      <c r="Q29" s="778">
        <f t="shared" si="46"/>
        <v>0</v>
      </c>
      <c r="R29" s="778">
        <f t="shared" si="47"/>
        <v>0</v>
      </c>
      <c r="T29" s="785" t="b">
        <f t="shared" si="18"/>
        <v>1</v>
      </c>
      <c r="U29" s="785" t="b">
        <f t="shared" si="18"/>
        <v>1</v>
      </c>
      <c r="V29" s="785" t="b">
        <f t="shared" si="18"/>
        <v>1</v>
      </c>
      <c r="W29" s="785" t="b">
        <f t="shared" si="18"/>
        <v>1</v>
      </c>
      <c r="X29" s="785" t="b">
        <f t="shared" si="18"/>
        <v>1</v>
      </c>
      <c r="Y29" s="785" t="b">
        <f t="shared" si="18"/>
        <v>1</v>
      </c>
      <c r="Z29" s="785" t="b">
        <f t="shared" si="18"/>
        <v>1</v>
      </c>
      <c r="AA29" s="785" t="b">
        <f t="shared" si="18"/>
        <v>1</v>
      </c>
      <c r="AB29" s="785" t="b">
        <f t="shared" si="18"/>
        <v>1</v>
      </c>
      <c r="AC29" s="785" t="b">
        <f t="shared" si="18"/>
        <v>1</v>
      </c>
      <c r="AD29" s="785" t="b">
        <f t="shared" si="18"/>
        <v>1</v>
      </c>
      <c r="AE29" s="785" t="b">
        <f t="shared" si="18"/>
        <v>1</v>
      </c>
      <c r="AF29" s="802" t="str">
        <f t="shared" si="19"/>
        <v/>
      </c>
      <c r="AG29" s="803" t="str">
        <f t="shared" si="20"/>
        <v/>
      </c>
      <c r="AH29" s="803" t="str">
        <f t="shared" si="21"/>
        <v/>
      </c>
      <c r="AI29" s="803" t="str">
        <f t="shared" si="22"/>
        <v/>
      </c>
      <c r="AJ29" s="803" t="str">
        <f t="shared" si="23"/>
        <v/>
      </c>
      <c r="AK29" s="803" t="str">
        <f t="shared" si="24"/>
        <v/>
      </c>
      <c r="AL29" s="803" t="str">
        <f t="shared" si="25"/>
        <v/>
      </c>
      <c r="AM29" s="803" t="str">
        <f t="shared" si="26"/>
        <v/>
      </c>
      <c r="AN29" s="803" t="str">
        <f t="shared" si="27"/>
        <v/>
      </c>
      <c r="AO29" s="803" t="str">
        <f t="shared" si="28"/>
        <v/>
      </c>
      <c r="AP29" s="803" t="str">
        <f t="shared" si="29"/>
        <v/>
      </c>
      <c r="AQ29" s="804" t="str">
        <f t="shared" si="30"/>
        <v/>
      </c>
    </row>
    <row r="30" spans="1:43">
      <c r="A30" s="795" t="str">
        <f t="shared" si="31"/>
        <v>Ca 1,</v>
      </c>
      <c r="B30" s="315" t="s">
        <v>448</v>
      </c>
      <c r="C30" s="315" t="str">
        <f t="shared" si="32"/>
        <v>Xà bông bôi trơn
潤滑皂</v>
      </c>
      <c r="D30" s="315" t="str">
        <f t="shared" si="33"/>
        <v>CR-000E</v>
      </c>
      <c r="E30" s="315" t="str">
        <f t="shared" si="34"/>
        <v>0C</v>
      </c>
      <c r="F30" s="315" t="str">
        <f t="shared" si="35"/>
        <v>80~90OC</v>
      </c>
      <c r="G30" s="778">
        <f t="shared" si="36"/>
        <v>0</v>
      </c>
      <c r="H30" s="778">
        <f t="shared" si="37"/>
        <v>0</v>
      </c>
      <c r="I30" s="778">
        <f t="shared" si="38"/>
        <v>0</v>
      </c>
      <c r="J30" s="778">
        <f t="shared" si="39"/>
        <v>0</v>
      </c>
      <c r="K30" s="778">
        <f t="shared" si="40"/>
        <v>0</v>
      </c>
      <c r="L30" s="778">
        <f t="shared" si="41"/>
        <v>0</v>
      </c>
      <c r="M30" s="778">
        <f t="shared" si="42"/>
        <v>0</v>
      </c>
      <c r="N30" s="778">
        <f t="shared" si="43"/>
        <v>0</v>
      </c>
      <c r="O30" s="778">
        <f t="shared" si="44"/>
        <v>0</v>
      </c>
      <c r="P30" s="778">
        <f t="shared" si="45"/>
        <v>0</v>
      </c>
      <c r="Q30" s="778">
        <f t="shared" si="46"/>
        <v>0</v>
      </c>
      <c r="R30" s="778">
        <f t="shared" si="47"/>
        <v>0</v>
      </c>
      <c r="T30" s="785" t="b">
        <f t="shared" si="18"/>
        <v>1</v>
      </c>
      <c r="U30" s="785" t="b">
        <f t="shared" si="18"/>
        <v>1</v>
      </c>
      <c r="V30" s="785" t="b">
        <f t="shared" si="18"/>
        <v>1</v>
      </c>
      <c r="W30" s="785" t="b">
        <f t="shared" si="18"/>
        <v>1</v>
      </c>
      <c r="X30" s="785" t="b">
        <f t="shared" si="18"/>
        <v>1</v>
      </c>
      <c r="Y30" s="785" t="b">
        <f t="shared" si="18"/>
        <v>1</v>
      </c>
      <c r="Z30" s="785" t="b">
        <f t="shared" si="18"/>
        <v>1</v>
      </c>
      <c r="AA30" s="785" t="b">
        <f t="shared" si="18"/>
        <v>1</v>
      </c>
      <c r="AB30" s="785" t="b">
        <f t="shared" si="18"/>
        <v>1</v>
      </c>
      <c r="AC30" s="785" t="b">
        <f t="shared" si="18"/>
        <v>1</v>
      </c>
      <c r="AD30" s="785" t="b">
        <f t="shared" si="18"/>
        <v>1</v>
      </c>
      <c r="AE30" s="785" t="b">
        <f t="shared" si="18"/>
        <v>1</v>
      </c>
      <c r="AF30" s="802" t="str">
        <f t="shared" si="19"/>
        <v/>
      </c>
      <c r="AG30" s="803" t="str">
        <f t="shared" si="20"/>
        <v/>
      </c>
      <c r="AH30" s="803" t="str">
        <f t="shared" si="21"/>
        <v/>
      </c>
      <c r="AI30" s="803" t="str">
        <f t="shared" si="22"/>
        <v/>
      </c>
      <c r="AJ30" s="803" t="str">
        <f t="shared" si="23"/>
        <v/>
      </c>
      <c r="AK30" s="803" t="str">
        <f t="shared" si="24"/>
        <v/>
      </c>
      <c r="AL30" s="803" t="str">
        <f t="shared" si="25"/>
        <v/>
      </c>
      <c r="AM30" s="803" t="str">
        <f t="shared" si="26"/>
        <v/>
      </c>
      <c r="AN30" s="803" t="str">
        <f t="shared" si="27"/>
        <v/>
      </c>
      <c r="AO30" s="803" t="str">
        <f t="shared" si="28"/>
        <v/>
      </c>
      <c r="AP30" s="803" t="str">
        <f t="shared" si="29"/>
        <v/>
      </c>
      <c r="AQ30" s="804" t="str">
        <f t="shared" si="30"/>
        <v/>
      </c>
    </row>
    <row r="31" spans="1:43">
      <c r="A31" s="795" t="str">
        <f t="shared" si="31"/>
        <v>Ca 1,</v>
      </c>
      <c r="B31" s="315" t="s">
        <v>453</v>
      </c>
      <c r="C31" s="315" t="str">
        <f t="shared" si="32"/>
        <v/>
      </c>
      <c r="D31" s="315" t="str">
        <f t="shared" si="33"/>
        <v/>
      </c>
      <c r="E31" s="315" t="str">
        <f t="shared" si="34"/>
        <v/>
      </c>
      <c r="F31" s="315" t="str">
        <f t="shared" si="35"/>
        <v/>
      </c>
      <c r="G31" s="778" t="str">
        <f t="shared" si="36"/>
        <v/>
      </c>
      <c r="H31" s="778" t="str">
        <f t="shared" si="37"/>
        <v/>
      </c>
      <c r="I31" s="778" t="str">
        <f t="shared" si="38"/>
        <v/>
      </c>
      <c r="J31" s="778" t="str">
        <f t="shared" si="39"/>
        <v/>
      </c>
      <c r="K31" s="778" t="str">
        <f t="shared" si="40"/>
        <v/>
      </c>
      <c r="L31" s="778" t="str">
        <f t="shared" si="41"/>
        <v/>
      </c>
      <c r="M31" s="778" t="str">
        <f t="shared" si="42"/>
        <v/>
      </c>
      <c r="N31" s="778" t="str">
        <f t="shared" si="43"/>
        <v/>
      </c>
      <c r="O31" s="778" t="str">
        <f t="shared" si="44"/>
        <v/>
      </c>
      <c r="P31" s="778" t="str">
        <f t="shared" si="45"/>
        <v/>
      </c>
      <c r="Q31" s="778" t="str">
        <f t="shared" si="46"/>
        <v/>
      </c>
      <c r="R31" s="778" t="str">
        <f t="shared" si="47"/>
        <v/>
      </c>
      <c r="T31" s="785" t="b">
        <f t="shared" si="18"/>
        <v>0</v>
      </c>
      <c r="U31" s="785" t="b">
        <f t="shared" si="18"/>
        <v>0</v>
      </c>
      <c r="V31" s="785" t="b">
        <f t="shared" si="18"/>
        <v>0</v>
      </c>
      <c r="W31" s="785" t="b">
        <f t="shared" si="18"/>
        <v>0</v>
      </c>
      <c r="X31" s="785" t="b">
        <f t="shared" si="18"/>
        <v>0</v>
      </c>
      <c r="Y31" s="785" t="b">
        <f t="shared" si="18"/>
        <v>0</v>
      </c>
      <c r="Z31" s="785" t="b">
        <f t="shared" si="18"/>
        <v>0</v>
      </c>
      <c r="AA31" s="785" t="b">
        <f t="shared" si="18"/>
        <v>0</v>
      </c>
      <c r="AB31" s="785" t="b">
        <f t="shared" si="18"/>
        <v>0</v>
      </c>
      <c r="AC31" s="785" t="b">
        <f t="shared" si="18"/>
        <v>0</v>
      </c>
      <c r="AD31" s="785" t="b">
        <f t="shared" si="18"/>
        <v>0</v>
      </c>
      <c r="AE31" s="785" t="b">
        <f t="shared" si="18"/>
        <v>0</v>
      </c>
      <c r="AF31" s="802">
        <f t="shared" si="19"/>
        <v>1</v>
      </c>
      <c r="AG31" s="803">
        <f t="shared" si="20"/>
        <v>1</v>
      </c>
      <c r="AH31" s="803">
        <f t="shared" si="21"/>
        <v>1</v>
      </c>
      <c r="AI31" s="803">
        <f t="shared" si="22"/>
        <v>1</v>
      </c>
      <c r="AJ31" s="803">
        <f t="shared" si="23"/>
        <v>1</v>
      </c>
      <c r="AK31" s="803">
        <f t="shared" si="24"/>
        <v>1</v>
      </c>
      <c r="AL31" s="803">
        <f t="shared" si="25"/>
        <v>1</v>
      </c>
      <c r="AM31" s="803">
        <f t="shared" si="26"/>
        <v>1</v>
      </c>
      <c r="AN31" s="803">
        <f t="shared" si="27"/>
        <v>1</v>
      </c>
      <c r="AO31" s="803">
        <f t="shared" si="28"/>
        <v>1</v>
      </c>
      <c r="AP31" s="803">
        <f t="shared" si="29"/>
        <v>1</v>
      </c>
      <c r="AQ31" s="804">
        <f t="shared" si="30"/>
        <v>1</v>
      </c>
    </row>
    <row r="32" spans="1:43">
      <c r="A32" s="795" t="str">
        <f t="shared" si="31"/>
        <v>Ca 1,</v>
      </c>
      <c r="B32" s="315" t="s">
        <v>455</v>
      </c>
      <c r="C32" s="315" t="str">
        <f t="shared" si="32"/>
        <v/>
      </c>
      <c r="D32" s="315" t="str">
        <f t="shared" si="33"/>
        <v/>
      </c>
      <c r="E32" s="315" t="str">
        <f t="shared" si="34"/>
        <v/>
      </c>
      <c r="F32" s="315" t="str">
        <f t="shared" si="35"/>
        <v/>
      </c>
      <c r="G32" s="778" t="str">
        <f t="shared" si="36"/>
        <v/>
      </c>
      <c r="H32" s="778" t="str">
        <f t="shared" si="37"/>
        <v/>
      </c>
      <c r="I32" s="778" t="str">
        <f t="shared" si="38"/>
        <v/>
      </c>
      <c r="J32" s="778" t="str">
        <f t="shared" si="39"/>
        <v/>
      </c>
      <c r="K32" s="778" t="str">
        <f t="shared" si="40"/>
        <v/>
      </c>
      <c r="L32" s="778" t="str">
        <f t="shared" si="41"/>
        <v/>
      </c>
      <c r="M32" s="778" t="str">
        <f t="shared" si="42"/>
        <v/>
      </c>
      <c r="N32" s="778" t="str">
        <f t="shared" si="43"/>
        <v/>
      </c>
      <c r="O32" s="778" t="str">
        <f t="shared" si="44"/>
        <v/>
      </c>
      <c r="P32" s="778" t="str">
        <f t="shared" si="45"/>
        <v/>
      </c>
      <c r="Q32" s="778" t="str">
        <f t="shared" si="46"/>
        <v/>
      </c>
      <c r="R32" s="778" t="str">
        <f t="shared" si="47"/>
        <v/>
      </c>
      <c r="T32" s="785" t="b">
        <f t="shared" si="18"/>
        <v>0</v>
      </c>
      <c r="U32" s="785" t="b">
        <f t="shared" si="18"/>
        <v>0</v>
      </c>
      <c r="V32" s="785" t="b">
        <f t="shared" si="18"/>
        <v>0</v>
      </c>
      <c r="W32" s="785" t="b">
        <f t="shared" si="18"/>
        <v>0</v>
      </c>
      <c r="X32" s="785" t="b">
        <f t="shared" si="18"/>
        <v>0</v>
      </c>
      <c r="Y32" s="785" t="b">
        <f t="shared" si="18"/>
        <v>0</v>
      </c>
      <c r="Z32" s="785" t="b">
        <f t="shared" si="18"/>
        <v>0</v>
      </c>
      <c r="AA32" s="785" t="b">
        <f t="shared" si="18"/>
        <v>0</v>
      </c>
      <c r="AB32" s="785" t="b">
        <f t="shared" si="18"/>
        <v>0</v>
      </c>
      <c r="AC32" s="785" t="b">
        <f t="shared" si="18"/>
        <v>0</v>
      </c>
      <c r="AD32" s="785" t="b">
        <f t="shared" si="18"/>
        <v>0</v>
      </c>
      <c r="AE32" s="785" t="b">
        <f t="shared" si="18"/>
        <v>0</v>
      </c>
      <c r="AF32" s="802">
        <f t="shared" si="19"/>
        <v>1</v>
      </c>
      <c r="AG32" s="803">
        <f t="shared" si="20"/>
        <v>1</v>
      </c>
      <c r="AH32" s="803">
        <f t="shared" si="21"/>
        <v>1</v>
      </c>
      <c r="AI32" s="803">
        <f t="shared" si="22"/>
        <v>1</v>
      </c>
      <c r="AJ32" s="803">
        <f t="shared" si="23"/>
        <v>1</v>
      </c>
      <c r="AK32" s="803">
        <f t="shared" si="24"/>
        <v>1</v>
      </c>
      <c r="AL32" s="803">
        <f t="shared" si="25"/>
        <v>1</v>
      </c>
      <c r="AM32" s="803">
        <f t="shared" si="26"/>
        <v>1</v>
      </c>
      <c r="AN32" s="803">
        <f t="shared" si="27"/>
        <v>1</v>
      </c>
      <c r="AO32" s="803">
        <f t="shared" si="28"/>
        <v>1</v>
      </c>
      <c r="AP32" s="803">
        <f t="shared" si="29"/>
        <v>1</v>
      </c>
      <c r="AQ32" s="804">
        <f t="shared" si="30"/>
        <v>1</v>
      </c>
    </row>
    <row r="33" spans="1:43">
      <c r="A33" s="795" t="str">
        <f t="shared" si="31"/>
        <v>Ca 1,</v>
      </c>
      <c r="B33" s="315" t="s">
        <v>468</v>
      </c>
      <c r="C33" s="315" t="str">
        <f t="shared" si="32"/>
        <v/>
      </c>
      <c r="D33" s="315" t="str">
        <f t="shared" si="33"/>
        <v/>
      </c>
      <c r="E33" s="315" t="str">
        <f t="shared" si="34"/>
        <v/>
      </c>
      <c r="F33" s="315" t="str">
        <f t="shared" si="35"/>
        <v/>
      </c>
      <c r="G33" s="778" t="str">
        <f t="shared" si="36"/>
        <v/>
      </c>
      <c r="H33" s="778" t="str">
        <f t="shared" si="37"/>
        <v/>
      </c>
      <c r="I33" s="778" t="str">
        <f t="shared" si="38"/>
        <v/>
      </c>
      <c r="J33" s="778" t="str">
        <f t="shared" si="39"/>
        <v/>
      </c>
      <c r="K33" s="778" t="str">
        <f t="shared" si="40"/>
        <v/>
      </c>
      <c r="L33" s="778" t="str">
        <f t="shared" si="41"/>
        <v/>
      </c>
      <c r="M33" s="778" t="str">
        <f t="shared" si="42"/>
        <v/>
      </c>
      <c r="N33" s="778" t="str">
        <f t="shared" si="43"/>
        <v/>
      </c>
      <c r="O33" s="778" t="str">
        <f t="shared" si="44"/>
        <v/>
      </c>
      <c r="P33" s="778" t="str">
        <f t="shared" si="45"/>
        <v/>
      </c>
      <c r="Q33" s="778" t="str">
        <f t="shared" si="46"/>
        <v/>
      </c>
      <c r="R33" s="778" t="str">
        <f t="shared" si="47"/>
        <v/>
      </c>
      <c r="T33" s="785" t="b">
        <f t="shared" si="18"/>
        <v>0</v>
      </c>
      <c r="U33" s="785" t="b">
        <f t="shared" si="18"/>
        <v>0</v>
      </c>
      <c r="V33" s="785" t="b">
        <f t="shared" si="18"/>
        <v>0</v>
      </c>
      <c r="W33" s="785" t="b">
        <f t="shared" si="18"/>
        <v>0</v>
      </c>
      <c r="X33" s="785" t="b">
        <f t="shared" si="18"/>
        <v>0</v>
      </c>
      <c r="Y33" s="785" t="b">
        <f t="shared" si="18"/>
        <v>0</v>
      </c>
      <c r="Z33" s="785" t="b">
        <f t="shared" si="18"/>
        <v>0</v>
      </c>
      <c r="AA33" s="785" t="b">
        <f t="shared" si="18"/>
        <v>0</v>
      </c>
      <c r="AB33" s="785" t="b">
        <f t="shared" si="18"/>
        <v>0</v>
      </c>
      <c r="AC33" s="785" t="b">
        <f t="shared" si="18"/>
        <v>0</v>
      </c>
      <c r="AD33" s="785" t="b">
        <f t="shared" si="18"/>
        <v>0</v>
      </c>
      <c r="AE33" s="785" t="b">
        <f t="shared" si="18"/>
        <v>0</v>
      </c>
      <c r="AF33" s="802">
        <f t="shared" si="19"/>
        <v>1</v>
      </c>
      <c r="AG33" s="803">
        <f t="shared" si="20"/>
        <v>1</v>
      </c>
      <c r="AH33" s="803">
        <f t="shared" si="21"/>
        <v>1</v>
      </c>
      <c r="AI33" s="803">
        <f t="shared" si="22"/>
        <v>1</v>
      </c>
      <c r="AJ33" s="803">
        <f t="shared" si="23"/>
        <v>1</v>
      </c>
      <c r="AK33" s="803">
        <f t="shared" si="24"/>
        <v>1</v>
      </c>
      <c r="AL33" s="803">
        <f t="shared" si="25"/>
        <v>1</v>
      </c>
      <c r="AM33" s="803">
        <f t="shared" si="26"/>
        <v>1</v>
      </c>
      <c r="AN33" s="803">
        <f t="shared" si="27"/>
        <v>1</v>
      </c>
      <c r="AO33" s="803">
        <f t="shared" si="28"/>
        <v>1</v>
      </c>
      <c r="AP33" s="803">
        <f t="shared" si="29"/>
        <v>1</v>
      </c>
      <c r="AQ33" s="804">
        <f t="shared" si="30"/>
        <v>1</v>
      </c>
    </row>
    <row r="34" spans="1:43">
      <c r="A34" s="795" t="str">
        <f t="shared" si="31"/>
        <v>Ca 1,</v>
      </c>
      <c r="B34" s="315" t="s">
        <v>469</v>
      </c>
      <c r="C34" s="315" t="str">
        <f t="shared" si="32"/>
        <v/>
      </c>
      <c r="D34" s="315" t="str">
        <f t="shared" si="33"/>
        <v/>
      </c>
      <c r="E34" s="315" t="str">
        <f t="shared" si="34"/>
        <v/>
      </c>
      <c r="F34" s="315" t="str">
        <f t="shared" si="35"/>
        <v/>
      </c>
      <c r="G34" s="778" t="str">
        <f t="shared" si="36"/>
        <v/>
      </c>
      <c r="H34" s="778" t="str">
        <f t="shared" si="37"/>
        <v/>
      </c>
      <c r="I34" s="778" t="str">
        <f t="shared" si="38"/>
        <v/>
      </c>
      <c r="J34" s="778" t="str">
        <f t="shared" si="39"/>
        <v/>
      </c>
      <c r="K34" s="778" t="str">
        <f t="shared" si="40"/>
        <v/>
      </c>
      <c r="L34" s="778" t="str">
        <f t="shared" si="41"/>
        <v/>
      </c>
      <c r="M34" s="778" t="str">
        <f t="shared" si="42"/>
        <v/>
      </c>
      <c r="N34" s="778" t="str">
        <f t="shared" si="43"/>
        <v/>
      </c>
      <c r="O34" s="778" t="str">
        <f t="shared" si="44"/>
        <v/>
      </c>
      <c r="P34" s="778" t="str">
        <f t="shared" si="45"/>
        <v/>
      </c>
      <c r="Q34" s="778" t="str">
        <f t="shared" si="46"/>
        <v/>
      </c>
      <c r="R34" s="778" t="str">
        <f t="shared" si="47"/>
        <v/>
      </c>
      <c r="T34" s="785" t="b">
        <f t="shared" si="18"/>
        <v>0</v>
      </c>
      <c r="U34" s="785" t="b">
        <f t="shared" si="18"/>
        <v>0</v>
      </c>
      <c r="V34" s="785" t="b">
        <f t="shared" si="18"/>
        <v>0</v>
      </c>
      <c r="W34" s="785" t="b">
        <f t="shared" si="18"/>
        <v>0</v>
      </c>
      <c r="X34" s="785" t="b">
        <f t="shared" si="18"/>
        <v>0</v>
      </c>
      <c r="Y34" s="785" t="b">
        <f t="shared" si="18"/>
        <v>0</v>
      </c>
      <c r="Z34" s="785" t="b">
        <f t="shared" si="18"/>
        <v>0</v>
      </c>
      <c r="AA34" s="785" t="b">
        <f t="shared" si="18"/>
        <v>0</v>
      </c>
      <c r="AB34" s="785" t="b">
        <f t="shared" si="18"/>
        <v>0</v>
      </c>
      <c r="AC34" s="785" t="b">
        <f t="shared" si="18"/>
        <v>0</v>
      </c>
      <c r="AD34" s="785" t="b">
        <f t="shared" si="18"/>
        <v>0</v>
      </c>
      <c r="AE34" s="785" t="b">
        <f t="shared" si="18"/>
        <v>0</v>
      </c>
      <c r="AF34" s="802">
        <f t="shared" si="19"/>
        <v>1</v>
      </c>
      <c r="AG34" s="803">
        <f t="shared" si="20"/>
        <v>1</v>
      </c>
      <c r="AH34" s="803">
        <f t="shared" si="21"/>
        <v>1</v>
      </c>
      <c r="AI34" s="803">
        <f t="shared" si="22"/>
        <v>1</v>
      </c>
      <c r="AJ34" s="803">
        <f t="shared" si="23"/>
        <v>1</v>
      </c>
      <c r="AK34" s="803">
        <f t="shared" si="24"/>
        <v>1</v>
      </c>
      <c r="AL34" s="803">
        <f t="shared" si="25"/>
        <v>1</v>
      </c>
      <c r="AM34" s="803">
        <f t="shared" si="26"/>
        <v>1</v>
      </c>
      <c r="AN34" s="803">
        <f t="shared" si="27"/>
        <v>1</v>
      </c>
      <c r="AO34" s="803">
        <f t="shared" si="28"/>
        <v>1</v>
      </c>
      <c r="AP34" s="803">
        <f t="shared" si="29"/>
        <v>1</v>
      </c>
      <c r="AQ34" s="804">
        <f t="shared" si="30"/>
        <v>1</v>
      </c>
    </row>
    <row r="35" spans="1:43">
      <c r="A35" s="795" t="str">
        <f t="shared" si="31"/>
        <v>Ca 1,</v>
      </c>
      <c r="B35" s="315" t="s">
        <v>470</v>
      </c>
      <c r="C35" s="315" t="str">
        <f t="shared" si="32"/>
        <v/>
      </c>
      <c r="D35" s="315" t="str">
        <f t="shared" si="33"/>
        <v/>
      </c>
      <c r="E35" s="315" t="str">
        <f t="shared" si="34"/>
        <v/>
      </c>
      <c r="F35" s="315" t="str">
        <f t="shared" si="35"/>
        <v/>
      </c>
      <c r="G35" s="778" t="str">
        <f t="shared" si="36"/>
        <v/>
      </c>
      <c r="H35" s="778" t="str">
        <f t="shared" si="37"/>
        <v/>
      </c>
      <c r="I35" s="778" t="str">
        <f t="shared" si="38"/>
        <v/>
      </c>
      <c r="J35" s="778" t="str">
        <f t="shared" si="39"/>
        <v/>
      </c>
      <c r="K35" s="778" t="str">
        <f t="shared" si="40"/>
        <v/>
      </c>
      <c r="L35" s="778" t="str">
        <f t="shared" si="41"/>
        <v/>
      </c>
      <c r="M35" s="778" t="str">
        <f t="shared" si="42"/>
        <v/>
      </c>
      <c r="N35" s="778" t="str">
        <f t="shared" si="43"/>
        <v/>
      </c>
      <c r="O35" s="778" t="str">
        <f t="shared" si="44"/>
        <v/>
      </c>
      <c r="P35" s="778" t="str">
        <f t="shared" si="45"/>
        <v/>
      </c>
      <c r="Q35" s="778" t="str">
        <f t="shared" si="46"/>
        <v/>
      </c>
      <c r="R35" s="778" t="str">
        <f t="shared" si="47"/>
        <v/>
      </c>
      <c r="T35" s="785" t="b">
        <f t="shared" si="18"/>
        <v>0</v>
      </c>
      <c r="U35" s="785" t="b">
        <f t="shared" si="18"/>
        <v>0</v>
      </c>
      <c r="V35" s="785" t="b">
        <f t="shared" si="18"/>
        <v>0</v>
      </c>
      <c r="W35" s="785" t="b">
        <f t="shared" si="18"/>
        <v>0</v>
      </c>
      <c r="X35" s="785" t="b">
        <f t="shared" si="18"/>
        <v>0</v>
      </c>
      <c r="Y35" s="785" t="b">
        <f t="shared" si="18"/>
        <v>0</v>
      </c>
      <c r="Z35" s="785" t="b">
        <f t="shared" si="18"/>
        <v>0</v>
      </c>
      <c r="AA35" s="785" t="b">
        <f t="shared" si="18"/>
        <v>0</v>
      </c>
      <c r="AB35" s="785" t="b">
        <f t="shared" si="18"/>
        <v>0</v>
      </c>
      <c r="AC35" s="785" t="b">
        <f t="shared" si="18"/>
        <v>0</v>
      </c>
      <c r="AD35" s="785" t="b">
        <f t="shared" si="18"/>
        <v>0</v>
      </c>
      <c r="AE35" s="785" t="b">
        <f t="shared" si="18"/>
        <v>0</v>
      </c>
      <c r="AF35" s="802">
        <f t="shared" si="19"/>
        <v>1</v>
      </c>
      <c r="AG35" s="803">
        <f t="shared" si="20"/>
        <v>1</v>
      </c>
      <c r="AH35" s="803">
        <f t="shared" si="21"/>
        <v>1</v>
      </c>
      <c r="AI35" s="803">
        <f t="shared" si="22"/>
        <v>1</v>
      </c>
      <c r="AJ35" s="803">
        <f t="shared" si="23"/>
        <v>1</v>
      </c>
      <c r="AK35" s="803">
        <f t="shared" si="24"/>
        <v>1</v>
      </c>
      <c r="AL35" s="803">
        <f t="shared" si="25"/>
        <v>1</v>
      </c>
      <c r="AM35" s="803">
        <f t="shared" si="26"/>
        <v>1</v>
      </c>
      <c r="AN35" s="803">
        <f t="shared" si="27"/>
        <v>1</v>
      </c>
      <c r="AO35" s="803">
        <f t="shared" si="28"/>
        <v>1</v>
      </c>
      <c r="AP35" s="803">
        <f t="shared" si="29"/>
        <v>1</v>
      </c>
      <c r="AQ35" s="804">
        <f t="shared" si="30"/>
        <v>1</v>
      </c>
    </row>
    <row r="36" spans="1:43">
      <c r="A36" s="795" t="str">
        <f t="shared" si="31"/>
        <v>Ca 1,</v>
      </c>
      <c r="B36" s="315" t="s">
        <v>506</v>
      </c>
      <c r="C36" s="315" t="str">
        <f t="shared" si="32"/>
        <v>Xà bông 1
預脫脂</v>
      </c>
      <c r="D36" s="315" t="str">
        <f t="shared" si="33"/>
        <v>XD-000A</v>
      </c>
      <c r="E36" s="315" t="str">
        <f t="shared" si="34"/>
        <v>0C</v>
      </c>
      <c r="F36" s="315" t="str">
        <f t="shared" si="35"/>
        <v>51~59OC
(55OC)</v>
      </c>
      <c r="G36" s="778">
        <f t="shared" si="36"/>
        <v>58</v>
      </c>
      <c r="H36" s="778">
        <f t="shared" si="37"/>
        <v>60</v>
      </c>
      <c r="I36" s="778">
        <f t="shared" si="38"/>
        <v>0</v>
      </c>
      <c r="J36" s="778">
        <f t="shared" si="39"/>
        <v>0</v>
      </c>
      <c r="K36" s="778">
        <f t="shared" si="40"/>
        <v>0</v>
      </c>
      <c r="L36" s="778">
        <f t="shared" si="41"/>
        <v>0</v>
      </c>
      <c r="M36" s="778">
        <f t="shared" si="42"/>
        <v>0</v>
      </c>
      <c r="N36" s="778">
        <f t="shared" si="43"/>
        <v>0</v>
      </c>
      <c r="O36" s="778">
        <f t="shared" si="44"/>
        <v>0</v>
      </c>
      <c r="P36" s="778">
        <f t="shared" si="45"/>
        <v>0</v>
      </c>
      <c r="Q36" s="778">
        <f t="shared" si="46"/>
        <v>0</v>
      </c>
      <c r="R36" s="778">
        <f t="shared" si="47"/>
        <v>0</v>
      </c>
      <c r="T36" s="785" t="b">
        <f t="shared" si="18"/>
        <v>1</v>
      </c>
      <c r="U36" s="785" t="b">
        <f t="shared" si="18"/>
        <v>1</v>
      </c>
      <c r="V36" s="785" t="b">
        <f t="shared" si="18"/>
        <v>1</v>
      </c>
      <c r="W36" s="785" t="b">
        <f t="shared" si="18"/>
        <v>1</v>
      </c>
      <c r="X36" s="785" t="b">
        <f t="shared" si="18"/>
        <v>1</v>
      </c>
      <c r="Y36" s="785" t="b">
        <f t="shared" si="18"/>
        <v>1</v>
      </c>
      <c r="Z36" s="785" t="b">
        <f t="shared" si="18"/>
        <v>1</v>
      </c>
      <c r="AA36" s="785" t="b">
        <f t="shared" si="18"/>
        <v>1</v>
      </c>
      <c r="AB36" s="785" t="b">
        <f t="shared" si="18"/>
        <v>1</v>
      </c>
      <c r="AC36" s="785" t="b">
        <f t="shared" si="18"/>
        <v>1</v>
      </c>
      <c r="AD36" s="785" t="b">
        <f t="shared" si="18"/>
        <v>1</v>
      </c>
      <c r="AE36" s="785" t="b">
        <f t="shared" si="18"/>
        <v>1</v>
      </c>
      <c r="AF36" s="802" t="str">
        <f t="shared" si="19"/>
        <v/>
      </c>
      <c r="AG36" s="803" t="str">
        <f t="shared" si="20"/>
        <v/>
      </c>
      <c r="AH36" s="803" t="str">
        <f t="shared" si="21"/>
        <v/>
      </c>
      <c r="AI36" s="803" t="str">
        <f t="shared" si="22"/>
        <v/>
      </c>
      <c r="AJ36" s="803" t="str">
        <f t="shared" si="23"/>
        <v/>
      </c>
      <c r="AK36" s="803" t="str">
        <f t="shared" si="24"/>
        <v/>
      </c>
      <c r="AL36" s="803" t="str">
        <f t="shared" si="25"/>
        <v/>
      </c>
      <c r="AM36" s="803" t="str">
        <f t="shared" si="26"/>
        <v/>
      </c>
      <c r="AN36" s="803" t="str">
        <f t="shared" si="27"/>
        <v/>
      </c>
      <c r="AO36" s="803" t="str">
        <f t="shared" si="28"/>
        <v/>
      </c>
      <c r="AP36" s="803" t="str">
        <f t="shared" si="29"/>
        <v/>
      </c>
      <c r="AQ36" s="804" t="str">
        <f t="shared" si="30"/>
        <v/>
      </c>
    </row>
    <row r="37" spans="1:43">
      <c r="A37" s="795" t="str">
        <f t="shared" si="31"/>
        <v>Ca 1,</v>
      </c>
      <c r="B37" s="315" t="s">
        <v>508</v>
      </c>
      <c r="C37" s="315" t="str">
        <f t="shared" si="32"/>
        <v>Xà bông 2
主脫脂</v>
      </c>
      <c r="D37" s="315" t="str">
        <f t="shared" si="33"/>
        <v>XD-000A</v>
      </c>
      <c r="E37" s="315" t="str">
        <f t="shared" si="34"/>
        <v>0C</v>
      </c>
      <c r="F37" s="315" t="str">
        <f t="shared" si="35"/>
        <v>51~59OC
(55OC)</v>
      </c>
      <c r="G37" s="778">
        <f t="shared" si="36"/>
        <v>58</v>
      </c>
      <c r="H37" s="778">
        <f t="shared" si="37"/>
        <v>57</v>
      </c>
      <c r="I37" s="778">
        <f t="shared" si="38"/>
        <v>0</v>
      </c>
      <c r="J37" s="778">
        <f t="shared" si="39"/>
        <v>0</v>
      </c>
      <c r="K37" s="778">
        <f t="shared" si="40"/>
        <v>0</v>
      </c>
      <c r="L37" s="778">
        <f t="shared" si="41"/>
        <v>0</v>
      </c>
      <c r="M37" s="778">
        <f t="shared" si="42"/>
        <v>0</v>
      </c>
      <c r="N37" s="778">
        <f t="shared" si="43"/>
        <v>0</v>
      </c>
      <c r="O37" s="778">
        <f t="shared" si="44"/>
        <v>0</v>
      </c>
      <c r="P37" s="778">
        <f t="shared" si="45"/>
        <v>0</v>
      </c>
      <c r="Q37" s="778">
        <f t="shared" si="46"/>
        <v>0</v>
      </c>
      <c r="R37" s="778">
        <f t="shared" si="47"/>
        <v>0</v>
      </c>
      <c r="T37" s="785" t="b">
        <f t="shared" si="18"/>
        <v>1</v>
      </c>
      <c r="U37" s="785" t="b">
        <f t="shared" si="18"/>
        <v>1</v>
      </c>
      <c r="V37" s="785" t="b">
        <f t="shared" si="18"/>
        <v>1</v>
      </c>
      <c r="W37" s="785" t="b">
        <f t="shared" si="18"/>
        <v>1</v>
      </c>
      <c r="X37" s="785" t="b">
        <f t="shared" si="18"/>
        <v>1</v>
      </c>
      <c r="Y37" s="785" t="b">
        <f t="shared" si="18"/>
        <v>1</v>
      </c>
      <c r="Z37" s="785" t="b">
        <f t="shared" si="18"/>
        <v>1</v>
      </c>
      <c r="AA37" s="785" t="b">
        <f t="shared" si="18"/>
        <v>1</v>
      </c>
      <c r="AB37" s="785" t="b">
        <f t="shared" si="18"/>
        <v>1</v>
      </c>
      <c r="AC37" s="785" t="b">
        <f t="shared" si="18"/>
        <v>1</v>
      </c>
      <c r="AD37" s="785" t="b">
        <f t="shared" si="18"/>
        <v>1</v>
      </c>
      <c r="AE37" s="785" t="b">
        <f t="shared" si="18"/>
        <v>1</v>
      </c>
      <c r="AF37" s="802" t="str">
        <f t="shared" si="19"/>
        <v/>
      </c>
      <c r="AG37" s="803" t="str">
        <f t="shared" si="20"/>
        <v/>
      </c>
      <c r="AH37" s="803" t="str">
        <f t="shared" si="21"/>
        <v/>
      </c>
      <c r="AI37" s="803" t="str">
        <f t="shared" si="22"/>
        <v/>
      </c>
      <c r="AJ37" s="803" t="str">
        <f t="shared" si="23"/>
        <v/>
      </c>
      <c r="AK37" s="803" t="str">
        <f t="shared" si="24"/>
        <v/>
      </c>
      <c r="AL37" s="803" t="str">
        <f t="shared" si="25"/>
        <v/>
      </c>
      <c r="AM37" s="803" t="str">
        <f t="shared" si="26"/>
        <v/>
      </c>
      <c r="AN37" s="803" t="str">
        <f t="shared" si="27"/>
        <v/>
      </c>
      <c r="AO37" s="803" t="str">
        <f t="shared" si="28"/>
        <v/>
      </c>
      <c r="AP37" s="803" t="str">
        <f t="shared" si="29"/>
        <v/>
      </c>
      <c r="AQ37" s="804" t="str">
        <f t="shared" si="30"/>
        <v/>
      </c>
    </row>
    <row r="38" spans="1:43">
      <c r="A38" s="795" t="str">
        <f t="shared" si="31"/>
        <v>Ca 1,</v>
      </c>
      <c r="B38" s="315" t="s">
        <v>509</v>
      </c>
      <c r="C38" s="315" t="str">
        <f t="shared" si="32"/>
        <v xml:space="preserve">Xà bông siêu âm
超音波脫脂
</v>
      </c>
      <c r="D38" s="315" t="str">
        <f t="shared" si="33"/>
        <v>XD-000A</v>
      </c>
      <c r="E38" s="315" t="str">
        <f t="shared" si="34"/>
        <v>0C</v>
      </c>
      <c r="F38" s="315" t="str">
        <f t="shared" si="35"/>
        <v>51~59OC
(55OC)</v>
      </c>
      <c r="G38" s="778">
        <f t="shared" si="36"/>
        <v>58</v>
      </c>
      <c r="H38" s="778">
        <f t="shared" si="37"/>
        <v>58</v>
      </c>
      <c r="I38" s="778">
        <f t="shared" si="38"/>
        <v>0</v>
      </c>
      <c r="J38" s="778">
        <f t="shared" si="39"/>
        <v>0</v>
      </c>
      <c r="K38" s="778">
        <f t="shared" si="40"/>
        <v>0</v>
      </c>
      <c r="L38" s="778">
        <f t="shared" si="41"/>
        <v>0</v>
      </c>
      <c r="M38" s="778">
        <f t="shared" si="42"/>
        <v>0</v>
      </c>
      <c r="N38" s="778">
        <f t="shared" si="43"/>
        <v>0</v>
      </c>
      <c r="O38" s="778">
        <f t="shared" si="44"/>
        <v>0</v>
      </c>
      <c r="P38" s="778">
        <f t="shared" si="45"/>
        <v>0</v>
      </c>
      <c r="Q38" s="778">
        <f t="shared" si="46"/>
        <v>0</v>
      </c>
      <c r="R38" s="778">
        <f t="shared" si="47"/>
        <v>0</v>
      </c>
      <c r="T38" s="785" t="b">
        <f t="shared" si="18"/>
        <v>1</v>
      </c>
      <c r="U38" s="785" t="b">
        <f t="shared" si="18"/>
        <v>1</v>
      </c>
      <c r="V38" s="785" t="b">
        <f t="shared" si="18"/>
        <v>1</v>
      </c>
      <c r="W38" s="785" t="b">
        <f t="shared" si="18"/>
        <v>1</v>
      </c>
      <c r="X38" s="785" t="b">
        <f t="shared" si="18"/>
        <v>1</v>
      </c>
      <c r="Y38" s="785" t="b">
        <f t="shared" si="18"/>
        <v>1</v>
      </c>
      <c r="Z38" s="785" t="b">
        <f t="shared" si="18"/>
        <v>1</v>
      </c>
      <c r="AA38" s="785" t="b">
        <f t="shared" si="18"/>
        <v>1</v>
      </c>
      <c r="AB38" s="785" t="b">
        <f t="shared" si="18"/>
        <v>1</v>
      </c>
      <c r="AC38" s="785" t="b">
        <f t="shared" si="18"/>
        <v>1</v>
      </c>
      <c r="AD38" s="785" t="b">
        <f t="shared" si="18"/>
        <v>1</v>
      </c>
      <c r="AE38" s="785" t="b">
        <f t="shared" si="18"/>
        <v>1</v>
      </c>
      <c r="AF38" s="802" t="str">
        <f t="shared" si="19"/>
        <v/>
      </c>
      <c r="AG38" s="803" t="str">
        <f t="shared" si="20"/>
        <v/>
      </c>
      <c r="AH38" s="803" t="str">
        <f t="shared" si="21"/>
        <v/>
      </c>
      <c r="AI38" s="803" t="str">
        <f t="shared" si="22"/>
        <v/>
      </c>
      <c r="AJ38" s="803" t="str">
        <f t="shared" si="23"/>
        <v/>
      </c>
      <c r="AK38" s="803" t="str">
        <f t="shared" si="24"/>
        <v/>
      </c>
      <c r="AL38" s="803" t="str">
        <f t="shared" si="25"/>
        <v/>
      </c>
      <c r="AM38" s="803" t="str">
        <f t="shared" si="26"/>
        <v/>
      </c>
      <c r="AN38" s="803" t="str">
        <f t="shared" si="27"/>
        <v/>
      </c>
      <c r="AO38" s="803" t="str">
        <f t="shared" si="28"/>
        <v/>
      </c>
      <c r="AP38" s="803" t="str">
        <f t="shared" si="29"/>
        <v/>
      </c>
      <c r="AQ38" s="804" t="str">
        <f t="shared" si="30"/>
        <v/>
      </c>
    </row>
    <row r="39" spans="1:43">
      <c r="A39" s="795" t="str">
        <f t="shared" si="31"/>
        <v>Ca 1,</v>
      </c>
      <c r="B39" s="315" t="s">
        <v>510</v>
      </c>
      <c r="C39" s="315" t="str">
        <f t="shared" si="32"/>
        <v>phosphat    
磷化處理</v>
      </c>
      <c r="D39" s="315" t="str">
        <f t="shared" si="33"/>
        <v>XD-000A</v>
      </c>
      <c r="E39" s="315" t="str">
        <f t="shared" si="34"/>
        <v>0C</v>
      </c>
      <c r="F39" s="315" t="str">
        <f t="shared" si="35"/>
        <v>30~40OC
(35OC)</v>
      </c>
      <c r="G39" s="778">
        <f t="shared" si="36"/>
        <v>43</v>
      </c>
      <c r="H39" s="778">
        <f t="shared" si="37"/>
        <v>34</v>
      </c>
      <c r="I39" s="778">
        <f t="shared" si="38"/>
        <v>0</v>
      </c>
      <c r="J39" s="778">
        <f t="shared" si="39"/>
        <v>0</v>
      </c>
      <c r="K39" s="778">
        <f t="shared" si="40"/>
        <v>0</v>
      </c>
      <c r="L39" s="778">
        <f t="shared" si="41"/>
        <v>0</v>
      </c>
      <c r="M39" s="778">
        <f t="shared" si="42"/>
        <v>0</v>
      </c>
      <c r="N39" s="778">
        <f t="shared" si="43"/>
        <v>0</v>
      </c>
      <c r="O39" s="778">
        <f t="shared" si="44"/>
        <v>0</v>
      </c>
      <c r="P39" s="778">
        <f t="shared" si="45"/>
        <v>0</v>
      </c>
      <c r="Q39" s="778">
        <f t="shared" si="46"/>
        <v>0</v>
      </c>
      <c r="R39" s="778">
        <f t="shared" si="47"/>
        <v>0</v>
      </c>
      <c r="T39" s="785" t="b">
        <f t="shared" si="18"/>
        <v>1</v>
      </c>
      <c r="U39" s="785" t="b">
        <f t="shared" si="18"/>
        <v>1</v>
      </c>
      <c r="V39" s="785" t="b">
        <f t="shared" si="18"/>
        <v>1</v>
      </c>
      <c r="W39" s="785" t="b">
        <f t="shared" si="18"/>
        <v>1</v>
      </c>
      <c r="X39" s="785" t="b">
        <f t="shared" si="18"/>
        <v>1</v>
      </c>
      <c r="Y39" s="785" t="b">
        <f t="shared" si="18"/>
        <v>1</v>
      </c>
      <c r="Z39" s="785" t="b">
        <f t="shared" si="18"/>
        <v>1</v>
      </c>
      <c r="AA39" s="785" t="b">
        <f t="shared" si="18"/>
        <v>1</v>
      </c>
      <c r="AB39" s="785" t="b">
        <f t="shared" si="18"/>
        <v>1</v>
      </c>
      <c r="AC39" s="785" t="b">
        <f t="shared" si="18"/>
        <v>1</v>
      </c>
      <c r="AD39" s="785" t="b">
        <f t="shared" si="18"/>
        <v>1</v>
      </c>
      <c r="AE39" s="785" t="b">
        <f t="shared" si="18"/>
        <v>1</v>
      </c>
      <c r="AF39" s="802" t="str">
        <f t="shared" si="19"/>
        <v/>
      </c>
      <c r="AG39" s="803" t="str">
        <f t="shared" si="20"/>
        <v/>
      </c>
      <c r="AH39" s="803" t="str">
        <f t="shared" si="21"/>
        <v/>
      </c>
      <c r="AI39" s="803" t="str">
        <f t="shared" si="22"/>
        <v/>
      </c>
      <c r="AJ39" s="803" t="str">
        <f t="shared" si="23"/>
        <v/>
      </c>
      <c r="AK39" s="803" t="str">
        <f t="shared" si="24"/>
        <v/>
      </c>
      <c r="AL39" s="803" t="str">
        <f t="shared" si="25"/>
        <v/>
      </c>
      <c r="AM39" s="803" t="str">
        <f t="shared" si="26"/>
        <v/>
      </c>
      <c r="AN39" s="803" t="str">
        <f t="shared" si="27"/>
        <v/>
      </c>
      <c r="AO39" s="803" t="str">
        <f t="shared" si="28"/>
        <v/>
      </c>
      <c r="AP39" s="803" t="str">
        <f t="shared" si="29"/>
        <v/>
      </c>
      <c r="AQ39" s="804" t="str">
        <f t="shared" si="30"/>
        <v/>
      </c>
    </row>
    <row r="40" spans="1:43">
      <c r="A40" s="795" t="str">
        <f t="shared" si="31"/>
        <v>Ca 1,</v>
      </c>
      <c r="B40" s="315" t="s">
        <v>513</v>
      </c>
      <c r="C40" s="315" t="str">
        <f t="shared" si="32"/>
        <v>ED電泳 
ED Bồn sơn tĩnh điện  1</v>
      </c>
      <c r="D40" s="315" t="str">
        <f t="shared" si="33"/>
        <v>XD-000A</v>
      </c>
      <c r="E40" s="315" t="str">
        <f t="shared" si="34"/>
        <v>0C</v>
      </c>
      <c r="F40" s="315" t="str">
        <f t="shared" si="35"/>
        <v>26~32OC
(29OC)</v>
      </c>
      <c r="G40" s="778">
        <f t="shared" si="36"/>
        <v>33</v>
      </c>
      <c r="H40" s="778">
        <f t="shared" si="37"/>
        <v>29</v>
      </c>
      <c r="I40" s="778">
        <f t="shared" si="38"/>
        <v>0</v>
      </c>
      <c r="J40" s="778">
        <f t="shared" si="39"/>
        <v>0</v>
      </c>
      <c r="K40" s="778">
        <f t="shared" si="40"/>
        <v>0</v>
      </c>
      <c r="L40" s="778">
        <f t="shared" si="41"/>
        <v>0</v>
      </c>
      <c r="M40" s="778">
        <f t="shared" si="42"/>
        <v>0</v>
      </c>
      <c r="N40" s="778">
        <f t="shared" si="43"/>
        <v>0</v>
      </c>
      <c r="O40" s="778">
        <f t="shared" si="44"/>
        <v>0</v>
      </c>
      <c r="P40" s="778">
        <f t="shared" si="45"/>
        <v>0</v>
      </c>
      <c r="Q40" s="778">
        <f t="shared" si="46"/>
        <v>0</v>
      </c>
      <c r="R40" s="778">
        <f t="shared" si="47"/>
        <v>0</v>
      </c>
      <c r="T40" s="785" t="b">
        <f t="shared" ref="T40:AE51" si="48">ISNUMBER(G40)</f>
        <v>1</v>
      </c>
      <c r="U40" s="785" t="b">
        <f t="shared" si="48"/>
        <v>1</v>
      </c>
      <c r="V40" s="785" t="b">
        <f t="shared" si="48"/>
        <v>1</v>
      </c>
      <c r="W40" s="785" t="b">
        <f t="shared" si="48"/>
        <v>1</v>
      </c>
      <c r="X40" s="785" t="b">
        <f t="shared" si="48"/>
        <v>1</v>
      </c>
      <c r="Y40" s="785" t="b">
        <f t="shared" si="48"/>
        <v>1</v>
      </c>
      <c r="Z40" s="785" t="b">
        <f t="shared" si="48"/>
        <v>1</v>
      </c>
      <c r="AA40" s="785" t="b">
        <f t="shared" si="48"/>
        <v>1</v>
      </c>
      <c r="AB40" s="785" t="b">
        <f t="shared" si="48"/>
        <v>1</v>
      </c>
      <c r="AC40" s="785" t="b">
        <f t="shared" si="48"/>
        <v>1</v>
      </c>
      <c r="AD40" s="785" t="b">
        <f t="shared" si="48"/>
        <v>1</v>
      </c>
      <c r="AE40" s="785" t="b">
        <f t="shared" si="48"/>
        <v>1</v>
      </c>
      <c r="AF40" s="802" t="str">
        <f t="shared" si="19"/>
        <v/>
      </c>
      <c r="AG40" s="803" t="str">
        <f t="shared" si="20"/>
        <v/>
      </c>
      <c r="AH40" s="803" t="str">
        <f t="shared" si="21"/>
        <v/>
      </c>
      <c r="AI40" s="803" t="str">
        <f t="shared" si="22"/>
        <v/>
      </c>
      <c r="AJ40" s="803" t="str">
        <f t="shared" si="23"/>
        <v/>
      </c>
      <c r="AK40" s="803" t="str">
        <f t="shared" si="24"/>
        <v/>
      </c>
      <c r="AL40" s="803" t="str">
        <f t="shared" si="25"/>
        <v/>
      </c>
      <c r="AM40" s="803" t="str">
        <f t="shared" si="26"/>
        <v/>
      </c>
      <c r="AN40" s="803" t="str">
        <f t="shared" si="27"/>
        <v/>
      </c>
      <c r="AO40" s="803" t="str">
        <f t="shared" si="28"/>
        <v/>
      </c>
      <c r="AP40" s="803" t="str">
        <f t="shared" si="29"/>
        <v/>
      </c>
      <c r="AQ40" s="804" t="str">
        <f t="shared" si="30"/>
        <v/>
      </c>
    </row>
    <row r="41" spans="1:43">
      <c r="A41" s="795" t="str">
        <f t="shared" ref="A41:A51" si="49">IF(B41="","",$A$4)</f>
        <v>Ca 1,</v>
      </c>
      <c r="B41" s="315" t="s">
        <v>518</v>
      </c>
      <c r="C41" s="315" t="str">
        <f t="shared" si="32"/>
        <v xml:space="preserve">sấy khô  烘乾 </v>
      </c>
      <c r="D41" s="315" t="str">
        <f t="shared" si="33"/>
        <v>XD-000A</v>
      </c>
      <c r="E41" s="315" t="str">
        <f t="shared" si="34"/>
        <v>0C</v>
      </c>
      <c r="F41" s="315" t="str">
        <f t="shared" si="35"/>
        <v>170~220℃ 
(195OC)</v>
      </c>
      <c r="G41" s="778">
        <f t="shared" si="36"/>
        <v>0</v>
      </c>
      <c r="H41" s="778">
        <f t="shared" si="37"/>
        <v>181</v>
      </c>
      <c r="I41" s="778">
        <f t="shared" si="38"/>
        <v>0</v>
      </c>
      <c r="J41" s="778">
        <f t="shared" si="39"/>
        <v>0</v>
      </c>
      <c r="K41" s="778">
        <f t="shared" si="40"/>
        <v>0</v>
      </c>
      <c r="L41" s="778">
        <f t="shared" si="41"/>
        <v>0</v>
      </c>
      <c r="M41" s="778">
        <f t="shared" si="42"/>
        <v>0</v>
      </c>
      <c r="N41" s="778">
        <f t="shared" si="43"/>
        <v>0</v>
      </c>
      <c r="O41" s="778">
        <f t="shared" si="44"/>
        <v>0</v>
      </c>
      <c r="P41" s="778">
        <f t="shared" si="45"/>
        <v>0</v>
      </c>
      <c r="Q41" s="778">
        <f t="shared" si="46"/>
        <v>0</v>
      </c>
      <c r="R41" s="778">
        <f t="shared" si="47"/>
        <v>0</v>
      </c>
      <c r="T41" s="785" t="b">
        <f t="shared" si="48"/>
        <v>1</v>
      </c>
      <c r="U41" s="785" t="b">
        <f t="shared" si="48"/>
        <v>1</v>
      </c>
      <c r="V41" s="785" t="b">
        <f t="shared" si="48"/>
        <v>1</v>
      </c>
      <c r="W41" s="785" t="b">
        <f t="shared" si="48"/>
        <v>1</v>
      </c>
      <c r="X41" s="785" t="b">
        <f t="shared" si="48"/>
        <v>1</v>
      </c>
      <c r="Y41" s="785" t="b">
        <f t="shared" si="48"/>
        <v>1</v>
      </c>
      <c r="Z41" s="785" t="b">
        <f t="shared" si="48"/>
        <v>1</v>
      </c>
      <c r="AA41" s="785" t="b">
        <f t="shared" si="48"/>
        <v>1</v>
      </c>
      <c r="AB41" s="785" t="b">
        <f t="shared" si="48"/>
        <v>1</v>
      </c>
      <c r="AC41" s="785" t="b">
        <f t="shared" si="48"/>
        <v>1</v>
      </c>
      <c r="AD41" s="785" t="b">
        <f t="shared" si="48"/>
        <v>1</v>
      </c>
      <c r="AE41" s="785" t="b">
        <f t="shared" si="48"/>
        <v>1</v>
      </c>
      <c r="AF41" s="802" t="str">
        <f t="shared" si="19"/>
        <v/>
      </c>
      <c r="AG41" s="803" t="str">
        <f t="shared" si="20"/>
        <v/>
      </c>
      <c r="AH41" s="803" t="str">
        <f t="shared" si="21"/>
        <v/>
      </c>
      <c r="AI41" s="803" t="str">
        <f t="shared" si="22"/>
        <v/>
      </c>
      <c r="AJ41" s="803" t="str">
        <f t="shared" si="23"/>
        <v/>
      </c>
      <c r="AK41" s="803" t="str">
        <f t="shared" si="24"/>
        <v/>
      </c>
      <c r="AL41" s="803" t="str">
        <f t="shared" si="25"/>
        <v/>
      </c>
      <c r="AM41" s="803" t="str">
        <f t="shared" si="26"/>
        <v/>
      </c>
      <c r="AN41" s="803" t="str">
        <f t="shared" si="27"/>
        <v/>
      </c>
      <c r="AO41" s="803" t="str">
        <f t="shared" si="28"/>
        <v/>
      </c>
      <c r="AP41" s="803" t="str">
        <f t="shared" si="29"/>
        <v/>
      </c>
      <c r="AQ41" s="804" t="str">
        <f t="shared" si="30"/>
        <v/>
      </c>
    </row>
    <row r="42" spans="1:43">
      <c r="A42" s="795" t="str">
        <f t="shared" si="49"/>
        <v>Ca 1,</v>
      </c>
      <c r="B42" s="315" t="s">
        <v>555</v>
      </c>
      <c r="C42" s="315" t="str">
        <f t="shared" si="32"/>
        <v>熱脫脂 Xà bông 1</v>
      </c>
      <c r="D42" s="315" t="str">
        <f t="shared" si="33"/>
        <v>DC-000A</v>
      </c>
      <c r="E42" s="315" t="str">
        <f t="shared" si="34"/>
        <v>0C</v>
      </c>
      <c r="F42" s="315" t="str">
        <f t="shared" si="35"/>
        <v>45~65ºC
(55±8oC)</v>
      </c>
      <c r="G42" s="778">
        <f t="shared" si="36"/>
        <v>61</v>
      </c>
      <c r="H42" s="778">
        <f t="shared" si="37"/>
        <v>64</v>
      </c>
      <c r="I42" s="778">
        <f t="shared" si="38"/>
        <v>60</v>
      </c>
      <c r="J42" s="778">
        <f t="shared" si="39"/>
        <v>63</v>
      </c>
      <c r="K42" s="778">
        <f t="shared" si="40"/>
        <v>0</v>
      </c>
      <c r="L42" s="778">
        <f t="shared" si="41"/>
        <v>0</v>
      </c>
      <c r="M42" s="778">
        <f t="shared" si="42"/>
        <v>0</v>
      </c>
      <c r="N42" s="778">
        <f t="shared" si="43"/>
        <v>0</v>
      </c>
      <c r="O42" s="778">
        <f t="shared" si="44"/>
        <v>0</v>
      </c>
      <c r="P42" s="778">
        <f t="shared" si="45"/>
        <v>0</v>
      </c>
      <c r="Q42" s="778">
        <f t="shared" si="46"/>
        <v>0</v>
      </c>
      <c r="R42" s="778">
        <f t="shared" si="47"/>
        <v>0</v>
      </c>
      <c r="T42" s="785" t="b">
        <f t="shared" si="48"/>
        <v>1</v>
      </c>
      <c r="U42" s="785" t="b">
        <f t="shared" si="48"/>
        <v>1</v>
      </c>
      <c r="V42" s="785" t="b">
        <f t="shared" si="48"/>
        <v>1</v>
      </c>
      <c r="W42" s="785" t="b">
        <f t="shared" si="48"/>
        <v>1</v>
      </c>
      <c r="X42" s="785" t="b">
        <f t="shared" si="48"/>
        <v>1</v>
      </c>
      <c r="Y42" s="785" t="b">
        <f t="shared" si="48"/>
        <v>1</v>
      </c>
      <c r="Z42" s="785" t="b">
        <f t="shared" si="48"/>
        <v>1</v>
      </c>
      <c r="AA42" s="785" t="b">
        <f t="shared" si="48"/>
        <v>1</v>
      </c>
      <c r="AB42" s="785" t="b">
        <f t="shared" si="48"/>
        <v>1</v>
      </c>
      <c r="AC42" s="785" t="b">
        <f t="shared" si="48"/>
        <v>1</v>
      </c>
      <c r="AD42" s="785" t="b">
        <f t="shared" si="48"/>
        <v>1</v>
      </c>
      <c r="AE42" s="785" t="b">
        <f t="shared" si="48"/>
        <v>1</v>
      </c>
      <c r="AF42" s="802" t="str">
        <f t="shared" si="19"/>
        <v/>
      </c>
      <c r="AG42" s="803" t="str">
        <f t="shared" si="20"/>
        <v/>
      </c>
      <c r="AH42" s="803" t="str">
        <f t="shared" si="21"/>
        <v/>
      </c>
      <c r="AI42" s="803" t="str">
        <f t="shared" si="22"/>
        <v/>
      </c>
      <c r="AJ42" s="803" t="str">
        <f t="shared" si="23"/>
        <v/>
      </c>
      <c r="AK42" s="803" t="str">
        <f t="shared" si="24"/>
        <v/>
      </c>
      <c r="AL42" s="803" t="str">
        <f t="shared" si="25"/>
        <v/>
      </c>
      <c r="AM42" s="803" t="str">
        <f t="shared" si="26"/>
        <v/>
      </c>
      <c r="AN42" s="803" t="str">
        <f t="shared" si="27"/>
        <v/>
      </c>
      <c r="AO42" s="803" t="str">
        <f t="shared" si="28"/>
        <v/>
      </c>
      <c r="AP42" s="803" t="str">
        <f t="shared" si="29"/>
        <v/>
      </c>
      <c r="AQ42" s="804" t="str">
        <f t="shared" si="30"/>
        <v/>
      </c>
    </row>
    <row r="43" spans="1:43">
      <c r="A43" s="795" t="str">
        <f t="shared" si="49"/>
        <v>Ca 1,</v>
      </c>
      <c r="B43" s="315" t="s">
        <v>556</v>
      </c>
      <c r="C43" s="315" t="str">
        <f t="shared" si="32"/>
        <v>熱脫脂Xà bôngg 2</v>
      </c>
      <c r="D43" s="315" t="str">
        <f t="shared" si="33"/>
        <v>DC-000A</v>
      </c>
      <c r="E43" s="315" t="str">
        <f t="shared" si="34"/>
        <v>0C</v>
      </c>
      <c r="F43" s="315" t="str">
        <f t="shared" si="35"/>
        <v>45~65ºC
(55±8oC)</v>
      </c>
      <c r="G43" s="778">
        <f t="shared" si="36"/>
        <v>55</v>
      </c>
      <c r="H43" s="778">
        <f t="shared" si="37"/>
        <v>61</v>
      </c>
      <c r="I43" s="778">
        <f t="shared" si="38"/>
        <v>54</v>
      </c>
      <c r="J43" s="778">
        <f t="shared" si="39"/>
        <v>60</v>
      </c>
      <c r="K43" s="778">
        <f t="shared" si="40"/>
        <v>0</v>
      </c>
      <c r="L43" s="778">
        <f t="shared" si="41"/>
        <v>0</v>
      </c>
      <c r="M43" s="778">
        <f t="shared" si="42"/>
        <v>0</v>
      </c>
      <c r="N43" s="778">
        <f t="shared" si="43"/>
        <v>0</v>
      </c>
      <c r="O43" s="778">
        <f t="shared" si="44"/>
        <v>0</v>
      </c>
      <c r="P43" s="778">
        <f t="shared" si="45"/>
        <v>0</v>
      </c>
      <c r="Q43" s="778">
        <f t="shared" si="46"/>
        <v>0</v>
      </c>
      <c r="R43" s="778">
        <f t="shared" si="47"/>
        <v>0</v>
      </c>
      <c r="T43" s="785" t="b">
        <f t="shared" si="48"/>
        <v>1</v>
      </c>
      <c r="U43" s="785" t="b">
        <f t="shared" si="48"/>
        <v>1</v>
      </c>
      <c r="V43" s="785" t="b">
        <f t="shared" si="48"/>
        <v>1</v>
      </c>
      <c r="W43" s="785" t="b">
        <f t="shared" si="48"/>
        <v>1</v>
      </c>
      <c r="X43" s="785" t="b">
        <f t="shared" si="48"/>
        <v>1</v>
      </c>
      <c r="Y43" s="785" t="b">
        <f t="shared" si="48"/>
        <v>1</v>
      </c>
      <c r="Z43" s="785" t="b">
        <f t="shared" si="48"/>
        <v>1</v>
      </c>
      <c r="AA43" s="785" t="b">
        <f t="shared" si="48"/>
        <v>1</v>
      </c>
      <c r="AB43" s="785" t="b">
        <f t="shared" si="48"/>
        <v>1</v>
      </c>
      <c r="AC43" s="785" t="b">
        <f t="shared" si="48"/>
        <v>1</v>
      </c>
      <c r="AD43" s="785" t="b">
        <f t="shared" si="48"/>
        <v>1</v>
      </c>
      <c r="AE43" s="785" t="b">
        <f t="shared" si="48"/>
        <v>1</v>
      </c>
      <c r="AF43" s="802" t="str">
        <f t="shared" si="19"/>
        <v/>
      </c>
      <c r="AG43" s="803" t="str">
        <f t="shared" si="20"/>
        <v/>
      </c>
      <c r="AH43" s="803" t="str">
        <f t="shared" si="21"/>
        <v/>
      </c>
      <c r="AI43" s="803" t="str">
        <f t="shared" si="22"/>
        <v/>
      </c>
      <c r="AJ43" s="803" t="str">
        <f t="shared" si="23"/>
        <v/>
      </c>
      <c r="AK43" s="803" t="str">
        <f t="shared" si="24"/>
        <v/>
      </c>
      <c r="AL43" s="803" t="str">
        <f t="shared" si="25"/>
        <v/>
      </c>
      <c r="AM43" s="803" t="str">
        <f t="shared" si="26"/>
        <v/>
      </c>
      <c r="AN43" s="803" t="str">
        <f t="shared" si="27"/>
        <v/>
      </c>
      <c r="AO43" s="803" t="str">
        <f t="shared" si="28"/>
        <v/>
      </c>
      <c r="AP43" s="803" t="str">
        <f t="shared" si="29"/>
        <v/>
      </c>
      <c r="AQ43" s="804" t="str">
        <f t="shared" si="30"/>
        <v/>
      </c>
    </row>
    <row r="44" spans="1:43">
      <c r="A44" s="795" t="str">
        <f t="shared" si="49"/>
        <v>Ca 1,</v>
      </c>
      <c r="B44" s="315" t="s">
        <v>557</v>
      </c>
      <c r="C44" s="315" t="str">
        <f t="shared" si="32"/>
        <v>陽極處理槽 dương cực Al3+ (18)</v>
      </c>
      <c r="D44" s="315" t="str">
        <f t="shared" si="33"/>
        <v>DC-000A</v>
      </c>
      <c r="E44" s="315" t="str">
        <f t="shared" si="34"/>
        <v>0C</v>
      </c>
      <c r="F44" s="315" t="str">
        <f t="shared" si="35"/>
        <v>18~25ºC
(22±2oC)</v>
      </c>
      <c r="G44" s="778">
        <f t="shared" si="36"/>
        <v>23</v>
      </c>
      <c r="H44" s="778">
        <f t="shared" si="37"/>
        <v>20</v>
      </c>
      <c r="I44" s="778">
        <f t="shared" si="38"/>
        <v>25</v>
      </c>
      <c r="J44" s="778">
        <f t="shared" si="39"/>
        <v>23</v>
      </c>
      <c r="K44" s="778">
        <f t="shared" si="40"/>
        <v>0</v>
      </c>
      <c r="L44" s="778">
        <f t="shared" si="41"/>
        <v>0</v>
      </c>
      <c r="M44" s="778">
        <f t="shared" si="42"/>
        <v>0</v>
      </c>
      <c r="N44" s="778">
        <f t="shared" si="43"/>
        <v>0</v>
      </c>
      <c r="O44" s="778">
        <f t="shared" si="44"/>
        <v>0</v>
      </c>
      <c r="P44" s="778">
        <f t="shared" si="45"/>
        <v>0</v>
      </c>
      <c r="Q44" s="778">
        <f t="shared" si="46"/>
        <v>0</v>
      </c>
      <c r="R44" s="778">
        <f t="shared" si="47"/>
        <v>0</v>
      </c>
      <c r="T44" s="785" t="b">
        <f t="shared" si="48"/>
        <v>1</v>
      </c>
      <c r="U44" s="785" t="b">
        <f t="shared" si="48"/>
        <v>1</v>
      </c>
      <c r="V44" s="785" t="b">
        <f t="shared" si="48"/>
        <v>1</v>
      </c>
      <c r="W44" s="785" t="b">
        <f t="shared" si="48"/>
        <v>1</v>
      </c>
      <c r="X44" s="785" t="b">
        <f t="shared" si="48"/>
        <v>1</v>
      </c>
      <c r="Y44" s="785" t="b">
        <f t="shared" si="48"/>
        <v>1</v>
      </c>
      <c r="Z44" s="785" t="b">
        <f t="shared" si="48"/>
        <v>1</v>
      </c>
      <c r="AA44" s="785" t="b">
        <f t="shared" si="48"/>
        <v>1</v>
      </c>
      <c r="AB44" s="785" t="b">
        <f t="shared" si="48"/>
        <v>1</v>
      </c>
      <c r="AC44" s="785" t="b">
        <f t="shared" si="48"/>
        <v>1</v>
      </c>
      <c r="AD44" s="785" t="b">
        <f t="shared" si="48"/>
        <v>1</v>
      </c>
      <c r="AE44" s="785" t="b">
        <f t="shared" si="48"/>
        <v>1</v>
      </c>
      <c r="AF44" s="802" t="str">
        <f t="shared" si="19"/>
        <v/>
      </c>
      <c r="AG44" s="803" t="str">
        <f t="shared" si="20"/>
        <v/>
      </c>
      <c r="AH44" s="803" t="str">
        <f t="shared" si="21"/>
        <v/>
      </c>
      <c r="AI44" s="803" t="str">
        <f t="shared" si="22"/>
        <v/>
      </c>
      <c r="AJ44" s="803" t="str">
        <f t="shared" si="23"/>
        <v/>
      </c>
      <c r="AK44" s="803" t="str">
        <f t="shared" si="24"/>
        <v/>
      </c>
      <c r="AL44" s="803" t="str">
        <f t="shared" si="25"/>
        <v/>
      </c>
      <c r="AM44" s="803" t="str">
        <f t="shared" si="26"/>
        <v/>
      </c>
      <c r="AN44" s="803" t="str">
        <f t="shared" si="27"/>
        <v/>
      </c>
      <c r="AO44" s="803" t="str">
        <f t="shared" si="28"/>
        <v/>
      </c>
      <c r="AP44" s="803" t="str">
        <f t="shared" si="29"/>
        <v/>
      </c>
      <c r="AQ44" s="804" t="str">
        <f t="shared" si="30"/>
        <v/>
      </c>
    </row>
    <row r="45" spans="1:43">
      <c r="A45" s="795" t="str">
        <f t="shared" si="49"/>
        <v>Ca 1,</v>
      </c>
      <c r="B45" s="315" t="s">
        <v>558</v>
      </c>
      <c r="C45" s="315" t="str">
        <f t="shared" si="32"/>
        <v>陽極處理槽 dương cực Al3+ (19)</v>
      </c>
      <c r="D45" s="315" t="str">
        <f t="shared" si="33"/>
        <v>DC-000A</v>
      </c>
      <c r="E45" s="315" t="str">
        <f t="shared" si="34"/>
        <v>0C</v>
      </c>
      <c r="F45" s="315" t="str">
        <f t="shared" si="35"/>
        <v>18~25ºC
(22±2oC)</v>
      </c>
      <c r="G45" s="778">
        <f t="shared" si="36"/>
        <v>23</v>
      </c>
      <c r="H45" s="778">
        <f t="shared" si="37"/>
        <v>22</v>
      </c>
      <c r="I45" s="778">
        <f t="shared" si="38"/>
        <v>23</v>
      </c>
      <c r="J45" s="778">
        <f t="shared" si="39"/>
        <v>21</v>
      </c>
      <c r="K45" s="778">
        <f t="shared" si="40"/>
        <v>0</v>
      </c>
      <c r="L45" s="778">
        <f t="shared" si="41"/>
        <v>0</v>
      </c>
      <c r="M45" s="778">
        <f t="shared" si="42"/>
        <v>0</v>
      </c>
      <c r="N45" s="778">
        <f t="shared" si="43"/>
        <v>0</v>
      </c>
      <c r="O45" s="778">
        <f t="shared" si="44"/>
        <v>0</v>
      </c>
      <c r="P45" s="778">
        <f t="shared" si="45"/>
        <v>0</v>
      </c>
      <c r="Q45" s="778">
        <f t="shared" si="46"/>
        <v>0</v>
      </c>
      <c r="R45" s="778">
        <f t="shared" si="47"/>
        <v>0</v>
      </c>
      <c r="T45" s="785" t="b">
        <f t="shared" si="48"/>
        <v>1</v>
      </c>
      <c r="U45" s="785" t="b">
        <f t="shared" si="48"/>
        <v>1</v>
      </c>
      <c r="V45" s="785" t="b">
        <f t="shared" si="48"/>
        <v>1</v>
      </c>
      <c r="W45" s="785" t="b">
        <f t="shared" si="48"/>
        <v>1</v>
      </c>
      <c r="X45" s="785" t="b">
        <f t="shared" si="48"/>
        <v>1</v>
      </c>
      <c r="Y45" s="785" t="b">
        <f t="shared" si="48"/>
        <v>1</v>
      </c>
      <c r="Z45" s="785" t="b">
        <f t="shared" si="48"/>
        <v>1</v>
      </c>
      <c r="AA45" s="785" t="b">
        <f t="shared" si="48"/>
        <v>1</v>
      </c>
      <c r="AB45" s="785" t="b">
        <f t="shared" si="48"/>
        <v>1</v>
      </c>
      <c r="AC45" s="785" t="b">
        <f t="shared" si="48"/>
        <v>1</v>
      </c>
      <c r="AD45" s="785" t="b">
        <f t="shared" si="48"/>
        <v>1</v>
      </c>
      <c r="AE45" s="785" t="b">
        <f t="shared" si="48"/>
        <v>1</v>
      </c>
      <c r="AF45" s="802" t="str">
        <f t="shared" si="19"/>
        <v/>
      </c>
      <c r="AG45" s="803" t="str">
        <f t="shared" si="20"/>
        <v/>
      </c>
      <c r="AH45" s="803" t="str">
        <f t="shared" si="21"/>
        <v/>
      </c>
      <c r="AI45" s="803" t="str">
        <f t="shared" si="22"/>
        <v/>
      </c>
      <c r="AJ45" s="803" t="str">
        <f t="shared" si="23"/>
        <v/>
      </c>
      <c r="AK45" s="803" t="str">
        <f t="shared" si="24"/>
        <v/>
      </c>
      <c r="AL45" s="803" t="str">
        <f t="shared" si="25"/>
        <v/>
      </c>
      <c r="AM45" s="803" t="str">
        <f t="shared" si="26"/>
        <v/>
      </c>
      <c r="AN45" s="803" t="str">
        <f t="shared" si="27"/>
        <v/>
      </c>
      <c r="AO45" s="803" t="str">
        <f t="shared" si="28"/>
        <v/>
      </c>
      <c r="AP45" s="803" t="str">
        <f t="shared" si="29"/>
        <v/>
      </c>
      <c r="AQ45" s="804" t="str">
        <f t="shared" si="30"/>
        <v/>
      </c>
    </row>
    <row r="46" spans="1:43">
      <c r="A46" s="795" t="str">
        <f t="shared" si="49"/>
        <v>Ca 1,</v>
      </c>
      <c r="B46" s="315" t="s">
        <v>559</v>
      </c>
      <c r="C46" s="315" t="str">
        <f t="shared" si="32"/>
        <v>陽極處理槽 dương cực Al3+ (20)</v>
      </c>
      <c r="D46" s="315" t="str">
        <f t="shared" si="33"/>
        <v>DC-000A</v>
      </c>
      <c r="E46" s="315" t="str">
        <f t="shared" si="34"/>
        <v>0C</v>
      </c>
      <c r="F46" s="315" t="str">
        <f t="shared" si="35"/>
        <v>18~25ºC
(22±2oC)</v>
      </c>
      <c r="G46" s="778">
        <f t="shared" si="36"/>
        <v>22</v>
      </c>
      <c r="H46" s="778">
        <f t="shared" si="37"/>
        <v>19</v>
      </c>
      <c r="I46" s="778">
        <f t="shared" si="38"/>
        <v>22</v>
      </c>
      <c r="J46" s="778">
        <f t="shared" si="39"/>
        <v>20</v>
      </c>
      <c r="K46" s="778">
        <f t="shared" si="40"/>
        <v>0</v>
      </c>
      <c r="L46" s="778">
        <f t="shared" si="41"/>
        <v>0</v>
      </c>
      <c r="M46" s="778">
        <f t="shared" si="42"/>
        <v>0</v>
      </c>
      <c r="N46" s="778">
        <f t="shared" si="43"/>
        <v>0</v>
      </c>
      <c r="O46" s="778">
        <f t="shared" si="44"/>
        <v>0</v>
      </c>
      <c r="P46" s="778">
        <f t="shared" si="45"/>
        <v>0</v>
      </c>
      <c r="Q46" s="778">
        <f t="shared" si="46"/>
        <v>0</v>
      </c>
      <c r="R46" s="778">
        <f t="shared" si="47"/>
        <v>0</v>
      </c>
      <c r="T46" s="785" t="b">
        <f t="shared" si="48"/>
        <v>1</v>
      </c>
      <c r="U46" s="785" t="b">
        <f t="shared" si="48"/>
        <v>1</v>
      </c>
      <c r="V46" s="785" t="b">
        <f t="shared" si="48"/>
        <v>1</v>
      </c>
      <c r="W46" s="785" t="b">
        <f t="shared" si="48"/>
        <v>1</v>
      </c>
      <c r="X46" s="785" t="b">
        <f t="shared" si="48"/>
        <v>1</v>
      </c>
      <c r="Y46" s="785" t="b">
        <f t="shared" si="48"/>
        <v>1</v>
      </c>
      <c r="Z46" s="785" t="b">
        <f t="shared" si="48"/>
        <v>1</v>
      </c>
      <c r="AA46" s="785" t="b">
        <f t="shared" si="48"/>
        <v>1</v>
      </c>
      <c r="AB46" s="785" t="b">
        <f t="shared" si="48"/>
        <v>1</v>
      </c>
      <c r="AC46" s="785" t="b">
        <f t="shared" si="48"/>
        <v>1</v>
      </c>
      <c r="AD46" s="785" t="b">
        <f t="shared" si="48"/>
        <v>1</v>
      </c>
      <c r="AE46" s="785" t="b">
        <f t="shared" si="48"/>
        <v>1</v>
      </c>
      <c r="AF46" s="802" t="str">
        <f t="shared" si="19"/>
        <v/>
      </c>
      <c r="AG46" s="803" t="str">
        <f t="shared" si="20"/>
        <v/>
      </c>
      <c r="AH46" s="803" t="str">
        <f t="shared" si="21"/>
        <v/>
      </c>
      <c r="AI46" s="803" t="str">
        <f t="shared" si="22"/>
        <v/>
      </c>
      <c r="AJ46" s="803" t="str">
        <f t="shared" si="23"/>
        <v/>
      </c>
      <c r="AK46" s="803" t="str">
        <f t="shared" si="24"/>
        <v/>
      </c>
      <c r="AL46" s="803" t="str">
        <f t="shared" si="25"/>
        <v/>
      </c>
      <c r="AM46" s="803" t="str">
        <f t="shared" si="26"/>
        <v/>
      </c>
      <c r="AN46" s="803" t="str">
        <f t="shared" si="27"/>
        <v/>
      </c>
      <c r="AO46" s="803" t="str">
        <f t="shared" si="28"/>
        <v/>
      </c>
      <c r="AP46" s="803" t="str">
        <f t="shared" si="29"/>
        <v/>
      </c>
      <c r="AQ46" s="804" t="str">
        <f t="shared" si="30"/>
        <v/>
      </c>
    </row>
    <row r="47" spans="1:43">
      <c r="A47" s="795" t="str">
        <f t="shared" si="49"/>
        <v>Ca 1,</v>
      </c>
      <c r="B47" s="315" t="s">
        <v>560</v>
      </c>
      <c r="C47" s="315" t="str">
        <f t="shared" si="32"/>
        <v>封孔 Đóng lỗ  (HK-101A1)</v>
      </c>
      <c r="D47" s="315" t="str">
        <f t="shared" si="33"/>
        <v>DC-000A</v>
      </c>
      <c r="E47" s="315" t="str">
        <f t="shared" si="34"/>
        <v>0C</v>
      </c>
      <c r="F47" s="315" t="str">
        <f t="shared" si="35"/>
        <v>45~60ºC
(50±2oC)</v>
      </c>
      <c r="G47" s="778">
        <f t="shared" si="36"/>
        <v>30</v>
      </c>
      <c r="H47" s="778">
        <f t="shared" si="37"/>
        <v>32</v>
      </c>
      <c r="I47" s="778">
        <f t="shared" si="38"/>
        <v>31</v>
      </c>
      <c r="J47" s="778">
        <f t="shared" si="39"/>
        <v>32</v>
      </c>
      <c r="K47" s="778">
        <f t="shared" si="40"/>
        <v>0</v>
      </c>
      <c r="L47" s="778">
        <f t="shared" si="41"/>
        <v>0</v>
      </c>
      <c r="M47" s="778">
        <f t="shared" si="42"/>
        <v>0</v>
      </c>
      <c r="N47" s="778">
        <f t="shared" si="43"/>
        <v>0</v>
      </c>
      <c r="O47" s="778">
        <f t="shared" si="44"/>
        <v>0</v>
      </c>
      <c r="P47" s="778">
        <f t="shared" si="45"/>
        <v>0</v>
      </c>
      <c r="Q47" s="778">
        <f t="shared" si="46"/>
        <v>0</v>
      </c>
      <c r="R47" s="778">
        <f t="shared" si="47"/>
        <v>0</v>
      </c>
      <c r="T47" s="785" t="b">
        <f t="shared" si="48"/>
        <v>1</v>
      </c>
      <c r="U47" s="785" t="b">
        <f t="shared" si="48"/>
        <v>1</v>
      </c>
      <c r="V47" s="785" t="b">
        <f t="shared" si="48"/>
        <v>1</v>
      </c>
      <c r="W47" s="785" t="b">
        <f t="shared" si="48"/>
        <v>1</v>
      </c>
      <c r="X47" s="785" t="b">
        <f t="shared" si="48"/>
        <v>1</v>
      </c>
      <c r="Y47" s="785" t="b">
        <f t="shared" si="48"/>
        <v>1</v>
      </c>
      <c r="Z47" s="785" t="b">
        <f t="shared" si="48"/>
        <v>1</v>
      </c>
      <c r="AA47" s="785" t="b">
        <f t="shared" si="48"/>
        <v>1</v>
      </c>
      <c r="AB47" s="785" t="b">
        <f t="shared" si="48"/>
        <v>1</v>
      </c>
      <c r="AC47" s="785" t="b">
        <f t="shared" si="48"/>
        <v>1</v>
      </c>
      <c r="AD47" s="785" t="b">
        <f t="shared" si="48"/>
        <v>1</v>
      </c>
      <c r="AE47" s="785" t="b">
        <f t="shared" si="48"/>
        <v>1</v>
      </c>
      <c r="AF47" s="802" t="str">
        <f t="shared" si="19"/>
        <v/>
      </c>
      <c r="AG47" s="803" t="str">
        <f t="shared" si="20"/>
        <v/>
      </c>
      <c r="AH47" s="803" t="str">
        <f t="shared" si="21"/>
        <v/>
      </c>
      <c r="AI47" s="803" t="str">
        <f t="shared" si="22"/>
        <v/>
      </c>
      <c r="AJ47" s="803" t="str">
        <f t="shared" si="23"/>
        <v/>
      </c>
      <c r="AK47" s="803" t="str">
        <f t="shared" si="24"/>
        <v/>
      </c>
      <c r="AL47" s="803" t="str">
        <f t="shared" si="25"/>
        <v/>
      </c>
      <c r="AM47" s="803" t="str">
        <f t="shared" si="26"/>
        <v/>
      </c>
      <c r="AN47" s="803" t="str">
        <f t="shared" si="27"/>
        <v/>
      </c>
      <c r="AO47" s="803" t="str">
        <f t="shared" si="28"/>
        <v/>
      </c>
      <c r="AP47" s="803" t="str">
        <f t="shared" si="29"/>
        <v/>
      </c>
      <c r="AQ47" s="804" t="str">
        <f t="shared" si="30"/>
        <v/>
      </c>
    </row>
    <row r="48" spans="1:43">
      <c r="A48" s="795" t="str">
        <f t="shared" si="49"/>
        <v>Ca 1,</v>
      </c>
      <c r="B48" s="315" t="s">
        <v>562</v>
      </c>
      <c r="C48" s="315" t="str">
        <f t="shared" si="32"/>
        <v xml:space="preserve"> 染色Màu - Black-05</v>
      </c>
      <c r="D48" s="315" t="str">
        <f t="shared" si="33"/>
        <v>DC-000A</v>
      </c>
      <c r="E48" s="315" t="str">
        <f t="shared" si="34"/>
        <v>0C</v>
      </c>
      <c r="F48" s="315" t="str">
        <f t="shared" si="35"/>
        <v>55~65ºC
(55±3oC)</v>
      </c>
      <c r="G48" s="778">
        <f t="shared" si="36"/>
        <v>0</v>
      </c>
      <c r="H48" s="778">
        <f t="shared" si="37"/>
        <v>0</v>
      </c>
      <c r="I48" s="778">
        <f t="shared" si="38"/>
        <v>0</v>
      </c>
      <c r="J48" s="778">
        <f t="shared" si="39"/>
        <v>0</v>
      </c>
      <c r="K48" s="778">
        <f t="shared" si="40"/>
        <v>0</v>
      </c>
      <c r="L48" s="778">
        <f t="shared" si="41"/>
        <v>0</v>
      </c>
      <c r="M48" s="778">
        <f t="shared" si="42"/>
        <v>0</v>
      </c>
      <c r="N48" s="778">
        <f t="shared" si="43"/>
        <v>0</v>
      </c>
      <c r="O48" s="778">
        <f t="shared" si="44"/>
        <v>0</v>
      </c>
      <c r="P48" s="778">
        <f t="shared" si="45"/>
        <v>0</v>
      </c>
      <c r="Q48" s="778">
        <f t="shared" si="46"/>
        <v>0</v>
      </c>
      <c r="R48" s="778">
        <f t="shared" si="47"/>
        <v>0</v>
      </c>
      <c r="T48" s="785" t="b">
        <f t="shared" si="48"/>
        <v>1</v>
      </c>
      <c r="U48" s="785" t="b">
        <f t="shared" si="48"/>
        <v>1</v>
      </c>
      <c r="V48" s="785" t="b">
        <f t="shared" si="48"/>
        <v>1</v>
      </c>
      <c r="W48" s="785" t="b">
        <f t="shared" si="48"/>
        <v>1</v>
      </c>
      <c r="X48" s="785" t="b">
        <f t="shared" si="48"/>
        <v>1</v>
      </c>
      <c r="Y48" s="785" t="b">
        <f t="shared" si="48"/>
        <v>1</v>
      </c>
      <c r="Z48" s="785" t="b">
        <f t="shared" si="48"/>
        <v>1</v>
      </c>
      <c r="AA48" s="785" t="b">
        <f t="shared" si="48"/>
        <v>1</v>
      </c>
      <c r="AB48" s="785" t="b">
        <f t="shared" si="48"/>
        <v>1</v>
      </c>
      <c r="AC48" s="785" t="b">
        <f t="shared" si="48"/>
        <v>1</v>
      </c>
      <c r="AD48" s="785" t="b">
        <f t="shared" si="48"/>
        <v>1</v>
      </c>
      <c r="AE48" s="785" t="b">
        <f t="shared" si="48"/>
        <v>1</v>
      </c>
      <c r="AF48" s="802" t="str">
        <f t="shared" si="19"/>
        <v/>
      </c>
      <c r="AG48" s="803" t="str">
        <f t="shared" si="20"/>
        <v/>
      </c>
      <c r="AH48" s="803" t="str">
        <f t="shared" si="21"/>
        <v/>
      </c>
      <c r="AI48" s="803" t="str">
        <f t="shared" si="22"/>
        <v/>
      </c>
      <c r="AJ48" s="803" t="str">
        <f t="shared" si="23"/>
        <v/>
      </c>
      <c r="AK48" s="803" t="str">
        <f t="shared" si="24"/>
        <v/>
      </c>
      <c r="AL48" s="803" t="str">
        <f t="shared" si="25"/>
        <v/>
      </c>
      <c r="AM48" s="803" t="str">
        <f t="shared" si="26"/>
        <v/>
      </c>
      <c r="AN48" s="803" t="str">
        <f t="shared" si="27"/>
        <v/>
      </c>
      <c r="AO48" s="803" t="str">
        <f t="shared" si="28"/>
        <v/>
      </c>
      <c r="AP48" s="803" t="str">
        <f t="shared" si="29"/>
        <v/>
      </c>
      <c r="AQ48" s="804" t="str">
        <f t="shared" si="30"/>
        <v/>
      </c>
    </row>
    <row r="49" spans="1:43">
      <c r="A49" s="795" t="str">
        <f t="shared" si="49"/>
        <v>Ca 1,</v>
      </c>
      <c r="B49" s="315" t="s">
        <v>563</v>
      </c>
      <c r="C49" s="315" t="str">
        <f t="shared" si="32"/>
        <v xml:space="preserve"> 染色Màu- Gey-07</v>
      </c>
      <c r="D49" s="315" t="str">
        <f t="shared" si="33"/>
        <v>DC-000A</v>
      </c>
      <c r="E49" s="315" t="str">
        <f t="shared" si="34"/>
        <v>0C</v>
      </c>
      <c r="F49" s="315" t="str">
        <f t="shared" si="35"/>
        <v>42~47ºC
(44±2oC)</v>
      </c>
      <c r="G49" s="778">
        <f t="shared" si="36"/>
        <v>0</v>
      </c>
      <c r="H49" s="778">
        <f t="shared" si="37"/>
        <v>0</v>
      </c>
      <c r="I49" s="778">
        <f t="shared" si="38"/>
        <v>0</v>
      </c>
      <c r="J49" s="778">
        <f t="shared" si="39"/>
        <v>0</v>
      </c>
      <c r="K49" s="778">
        <f t="shared" si="40"/>
        <v>0</v>
      </c>
      <c r="L49" s="778">
        <f t="shared" si="41"/>
        <v>0</v>
      </c>
      <c r="M49" s="778">
        <f t="shared" si="42"/>
        <v>0</v>
      </c>
      <c r="N49" s="778">
        <f t="shared" si="43"/>
        <v>0</v>
      </c>
      <c r="O49" s="778">
        <f t="shared" si="44"/>
        <v>0</v>
      </c>
      <c r="P49" s="778">
        <f t="shared" si="45"/>
        <v>0</v>
      </c>
      <c r="Q49" s="778">
        <f t="shared" si="46"/>
        <v>0</v>
      </c>
      <c r="R49" s="778">
        <f t="shared" si="47"/>
        <v>0</v>
      </c>
      <c r="T49" s="785" t="b">
        <f t="shared" si="48"/>
        <v>1</v>
      </c>
      <c r="U49" s="785" t="b">
        <f t="shared" si="48"/>
        <v>1</v>
      </c>
      <c r="V49" s="785" t="b">
        <f t="shared" si="48"/>
        <v>1</v>
      </c>
      <c r="W49" s="785" t="b">
        <f t="shared" si="48"/>
        <v>1</v>
      </c>
      <c r="X49" s="785" t="b">
        <f t="shared" si="48"/>
        <v>1</v>
      </c>
      <c r="Y49" s="785" t="b">
        <f t="shared" si="48"/>
        <v>1</v>
      </c>
      <c r="Z49" s="785" t="b">
        <f t="shared" si="48"/>
        <v>1</v>
      </c>
      <c r="AA49" s="785" t="b">
        <f t="shared" si="48"/>
        <v>1</v>
      </c>
      <c r="AB49" s="785" t="b">
        <f t="shared" si="48"/>
        <v>1</v>
      </c>
      <c r="AC49" s="785" t="b">
        <f t="shared" si="48"/>
        <v>1</v>
      </c>
      <c r="AD49" s="785" t="b">
        <f t="shared" si="48"/>
        <v>1</v>
      </c>
      <c r="AE49" s="785" t="b">
        <f t="shared" si="48"/>
        <v>1</v>
      </c>
      <c r="AF49" s="802" t="str">
        <f t="shared" si="19"/>
        <v/>
      </c>
      <c r="AG49" s="803" t="str">
        <f t="shared" si="20"/>
        <v/>
      </c>
      <c r="AH49" s="803" t="str">
        <f t="shared" si="21"/>
        <v/>
      </c>
      <c r="AI49" s="803" t="str">
        <f t="shared" si="22"/>
        <v/>
      </c>
      <c r="AJ49" s="803" t="str">
        <f t="shared" si="23"/>
        <v/>
      </c>
      <c r="AK49" s="803" t="str">
        <f t="shared" si="24"/>
        <v/>
      </c>
      <c r="AL49" s="803" t="str">
        <f t="shared" si="25"/>
        <v/>
      </c>
      <c r="AM49" s="803" t="str">
        <f t="shared" si="26"/>
        <v/>
      </c>
      <c r="AN49" s="803" t="str">
        <f t="shared" si="27"/>
        <v/>
      </c>
      <c r="AO49" s="803" t="str">
        <f t="shared" si="28"/>
        <v/>
      </c>
      <c r="AP49" s="803" t="str">
        <f t="shared" si="29"/>
        <v/>
      </c>
      <c r="AQ49" s="804" t="str">
        <f t="shared" si="30"/>
        <v/>
      </c>
    </row>
    <row r="50" spans="1:43">
      <c r="A50" s="795" t="str">
        <f t="shared" si="49"/>
        <v>Ca 1,</v>
      </c>
      <c r="B50" s="315" t="s">
        <v>564</v>
      </c>
      <c r="C50" s="315" t="str">
        <f t="shared" si="32"/>
        <v xml:space="preserve"> 染色Màu- Black-08</v>
      </c>
      <c r="D50" s="315" t="str">
        <f t="shared" si="33"/>
        <v>DC-000A</v>
      </c>
      <c r="E50" s="315" t="str">
        <f t="shared" si="34"/>
        <v>0C</v>
      </c>
      <c r="F50" s="315" t="str">
        <f t="shared" si="35"/>
        <v>55~65ºC
(55±3oC)</v>
      </c>
      <c r="G50" s="778">
        <f t="shared" si="36"/>
        <v>62</v>
      </c>
      <c r="H50" s="778">
        <f t="shared" si="37"/>
        <v>61</v>
      </c>
      <c r="I50" s="778">
        <f t="shared" si="38"/>
        <v>64</v>
      </c>
      <c r="J50" s="778">
        <f t="shared" si="39"/>
        <v>60</v>
      </c>
      <c r="K50" s="778">
        <f t="shared" si="40"/>
        <v>0</v>
      </c>
      <c r="L50" s="778">
        <f t="shared" si="41"/>
        <v>0</v>
      </c>
      <c r="M50" s="778">
        <f t="shared" si="42"/>
        <v>0</v>
      </c>
      <c r="N50" s="778">
        <f t="shared" si="43"/>
        <v>0</v>
      </c>
      <c r="O50" s="778">
        <f t="shared" si="44"/>
        <v>0</v>
      </c>
      <c r="P50" s="778">
        <f t="shared" si="45"/>
        <v>0</v>
      </c>
      <c r="Q50" s="778">
        <f t="shared" si="46"/>
        <v>0</v>
      </c>
      <c r="R50" s="778">
        <f t="shared" si="47"/>
        <v>0</v>
      </c>
      <c r="T50" s="785" t="b">
        <f t="shared" si="48"/>
        <v>1</v>
      </c>
      <c r="U50" s="785" t="b">
        <f t="shared" si="48"/>
        <v>1</v>
      </c>
      <c r="V50" s="785" t="b">
        <f t="shared" si="48"/>
        <v>1</v>
      </c>
      <c r="W50" s="785" t="b">
        <f t="shared" si="48"/>
        <v>1</v>
      </c>
      <c r="X50" s="785" t="b">
        <f t="shared" si="48"/>
        <v>1</v>
      </c>
      <c r="Y50" s="785" t="b">
        <f t="shared" si="48"/>
        <v>1</v>
      </c>
      <c r="Z50" s="785" t="b">
        <f t="shared" si="48"/>
        <v>1</v>
      </c>
      <c r="AA50" s="785" t="b">
        <f t="shared" si="48"/>
        <v>1</v>
      </c>
      <c r="AB50" s="785" t="b">
        <f t="shared" si="48"/>
        <v>1</v>
      </c>
      <c r="AC50" s="785" t="b">
        <f t="shared" si="48"/>
        <v>1</v>
      </c>
      <c r="AD50" s="785" t="b">
        <f t="shared" si="48"/>
        <v>1</v>
      </c>
      <c r="AE50" s="785" t="b">
        <f t="shared" si="48"/>
        <v>1</v>
      </c>
      <c r="AF50" s="802" t="str">
        <f t="shared" si="19"/>
        <v/>
      </c>
      <c r="AG50" s="803" t="str">
        <f t="shared" si="20"/>
        <v/>
      </c>
      <c r="AH50" s="803" t="str">
        <f t="shared" si="21"/>
        <v/>
      </c>
      <c r="AI50" s="803" t="str">
        <f t="shared" si="22"/>
        <v/>
      </c>
      <c r="AJ50" s="803" t="str">
        <f t="shared" si="23"/>
        <v/>
      </c>
      <c r="AK50" s="803" t="str">
        <f t="shared" si="24"/>
        <v/>
      </c>
      <c r="AL50" s="803" t="str">
        <f t="shared" si="25"/>
        <v/>
      </c>
      <c r="AM50" s="803" t="str">
        <f t="shared" si="26"/>
        <v/>
      </c>
      <c r="AN50" s="803" t="str">
        <f t="shared" si="27"/>
        <v/>
      </c>
      <c r="AO50" s="803" t="str">
        <f t="shared" si="28"/>
        <v/>
      </c>
      <c r="AP50" s="803" t="str">
        <f t="shared" si="29"/>
        <v/>
      </c>
      <c r="AQ50" s="804" t="str">
        <f t="shared" si="30"/>
        <v/>
      </c>
    </row>
    <row r="51" spans="1:43">
      <c r="A51" s="795" t="str">
        <f t="shared" si="49"/>
        <v>Ca 1,</v>
      </c>
      <c r="B51" s="315" t="s">
        <v>565</v>
      </c>
      <c r="C51" s="315" t="str">
        <f t="shared" si="32"/>
        <v>烘乾 Sấy khô</v>
      </c>
      <c r="D51" s="315" t="str">
        <f t="shared" si="33"/>
        <v>DC-000A</v>
      </c>
      <c r="E51" s="315" t="str">
        <f t="shared" si="34"/>
        <v>0C</v>
      </c>
      <c r="F51" s="315" t="str">
        <f t="shared" si="35"/>
        <v>100~110ºC
(100±5oC)</v>
      </c>
      <c r="G51" s="778" t="str">
        <f t="shared" si="36"/>
        <v>\</v>
      </c>
      <c r="H51" s="778">
        <f t="shared" si="37"/>
        <v>109</v>
      </c>
      <c r="I51" s="778" t="str">
        <f t="shared" si="38"/>
        <v>\</v>
      </c>
      <c r="J51" s="778">
        <f t="shared" si="39"/>
        <v>109</v>
      </c>
      <c r="K51" s="778">
        <f t="shared" si="40"/>
        <v>0</v>
      </c>
      <c r="L51" s="778">
        <f t="shared" si="41"/>
        <v>0</v>
      </c>
      <c r="M51" s="778">
        <f t="shared" si="42"/>
        <v>0</v>
      </c>
      <c r="N51" s="778">
        <f t="shared" si="43"/>
        <v>0</v>
      </c>
      <c r="O51" s="778">
        <f t="shared" si="44"/>
        <v>0</v>
      </c>
      <c r="P51" s="778">
        <f t="shared" si="45"/>
        <v>0</v>
      </c>
      <c r="Q51" s="778">
        <f t="shared" si="46"/>
        <v>0</v>
      </c>
      <c r="R51" s="778">
        <f t="shared" si="47"/>
        <v>0</v>
      </c>
      <c r="T51" s="785" t="b">
        <f t="shared" si="48"/>
        <v>0</v>
      </c>
      <c r="U51" s="785" t="b">
        <f t="shared" si="48"/>
        <v>1</v>
      </c>
      <c r="V51" s="785" t="b">
        <f t="shared" si="48"/>
        <v>0</v>
      </c>
      <c r="W51" s="785" t="b">
        <f t="shared" si="48"/>
        <v>1</v>
      </c>
      <c r="X51" s="785" t="b">
        <f t="shared" si="48"/>
        <v>1</v>
      </c>
      <c r="Y51" s="785" t="b">
        <f t="shared" si="48"/>
        <v>1</v>
      </c>
      <c r="Z51" s="785" t="b">
        <f t="shared" si="48"/>
        <v>1</v>
      </c>
      <c r="AA51" s="785" t="b">
        <f t="shared" si="48"/>
        <v>1</v>
      </c>
      <c r="AB51" s="785" t="b">
        <f t="shared" si="48"/>
        <v>1</v>
      </c>
      <c r="AC51" s="785" t="b">
        <f t="shared" si="48"/>
        <v>1</v>
      </c>
      <c r="AD51" s="785" t="b">
        <f t="shared" si="48"/>
        <v>1</v>
      </c>
      <c r="AE51" s="785" t="b">
        <f t="shared" si="48"/>
        <v>1</v>
      </c>
      <c r="AF51" s="805">
        <f t="shared" si="19"/>
        <v>1</v>
      </c>
      <c r="AG51" s="806" t="str">
        <f t="shared" si="20"/>
        <v/>
      </c>
      <c r="AH51" s="806">
        <f t="shared" si="21"/>
        <v>1</v>
      </c>
      <c r="AI51" s="806" t="str">
        <f t="shared" si="22"/>
        <v/>
      </c>
      <c r="AJ51" s="806" t="str">
        <f t="shared" si="23"/>
        <v/>
      </c>
      <c r="AK51" s="806" t="str">
        <f t="shared" si="24"/>
        <v/>
      </c>
      <c r="AL51" s="806" t="str">
        <f t="shared" si="25"/>
        <v/>
      </c>
      <c r="AM51" s="806" t="str">
        <f t="shared" si="26"/>
        <v/>
      </c>
      <c r="AN51" s="806" t="str">
        <f t="shared" si="27"/>
        <v/>
      </c>
      <c r="AO51" s="806" t="str">
        <f t="shared" si="28"/>
        <v/>
      </c>
      <c r="AP51" s="806" t="str">
        <f t="shared" si="29"/>
        <v/>
      </c>
      <c r="AQ51" s="807" t="str">
        <f t="shared" si="30"/>
        <v/>
      </c>
    </row>
  </sheetData>
  <phoneticPr fontId="7" type="noConversion"/>
  <pageMargins left="0.7" right="0.7" top="0.75" bottom="0.75" header="0.3" footer="0.3"/>
  <pageSetup paperSize="9" orientation="portrait" verticalDpi="0" r:id="rId1"/>
  <drawing r:id="rId2"/>
</worksheet>
</file>

<file path=xl/worksheets/sheet50.xml><?xml version="1.0" encoding="utf-8"?>
<worksheet xmlns="http://schemas.openxmlformats.org/spreadsheetml/2006/main" xmlns:r="http://schemas.openxmlformats.org/officeDocument/2006/relationships">
  <sheetPr>
    <tabColor rgb="FFCCFF33"/>
  </sheetPr>
  <dimension ref="A1:AL67"/>
  <sheetViews>
    <sheetView view="pageBreakPreview" zoomScale="55" zoomScaleNormal="55" zoomScaleSheetLayoutView="55" workbookViewId="0">
      <selection activeCell="Y52" sqref="Y52"/>
    </sheetView>
  </sheetViews>
  <sheetFormatPr defaultRowHeight="16.5"/>
  <cols>
    <col min="1" max="1" width="5" style="982" customWidth="1"/>
    <col min="2" max="2" width="8" style="983" customWidth="1"/>
    <col min="3" max="3" width="3.5" style="983" customWidth="1"/>
    <col min="4" max="4" width="6" style="983" customWidth="1"/>
    <col min="5" max="5" width="4.375" style="983" customWidth="1"/>
    <col min="6" max="6" width="7.5" style="984" customWidth="1"/>
    <col min="7" max="7" width="14.125" style="984" customWidth="1"/>
    <col min="8" max="8" width="11.625" style="984" customWidth="1"/>
    <col min="9" max="9" width="8.375" style="984" customWidth="1"/>
    <col min="10" max="10" width="2.625" style="984" customWidth="1"/>
    <col min="11" max="11" width="8" style="984" customWidth="1"/>
    <col min="12" max="12" width="4" style="984" customWidth="1"/>
    <col min="13" max="13" width="7.5" style="946" customWidth="1"/>
    <col min="14" max="14" width="2.75" style="946" customWidth="1"/>
    <col min="15" max="15" width="8.75" style="946" customWidth="1"/>
    <col min="16" max="16" width="4" style="946" customWidth="1"/>
    <col min="17" max="17" width="8.25" style="984" customWidth="1"/>
    <col min="18" max="18" width="2.375" style="984" customWidth="1"/>
    <col min="19" max="19" width="8.25" style="984" customWidth="1"/>
    <col min="20" max="20" width="4.25" style="984" customWidth="1"/>
    <col min="21" max="21" width="7.75" style="946" customWidth="1"/>
    <col min="22" max="22" width="4" style="946" customWidth="1"/>
    <col min="23" max="23" width="7.875" style="946" customWidth="1"/>
    <col min="24" max="24" width="3.75" style="946" customWidth="1"/>
    <col min="25" max="25" width="7.5" style="984" customWidth="1"/>
    <col min="26" max="26" width="4.25" style="984" customWidth="1"/>
    <col min="27" max="27" width="7.625" style="984" customWidth="1"/>
    <col min="28" max="28" width="4.875" style="984" customWidth="1"/>
    <col min="29" max="29" width="7" style="946" customWidth="1"/>
    <col min="30" max="30" width="3.75" style="946" customWidth="1"/>
    <col min="31" max="31" width="7.5" style="946" customWidth="1"/>
    <col min="32" max="32" width="4.25" style="946" customWidth="1"/>
    <col min="33" max="33" width="7.625" style="8" customWidth="1"/>
    <col min="34" max="16384" width="9" style="8"/>
  </cols>
  <sheetData>
    <row r="1" spans="1:38" ht="28.5" customHeight="1">
      <c r="B1" s="1546" t="s">
        <v>135</v>
      </c>
      <c r="C1" s="1546"/>
      <c r="D1" s="1546"/>
      <c r="E1" s="1546"/>
      <c r="F1" s="1546"/>
      <c r="G1" s="1546"/>
      <c r="H1" s="1546"/>
      <c r="I1" s="1546"/>
      <c r="J1" s="1546"/>
      <c r="K1" s="1546"/>
      <c r="L1" s="1546"/>
      <c r="M1" s="1546"/>
      <c r="N1" s="1546"/>
      <c r="O1" s="1546"/>
      <c r="P1" s="1546"/>
      <c r="Q1" s="1546"/>
      <c r="R1" s="1546"/>
      <c r="S1" s="1546"/>
      <c r="T1" s="1546"/>
      <c r="U1" s="1546"/>
      <c r="V1" s="1546"/>
      <c r="W1" s="1546"/>
      <c r="X1" s="1546"/>
      <c r="Y1" s="1546"/>
      <c r="Z1" s="1546"/>
      <c r="AA1" s="2446"/>
      <c r="AB1" s="2446"/>
      <c r="AC1" s="2447"/>
      <c r="AD1" s="947"/>
      <c r="AE1" s="947"/>
      <c r="AF1" s="947"/>
      <c r="AG1" s="61"/>
    </row>
    <row r="2" spans="1:38" ht="51.75" customHeight="1">
      <c r="B2" s="2448" t="s">
        <v>1511</v>
      </c>
      <c r="C2" s="2448"/>
      <c r="D2" s="2448"/>
      <c r="E2" s="2448"/>
      <c r="F2" s="2448"/>
      <c r="G2" s="2448"/>
      <c r="H2" s="2448"/>
      <c r="I2" s="2448"/>
      <c r="J2" s="2448"/>
      <c r="K2" s="2448"/>
      <c r="L2" s="2448"/>
      <c r="M2" s="2448"/>
      <c r="N2" s="2448"/>
      <c r="O2" s="2448"/>
      <c r="P2" s="2448"/>
      <c r="Q2" s="2448"/>
      <c r="R2" s="2448"/>
      <c r="S2" s="2448"/>
      <c r="T2" s="2448"/>
      <c r="U2" s="2448"/>
      <c r="V2" s="2448"/>
      <c r="W2" s="2448"/>
      <c r="X2" s="2448"/>
      <c r="Y2" s="2448"/>
      <c r="Z2" s="2448"/>
      <c r="AA2" s="2446"/>
      <c r="AB2" s="2446"/>
      <c r="AC2" s="2447"/>
      <c r="AD2" s="3121" t="s">
        <v>88</v>
      </c>
      <c r="AE2" s="3121"/>
      <c r="AF2" s="3122" t="s">
        <v>89</v>
      </c>
      <c r="AG2" s="3123"/>
    </row>
    <row r="3" spans="1:38" ht="32.25" customHeight="1">
      <c r="A3" s="970"/>
      <c r="B3" s="1424" t="s">
        <v>127</v>
      </c>
      <c r="C3" s="1425"/>
      <c r="D3" s="1395"/>
      <c r="E3" s="1396"/>
      <c r="F3" s="1397"/>
      <c r="G3" s="1394" t="s">
        <v>1623</v>
      </c>
      <c r="H3" s="1819" t="str">
        <f>MENU!$AC$9</f>
        <v>Thứ 4,</v>
      </c>
      <c r="I3" s="3089" t="str">
        <f>MENU!$AD$9</f>
        <v>2024/05/22</v>
      </c>
      <c r="J3" s="3090"/>
      <c r="K3" s="3090"/>
      <c r="L3" s="3090"/>
      <c r="M3" s="944"/>
      <c r="N3" s="944"/>
      <c r="O3" s="944"/>
      <c r="P3" s="944"/>
      <c r="Q3" s="971"/>
      <c r="R3" s="971"/>
      <c r="S3" s="971"/>
      <c r="T3" s="971"/>
      <c r="U3" s="944"/>
      <c r="V3" s="944"/>
      <c r="W3" s="944"/>
      <c r="X3" s="944"/>
      <c r="Y3" s="971"/>
      <c r="Z3" s="971"/>
      <c r="AA3" s="985"/>
      <c r="AB3" s="985"/>
      <c r="AC3" s="947"/>
      <c r="AD3" s="3124" t="str">
        <f>MENU!AE6</f>
        <v>Mi</v>
      </c>
      <c r="AE3" s="3124"/>
      <c r="AF3" s="3128" t="s">
        <v>11</v>
      </c>
      <c r="AG3" s="3129"/>
    </row>
    <row r="4" spans="1:38" s="62" customFormat="1" ht="46.5" customHeight="1">
      <c r="A4" s="3181" t="s">
        <v>7</v>
      </c>
      <c r="B4" s="3097" t="s">
        <v>76</v>
      </c>
      <c r="C4" s="3098"/>
      <c r="D4" s="3098"/>
      <c r="E4" s="3099"/>
      <c r="F4" s="3133" t="s">
        <v>124</v>
      </c>
      <c r="G4" s="3059" t="s">
        <v>1310</v>
      </c>
      <c r="H4" s="3109" t="s">
        <v>1302</v>
      </c>
      <c r="I4" s="3155">
        <v>0.30208333333333331</v>
      </c>
      <c r="J4" s="3065"/>
      <c r="K4" s="3065"/>
      <c r="L4" s="3066"/>
      <c r="M4" s="3073" t="s">
        <v>939</v>
      </c>
      <c r="N4" s="3185"/>
      <c r="O4" s="3185"/>
      <c r="P4" s="3186"/>
      <c r="Q4" s="3064">
        <v>0.46875</v>
      </c>
      <c r="R4" s="3065"/>
      <c r="S4" s="3065"/>
      <c r="T4" s="3066"/>
      <c r="U4" s="3073" t="s">
        <v>939</v>
      </c>
      <c r="V4" s="3074"/>
      <c r="W4" s="3074"/>
      <c r="X4" s="3075"/>
      <c r="Y4" s="3064">
        <v>0.63541666666666663</v>
      </c>
      <c r="Z4" s="3065"/>
      <c r="AA4" s="3065"/>
      <c r="AB4" s="3066"/>
      <c r="AC4" s="3073" t="s">
        <v>939</v>
      </c>
      <c r="AD4" s="3074"/>
      <c r="AE4" s="3074"/>
      <c r="AF4" s="3075"/>
      <c r="AG4" s="3148" t="s">
        <v>38</v>
      </c>
    </row>
    <row r="5" spans="1:38" s="62" customFormat="1" ht="46.5" customHeight="1">
      <c r="A5" s="3181"/>
      <c r="B5" s="3100"/>
      <c r="C5" s="3101"/>
      <c r="D5" s="3101"/>
      <c r="E5" s="3102"/>
      <c r="F5" s="3134"/>
      <c r="G5" s="3060"/>
      <c r="H5" s="3110"/>
      <c r="I5" s="2209" t="s">
        <v>129</v>
      </c>
      <c r="J5" s="3070" t="s">
        <v>1</v>
      </c>
      <c r="K5" s="3071"/>
      <c r="L5" s="3072"/>
      <c r="M5" s="907" t="s">
        <v>940</v>
      </c>
      <c r="N5" s="3076" t="s">
        <v>1</v>
      </c>
      <c r="O5" s="3076"/>
      <c r="P5" s="3077"/>
      <c r="Q5" s="950" t="s">
        <v>129</v>
      </c>
      <c r="R5" s="3070" t="s">
        <v>1</v>
      </c>
      <c r="S5" s="3071"/>
      <c r="T5" s="3072"/>
      <c r="U5" s="907" t="s">
        <v>129</v>
      </c>
      <c r="V5" s="3076" t="s">
        <v>1</v>
      </c>
      <c r="W5" s="3076"/>
      <c r="X5" s="3077"/>
      <c r="Y5" s="950" t="s">
        <v>129</v>
      </c>
      <c r="Z5" s="3070" t="s">
        <v>1</v>
      </c>
      <c r="AA5" s="3071"/>
      <c r="AB5" s="3072"/>
      <c r="AC5" s="907" t="s">
        <v>129</v>
      </c>
      <c r="AD5" s="3076" t="s">
        <v>1</v>
      </c>
      <c r="AE5" s="3076"/>
      <c r="AF5" s="3077"/>
      <c r="AG5" s="3149"/>
    </row>
    <row r="6" spans="1:38" ht="57.75" customHeight="1">
      <c r="A6" s="3206">
        <v>1</v>
      </c>
      <c r="B6" s="3223" t="s">
        <v>950</v>
      </c>
      <c r="C6" s="3224"/>
      <c r="D6" s="3093" t="s">
        <v>1590</v>
      </c>
      <c r="E6" s="3094"/>
      <c r="F6" s="2700" t="s">
        <v>4</v>
      </c>
      <c r="G6" s="898" t="str">
        <f>'XM.FILE GOC'!$E$78</f>
        <v>40~60</v>
      </c>
      <c r="H6" s="2222" t="str">
        <f>'XM.FILE GOC'!$F$78</f>
        <v>(50±5)</v>
      </c>
      <c r="I6" s="2231">
        <f>'XM.FILE GOC'!I78</f>
        <v>47.701499999999996</v>
      </c>
      <c r="J6" s="972" t="s">
        <v>8</v>
      </c>
      <c r="K6" s="973">
        <f>'XM.FILE GOC'!L78</f>
        <v>35.66582450000007</v>
      </c>
      <c r="L6" s="974" t="s">
        <v>9</v>
      </c>
      <c r="M6" s="1580">
        <f>'3.XT-C KH'!M6</f>
        <v>48</v>
      </c>
      <c r="N6" s="909" t="s">
        <v>8</v>
      </c>
      <c r="O6" s="1595">
        <f>IF(M6=0,"",('XM.FILE GOC'!$G$78-M6)*15517/1000)</f>
        <v>31.033999999999999</v>
      </c>
      <c r="P6" s="910" t="s">
        <v>9</v>
      </c>
      <c r="Q6" s="54">
        <f>'XM.FILE GOC'!P78</f>
        <v>48.675000000000004</v>
      </c>
      <c r="R6" s="972" t="s">
        <v>8</v>
      </c>
      <c r="S6" s="973">
        <f>'XM.FILE GOC'!S78</f>
        <v>20.560024999999932</v>
      </c>
      <c r="T6" s="974" t="s">
        <v>9</v>
      </c>
      <c r="U6" s="1580">
        <f>'3.XT-C KH'!U6</f>
        <v>52</v>
      </c>
      <c r="V6" s="909" t="s">
        <v>8</v>
      </c>
      <c r="W6" s="1595">
        <f>IF(U6=0,"",('XM.FILE GOC'!$G$78-U6)*15517/1000)</f>
        <v>-31.033999999999999</v>
      </c>
      <c r="X6" s="910" t="s">
        <v>9</v>
      </c>
      <c r="Y6" s="54">
        <f>'XM.FILE GOC'!W78</f>
        <v>52.244500000000009</v>
      </c>
      <c r="Z6" s="972" t="s">
        <v>8</v>
      </c>
      <c r="AA6" s="973">
        <f>'XM.FILE GOC'!Z78</f>
        <v>0</v>
      </c>
      <c r="AB6" s="974" t="s">
        <v>9</v>
      </c>
      <c r="AC6" s="1580">
        <f>'3.XT-C KH'!AC6</f>
        <v>0</v>
      </c>
      <c r="AD6" s="909" t="s">
        <v>8</v>
      </c>
      <c r="AE6" s="1595" t="str">
        <f>IF(AC6=0,"",('XM.FILE GOC'!$G$78-AC6)*15517/1000)</f>
        <v/>
      </c>
      <c r="AF6" s="910" t="s">
        <v>9</v>
      </c>
      <c r="AG6" s="2056" t="s">
        <v>39</v>
      </c>
    </row>
    <row r="7" spans="1:38" ht="57.75" customHeight="1">
      <c r="A7" s="3222"/>
      <c r="B7" s="3225"/>
      <c r="C7" s="3226"/>
      <c r="D7" s="3093" t="s">
        <v>1591</v>
      </c>
      <c r="E7" s="3094"/>
      <c r="F7" s="897"/>
      <c r="G7" s="898" t="s">
        <v>1592</v>
      </c>
      <c r="H7" s="2222"/>
      <c r="I7" s="2232"/>
      <c r="J7" s="59"/>
      <c r="K7" s="954">
        <f>K6/25*8.5</f>
        <v>12.126380330000025</v>
      </c>
      <c r="L7" s="588" t="s">
        <v>10</v>
      </c>
      <c r="M7" s="1580">
        <f>'3.XT-C KH'!M7</f>
        <v>0</v>
      </c>
      <c r="N7" s="911" t="s">
        <v>8</v>
      </c>
      <c r="O7" s="1593">
        <f>IF(M6=0,"",O6/25*8.5)</f>
        <v>10.55156</v>
      </c>
      <c r="P7" s="912" t="s">
        <v>10</v>
      </c>
      <c r="Q7" s="297"/>
      <c r="R7" s="59"/>
      <c r="S7" s="954">
        <f>S6/25*8.5</f>
        <v>6.9904084999999769</v>
      </c>
      <c r="T7" s="588" t="s">
        <v>10</v>
      </c>
      <c r="U7" s="1580">
        <f>'3.XT-C KH'!U7</f>
        <v>0</v>
      </c>
      <c r="V7" s="911" t="s">
        <v>8</v>
      </c>
      <c r="W7" s="1593">
        <f>IF(U6=0,"",W6/25*8.5)</f>
        <v>-10.55156</v>
      </c>
      <c r="X7" s="912" t="s">
        <v>10</v>
      </c>
      <c r="Y7" s="297"/>
      <c r="Z7" s="59"/>
      <c r="AA7" s="954">
        <f>AA6/25*8.5</f>
        <v>0</v>
      </c>
      <c r="AB7" s="588" t="s">
        <v>10</v>
      </c>
      <c r="AC7" s="1580">
        <f>'3.XT-C KH'!AC7</f>
        <v>0</v>
      </c>
      <c r="AD7" s="911" t="s">
        <v>8</v>
      </c>
      <c r="AE7" s="1593" t="str">
        <f>IF(AC6=0,"",AE6/25*8.5)</f>
        <v/>
      </c>
      <c r="AF7" s="912" t="s">
        <v>10</v>
      </c>
      <c r="AG7" s="2056"/>
    </row>
    <row r="8" spans="1:38" ht="57.75" customHeight="1">
      <c r="A8" s="3206">
        <v>2</v>
      </c>
      <c r="B8" s="3223" t="s">
        <v>951</v>
      </c>
      <c r="C8" s="3224"/>
      <c r="D8" s="3093" t="s">
        <v>1590</v>
      </c>
      <c r="E8" s="3094"/>
      <c r="F8" s="2700" t="s">
        <v>4</v>
      </c>
      <c r="G8" s="898" t="str">
        <f>'XM.FILE GOC'!$E$80</f>
        <v>40~60</v>
      </c>
      <c r="H8" s="2222" t="str">
        <f>'XM.FILE GOC'!$F$80</f>
        <v>(50±5)</v>
      </c>
      <c r="I8" s="2231">
        <f>'XM.FILE GOC'!I80</f>
        <v>46.403500000000001</v>
      </c>
      <c r="J8" s="972" t="s">
        <v>8</v>
      </c>
      <c r="K8" s="973">
        <f>'XM.FILE GOC'!L80</f>
        <v>41.269837499999987</v>
      </c>
      <c r="L8" s="974" t="s">
        <v>9</v>
      </c>
      <c r="M8" s="1580">
        <f>'3.XT-C KH'!M8</f>
        <v>47</v>
      </c>
      <c r="N8" s="909" t="s">
        <v>8</v>
      </c>
      <c r="O8" s="1595">
        <f>IF(M8=0,"",('XM.FILE GOC'!$G$80-M8)*11475/1000)</f>
        <v>34.424999999999997</v>
      </c>
      <c r="P8" s="910" t="s">
        <v>9</v>
      </c>
      <c r="Q8" s="54">
        <f>'XM.FILE GOC'!P80</f>
        <v>47.701499999999996</v>
      </c>
      <c r="R8" s="972" t="s">
        <v>8</v>
      </c>
      <c r="S8" s="973">
        <f>'XM.FILE GOC'!S80</f>
        <v>26.375287500000049</v>
      </c>
      <c r="T8" s="974" t="s">
        <v>9</v>
      </c>
      <c r="U8" s="1580">
        <f>'3.XT-C KH'!U8</f>
        <v>50</v>
      </c>
      <c r="V8" s="909" t="s">
        <v>8</v>
      </c>
      <c r="W8" s="1595">
        <f>IF(U8=0,"",('XM.FILE GOC'!$G$80-U8)*11475/1000)</f>
        <v>0</v>
      </c>
      <c r="X8" s="910" t="s">
        <v>9</v>
      </c>
      <c r="Y8" s="54">
        <f>'XM.FILE GOC'!W80</f>
        <v>49.973000000000006</v>
      </c>
      <c r="Z8" s="972" t="s">
        <v>8</v>
      </c>
      <c r="AA8" s="973">
        <f>'XM.FILE GOC'!Z80</f>
        <v>0.30982499999993018</v>
      </c>
      <c r="AB8" s="974" t="s">
        <v>9</v>
      </c>
      <c r="AC8" s="1580">
        <f>'3.XT-C KH'!AC8</f>
        <v>0</v>
      </c>
      <c r="AD8" s="909" t="s">
        <v>8</v>
      </c>
      <c r="AE8" s="1595" t="str">
        <f>IF(AC8=0,"",('XM.FILE GOC'!$G$80-AC8)*11475/1000)</f>
        <v/>
      </c>
      <c r="AF8" s="910" t="s">
        <v>9</v>
      </c>
      <c r="AG8" s="2056" t="s">
        <v>39</v>
      </c>
    </row>
    <row r="9" spans="1:38" ht="57.75" customHeight="1">
      <c r="A9" s="3222"/>
      <c r="B9" s="3225"/>
      <c r="C9" s="3226"/>
      <c r="D9" s="3093" t="s">
        <v>1591</v>
      </c>
      <c r="E9" s="3094"/>
      <c r="F9" s="897"/>
      <c r="G9" s="898" t="s">
        <v>1592</v>
      </c>
      <c r="H9" s="2222"/>
      <c r="I9" s="2232"/>
      <c r="J9" s="59"/>
      <c r="K9" s="954">
        <f>K8/25*8.5</f>
        <v>14.031744749999996</v>
      </c>
      <c r="L9" s="588" t="s">
        <v>10</v>
      </c>
      <c r="M9" s="1580">
        <f>'3.XT-C KH'!M9</f>
        <v>0</v>
      </c>
      <c r="N9" s="911" t="s">
        <v>8</v>
      </c>
      <c r="O9" s="1593">
        <f>IF(M8=0,"",O8/25*8.5)</f>
        <v>11.704499999999998</v>
      </c>
      <c r="P9" s="912" t="s">
        <v>10</v>
      </c>
      <c r="Q9" s="297"/>
      <c r="R9" s="59"/>
      <c r="S9" s="954">
        <f>S8/25*8.5</f>
        <v>8.9675977500000172</v>
      </c>
      <c r="T9" s="588" t="s">
        <v>10</v>
      </c>
      <c r="U9" s="1580">
        <f>'3.XT-C KH'!U9</f>
        <v>0</v>
      </c>
      <c r="V9" s="911" t="s">
        <v>8</v>
      </c>
      <c r="W9" s="1593">
        <f>IF(U8=0,"",W8/25*8.5)</f>
        <v>0</v>
      </c>
      <c r="X9" s="912" t="s">
        <v>10</v>
      </c>
      <c r="Y9" s="297"/>
      <c r="Z9" s="59"/>
      <c r="AA9" s="954">
        <f>AA8/25*8.5</f>
        <v>0.10534049999997626</v>
      </c>
      <c r="AB9" s="588" t="s">
        <v>10</v>
      </c>
      <c r="AC9" s="1580">
        <f>'3.XT-C KH'!AC9</f>
        <v>0</v>
      </c>
      <c r="AD9" s="911" t="s">
        <v>8</v>
      </c>
      <c r="AE9" s="1593" t="str">
        <f>IF(AC8=0,"",AE8/25*8.5)</f>
        <v/>
      </c>
      <c r="AF9" s="912" t="s">
        <v>10</v>
      </c>
      <c r="AG9" s="2056"/>
    </row>
    <row r="10" spans="1:38" ht="57.75" customHeight="1">
      <c r="A10" s="3206">
        <v>3</v>
      </c>
      <c r="B10" s="3091" t="s">
        <v>952</v>
      </c>
      <c r="C10" s="3092"/>
      <c r="D10" s="3095" t="s">
        <v>100</v>
      </c>
      <c r="E10" s="3096" t="s">
        <v>232</v>
      </c>
      <c r="F10" s="2700" t="s">
        <v>4</v>
      </c>
      <c r="G10" s="898" t="str">
        <f>'XM.FILE GOC'!$E$82</f>
        <v>50~70</v>
      </c>
      <c r="H10" s="2222" t="str">
        <f>'XM.FILE GOC'!$F$82</f>
        <v>(60±5)</v>
      </c>
      <c r="I10" s="2232">
        <f>'XM.FILE GOC'!I82</f>
        <v>58.443000000000005</v>
      </c>
      <c r="J10" s="59" t="s">
        <v>8</v>
      </c>
      <c r="K10" s="587">
        <f>'XM.FILE GOC'!L82</f>
        <v>12.767399999999959</v>
      </c>
      <c r="L10" s="588" t="s">
        <v>9</v>
      </c>
      <c r="M10" s="1580">
        <f>'3.XT-C KH'!M10</f>
        <v>58.2</v>
      </c>
      <c r="N10" s="909" t="s">
        <v>8</v>
      </c>
      <c r="O10" s="1595">
        <f>IF(M10=0,"",('XM.FILE GOC'!$G$82-M10)*8200/1000)</f>
        <v>14.759999999999977</v>
      </c>
      <c r="P10" s="910" t="s">
        <v>9</v>
      </c>
      <c r="Q10" s="297">
        <f>'XM.FILE GOC'!P82</f>
        <v>58.211999999999996</v>
      </c>
      <c r="R10" s="59" t="s">
        <v>8</v>
      </c>
      <c r="S10" s="587">
        <f>'XM.FILE GOC'!S82</f>
        <v>14.661600000000032</v>
      </c>
      <c r="T10" s="588" t="s">
        <v>9</v>
      </c>
      <c r="U10" s="1580">
        <f>'3.XT-C KH'!U10</f>
        <v>63.2</v>
      </c>
      <c r="V10" s="909" t="s">
        <v>8</v>
      </c>
      <c r="W10" s="1595">
        <f>IF(U10=0,"",('XM.FILE GOC'!$G$82-U10)*8200/1000)</f>
        <v>-26.240000000000023</v>
      </c>
      <c r="X10" s="910" t="s">
        <v>9</v>
      </c>
      <c r="Y10" s="297">
        <f>'XM.FILE GOC'!W82</f>
        <v>64.680000000000007</v>
      </c>
      <c r="Z10" s="59" t="s">
        <v>8</v>
      </c>
      <c r="AA10" s="587">
        <f>'XM.FILE GOC'!Z82</f>
        <v>0</v>
      </c>
      <c r="AB10" s="974" t="s">
        <v>9</v>
      </c>
      <c r="AC10" s="1580">
        <f>'3.XT-C KH'!AC10</f>
        <v>0</v>
      </c>
      <c r="AD10" s="909" t="s">
        <v>8</v>
      </c>
      <c r="AE10" s="1595" t="str">
        <f>IF(AC10=0,"",('XM.FILE GOC'!$G$82-AC10)*8200/1000)</f>
        <v/>
      </c>
      <c r="AF10" s="910" t="s">
        <v>9</v>
      </c>
      <c r="AG10" s="2056" t="s">
        <v>39</v>
      </c>
    </row>
    <row r="11" spans="1:38" ht="57.75" customHeight="1">
      <c r="A11" s="3207"/>
      <c r="B11" s="3092"/>
      <c r="C11" s="3092"/>
      <c r="D11" s="3095" t="s">
        <v>1591</v>
      </c>
      <c r="E11" s="3096" t="s">
        <v>233</v>
      </c>
      <c r="F11" s="897"/>
      <c r="G11" s="898" t="s">
        <v>1593</v>
      </c>
      <c r="H11" s="2222"/>
      <c r="I11" s="2232"/>
      <c r="J11" s="59"/>
      <c r="K11" s="954">
        <f>K10/25*8</f>
        <v>4.085567999999987</v>
      </c>
      <c r="L11" s="588" t="s">
        <v>10</v>
      </c>
      <c r="M11" s="1580">
        <f>'3.XT-C KH'!M11</f>
        <v>0</v>
      </c>
      <c r="N11" s="911" t="s">
        <v>8</v>
      </c>
      <c r="O11" s="1593">
        <f>IF(M10=0,"",O10/25*8)</f>
        <v>4.7231999999999923</v>
      </c>
      <c r="P11" s="912" t="s">
        <v>10</v>
      </c>
      <c r="Q11" s="297"/>
      <c r="R11" s="59"/>
      <c r="S11" s="954">
        <f>S10/25*8</f>
        <v>4.6917120000000105</v>
      </c>
      <c r="T11" s="588" t="s">
        <v>10</v>
      </c>
      <c r="U11" s="1580">
        <f>'3.XT-C KH'!U11</f>
        <v>0</v>
      </c>
      <c r="V11" s="911" t="s">
        <v>8</v>
      </c>
      <c r="W11" s="1593">
        <f>IF(U10=0,"",W10/25*8)</f>
        <v>-8.3968000000000078</v>
      </c>
      <c r="X11" s="912" t="s">
        <v>10</v>
      </c>
      <c r="Y11" s="297"/>
      <c r="Z11" s="59"/>
      <c r="AA11" s="954">
        <f>AA10/25*8</f>
        <v>0</v>
      </c>
      <c r="AB11" s="588" t="s">
        <v>10</v>
      </c>
      <c r="AC11" s="1580">
        <f>'3.XT-C KH'!AC11</f>
        <v>0</v>
      </c>
      <c r="AD11" s="911" t="s">
        <v>8</v>
      </c>
      <c r="AE11" s="1593" t="str">
        <f>IF(AC10=0,"",AE10/25*8)</f>
        <v/>
      </c>
      <c r="AF11" s="912" t="s">
        <v>10</v>
      </c>
      <c r="AG11" s="2056"/>
    </row>
    <row r="12" spans="1:38" ht="57.75" customHeight="1">
      <c r="A12" s="3206">
        <v>4</v>
      </c>
      <c r="B12" s="3091" t="s">
        <v>953</v>
      </c>
      <c r="C12" s="3092"/>
      <c r="D12" s="3095" t="s">
        <v>100</v>
      </c>
      <c r="E12" s="3096" t="s">
        <v>232</v>
      </c>
      <c r="F12" s="2700" t="s">
        <v>4</v>
      </c>
      <c r="G12" s="898" t="str">
        <f>'XM.FILE GOC'!$E$84</f>
        <v>50~70</v>
      </c>
      <c r="H12" s="2222" t="str">
        <f>'XM.FILE GOC'!$F$84</f>
        <v>(60±5)</v>
      </c>
      <c r="I12" s="2232">
        <f>'XM.FILE GOC'!I84</f>
        <v>60.06</v>
      </c>
      <c r="J12" s="972" t="s">
        <v>8</v>
      </c>
      <c r="K12" s="973">
        <f>'XM.FILE GOC'!L84</f>
        <v>0</v>
      </c>
      <c r="L12" s="974" t="s">
        <v>9</v>
      </c>
      <c r="M12" s="1580">
        <f>'3.XT-C KH'!M12</f>
        <v>0</v>
      </c>
      <c r="N12" s="909" t="s">
        <v>8</v>
      </c>
      <c r="O12" s="1596" t="str">
        <f>IF(M12=0,"",('XM.FILE GOC'!$G$84-M12)*8668/1000)</f>
        <v/>
      </c>
      <c r="P12" s="910" t="s">
        <v>9</v>
      </c>
      <c r="Q12" s="297">
        <f>'XM.FILE GOC'!P84</f>
        <v>59.598000000000006</v>
      </c>
      <c r="R12" s="972" t="s">
        <v>8</v>
      </c>
      <c r="S12" s="973">
        <f>'XM.FILE GOC'!S84</f>
        <v>3.4845359999999475</v>
      </c>
      <c r="T12" s="974" t="s">
        <v>9</v>
      </c>
      <c r="U12" s="1580">
        <f>'3.XT-C KH'!U12</f>
        <v>60.5</v>
      </c>
      <c r="V12" s="909" t="s">
        <v>8</v>
      </c>
      <c r="W12" s="1596">
        <f>IF(U12=0,"",('XM.FILE GOC'!$G$84-U12)*8668/1000)</f>
        <v>-4.3339999999999996</v>
      </c>
      <c r="X12" s="910" t="s">
        <v>9</v>
      </c>
      <c r="Y12" s="297">
        <f>'XM.FILE GOC'!W84</f>
        <v>60.983999999999995</v>
      </c>
      <c r="Z12" s="972" t="s">
        <v>8</v>
      </c>
      <c r="AA12" s="973">
        <f>'XM.FILE GOC'!Z84</f>
        <v>0</v>
      </c>
      <c r="AB12" s="974" t="s">
        <v>9</v>
      </c>
      <c r="AC12" s="1580">
        <f>'3.XT-C KH'!AC12</f>
        <v>0</v>
      </c>
      <c r="AD12" s="909" t="s">
        <v>8</v>
      </c>
      <c r="AE12" s="1596" t="str">
        <f>IF(AC12=0,"",('XM.FILE GOC'!$G$84-AC12)*8668/1000)</f>
        <v/>
      </c>
      <c r="AF12" s="910" t="s">
        <v>9</v>
      </c>
      <c r="AG12" s="2056" t="s">
        <v>39</v>
      </c>
    </row>
    <row r="13" spans="1:38" ht="57.75" customHeight="1">
      <c r="A13" s="3207"/>
      <c r="B13" s="3092"/>
      <c r="C13" s="3092"/>
      <c r="D13" s="3095" t="s">
        <v>1591</v>
      </c>
      <c r="E13" s="3096" t="s">
        <v>233</v>
      </c>
      <c r="F13" s="897"/>
      <c r="G13" s="898" t="s">
        <v>1593</v>
      </c>
      <c r="H13" s="2222"/>
      <c r="I13" s="2233"/>
      <c r="J13" s="1320"/>
      <c r="K13" s="2116">
        <f>K12/25*8</f>
        <v>0</v>
      </c>
      <c r="L13" s="1322" t="s">
        <v>10</v>
      </c>
      <c r="M13" s="2117">
        <f>'3.XT-C KH'!M13</f>
        <v>0</v>
      </c>
      <c r="N13" s="2118" t="s">
        <v>8</v>
      </c>
      <c r="O13" s="2119" t="str">
        <f>IF(M12=0,"",O12/25*8)</f>
        <v/>
      </c>
      <c r="P13" s="2120" t="s">
        <v>10</v>
      </c>
      <c r="Q13" s="2115"/>
      <c r="R13" s="1320"/>
      <c r="S13" s="2116">
        <f>S12/25*8</f>
        <v>1.1150515199999831</v>
      </c>
      <c r="T13" s="1322" t="s">
        <v>10</v>
      </c>
      <c r="U13" s="2117">
        <f>'3.XT-C KH'!U13</f>
        <v>0</v>
      </c>
      <c r="V13" s="2118" t="s">
        <v>8</v>
      </c>
      <c r="W13" s="2119">
        <f>IF(U12=0,"",W12/25*8)</f>
        <v>-1.3868799999999999</v>
      </c>
      <c r="X13" s="2120" t="s">
        <v>10</v>
      </c>
      <c r="Y13" s="2115"/>
      <c r="Z13" s="1320"/>
      <c r="AA13" s="2116">
        <f>AA12/25*8</f>
        <v>0</v>
      </c>
      <c r="AB13" s="1322" t="s">
        <v>10</v>
      </c>
      <c r="AC13" s="2117">
        <f>'3.XT-C KH'!AC13</f>
        <v>0</v>
      </c>
      <c r="AD13" s="2118" t="s">
        <v>8</v>
      </c>
      <c r="AE13" s="2119" t="str">
        <f>IF(AC12=0,"",AE12/25*8)</f>
        <v/>
      </c>
      <c r="AF13" s="2120" t="s">
        <v>10</v>
      </c>
      <c r="AG13" s="2112"/>
    </row>
    <row r="14" spans="1:38" ht="57.75" customHeight="1">
      <c r="A14" s="3808">
        <v>5</v>
      </c>
      <c r="B14" s="3170" t="s">
        <v>122</v>
      </c>
      <c r="C14" s="3171"/>
      <c r="D14" s="3174" t="s">
        <v>116</v>
      </c>
      <c r="E14" s="3175"/>
      <c r="F14" s="2340" t="s">
        <v>4</v>
      </c>
      <c r="G14" s="2341" t="str">
        <f>'XM.GUI MAIL'!$E$99</f>
        <v>5~6</v>
      </c>
      <c r="H14" s="2342" t="str">
        <f>'XM.GUI MAIL'!$F$99</f>
        <v>(5.5± 0.5)</v>
      </c>
      <c r="I14" s="2308">
        <f>'XM.FILE GOC'!I99</f>
        <v>5.915</v>
      </c>
      <c r="J14" s="2309" t="s">
        <v>8</v>
      </c>
      <c r="K14" s="2310">
        <f>'XM.FILE GOC'!L99</f>
        <v>0</v>
      </c>
      <c r="L14" s="2311" t="s">
        <v>9</v>
      </c>
      <c r="M14" s="2312">
        <f>'3.XT-C KH'!AU6</f>
        <v>0</v>
      </c>
      <c r="N14" s="2343" t="s">
        <v>8</v>
      </c>
      <c r="O14" s="2344" t="str">
        <f>IF(M14=0,"",('XM.FILE GOC'!$G$99-M14)*8000/1000)</f>
        <v/>
      </c>
      <c r="P14" s="2345" t="s">
        <v>9</v>
      </c>
      <c r="Q14" s="2316">
        <f>'XM.FILE GOC'!P99</f>
        <v>5.915</v>
      </c>
      <c r="R14" s="2309" t="s">
        <v>8</v>
      </c>
      <c r="S14" s="2310">
        <f>'XM.FILE GOC'!S99</f>
        <v>0</v>
      </c>
      <c r="T14" s="2311" t="s">
        <v>9</v>
      </c>
      <c r="U14" s="2312">
        <f>'3.XT-C KH'!BC6</f>
        <v>0</v>
      </c>
      <c r="V14" s="2343" t="s">
        <v>8</v>
      </c>
      <c r="W14" s="2344" t="str">
        <f>IF(U14=0,"",('XM.FILE GOC'!$G$99-U14)*8000/1000)</f>
        <v/>
      </c>
      <c r="X14" s="2345" t="s">
        <v>9</v>
      </c>
      <c r="Y14" s="2316">
        <f>'XM.FILE GOC'!W99</f>
        <v>5.9799999999999995</v>
      </c>
      <c r="Z14" s="2309" t="s">
        <v>8</v>
      </c>
      <c r="AA14" s="2310">
        <f>'XM.FILE GOC'!Z99</f>
        <v>0</v>
      </c>
      <c r="AB14" s="2311" t="s">
        <v>9</v>
      </c>
      <c r="AC14" s="2312">
        <f>'3.XT-C KH'!BK6</f>
        <v>0</v>
      </c>
      <c r="AD14" s="2343" t="s">
        <v>8</v>
      </c>
      <c r="AE14" s="2344" t="str">
        <f>IF(AC14=0,"",('XM.FILE GOC'!$G$99-AC14)*8000/1000)</f>
        <v/>
      </c>
      <c r="AF14" s="2345" t="s">
        <v>9</v>
      </c>
      <c r="AG14" s="2317" t="s">
        <v>40</v>
      </c>
    </row>
    <row r="15" spans="1:38" ht="57.75" customHeight="1">
      <c r="A15" s="3809"/>
      <c r="B15" s="3172"/>
      <c r="C15" s="3173"/>
      <c r="D15" s="3176" t="s">
        <v>100</v>
      </c>
      <c r="E15" s="3177"/>
      <c r="F15" s="2063" t="s">
        <v>4</v>
      </c>
      <c r="G15" s="2062" t="str">
        <f>'XM.GUI MAIL'!$E$100</f>
        <v>130~140</v>
      </c>
      <c r="H15" s="2237" t="str">
        <f>'XM.GUI MAIL'!$F$100</f>
        <v>(135 ± 5)</v>
      </c>
      <c r="I15" s="2234">
        <f>'XM.FILE GOC'!I100</f>
        <v>136</v>
      </c>
      <c r="J15" s="972" t="s">
        <v>8</v>
      </c>
      <c r="K15" s="973">
        <f>'XM.FILE GOC'!L100</f>
        <v>0</v>
      </c>
      <c r="L15" s="974" t="s">
        <v>9</v>
      </c>
      <c r="M15" s="2117">
        <f>'3.XT-C KH'!AU7</f>
        <v>0</v>
      </c>
      <c r="N15" s="909" t="s">
        <v>8</v>
      </c>
      <c r="O15" s="1596" t="str">
        <f>IF(M15=0,"",('XM.FILE GOC'!$G$100-M15)*8000/1000)</f>
        <v/>
      </c>
      <c r="P15" s="910" t="s">
        <v>9</v>
      </c>
      <c r="Q15" s="1782">
        <f>'XM.FILE GOC'!P100</f>
        <v>133.6</v>
      </c>
      <c r="R15" s="972" t="s">
        <v>8</v>
      </c>
      <c r="S15" s="973">
        <f>'XM.FILE GOC'!S100</f>
        <v>11.200000000000045</v>
      </c>
      <c r="T15" s="974" t="s">
        <v>9</v>
      </c>
      <c r="U15" s="2117">
        <f>'3.XT-C KH'!BC7</f>
        <v>135</v>
      </c>
      <c r="V15" s="909" t="s">
        <v>8</v>
      </c>
      <c r="W15" s="1596">
        <f>IF(U15=0,"",('XM.FILE GOC'!$G$100-U15)*8000/1000)</f>
        <v>0</v>
      </c>
      <c r="X15" s="910" t="s">
        <v>9</v>
      </c>
      <c r="Y15" s="1782">
        <f>'XM.FILE GOC'!W100</f>
        <v>135.80000000000001</v>
      </c>
      <c r="Z15" s="972" t="s">
        <v>8</v>
      </c>
      <c r="AA15" s="973">
        <f>'XM.FILE GOC'!Z100</f>
        <v>0</v>
      </c>
      <c r="AB15" s="910" t="s">
        <v>9</v>
      </c>
      <c r="AC15" s="2117">
        <f>'3.XT-C KH'!BK7</f>
        <v>0</v>
      </c>
      <c r="AD15" s="909" t="s">
        <v>8</v>
      </c>
      <c r="AE15" s="1596" t="str">
        <f>IF(AC15=0,"",('XM.FILE GOC'!$G$100-AC15)*8000/1000)</f>
        <v/>
      </c>
      <c r="AF15" s="910" t="s">
        <v>9</v>
      </c>
      <c r="AG15" s="2346" t="s">
        <v>41</v>
      </c>
    </row>
    <row r="16" spans="1:38" s="7" customFormat="1" ht="57.75" customHeight="1">
      <c r="A16" s="2114">
        <v>6</v>
      </c>
      <c r="B16" s="3182" t="s">
        <v>123</v>
      </c>
      <c r="C16" s="3183"/>
      <c r="D16" s="3183"/>
      <c r="E16" s="3184"/>
      <c r="F16" s="2347" t="s">
        <v>5</v>
      </c>
      <c r="G16" s="2348" t="str">
        <f>'XM.GUI MAIL'!$E$101</f>
        <v>3.0-4.5</v>
      </c>
      <c r="H16" s="2349" t="str">
        <f>'XM.GUI MAIL'!$F$101</f>
        <v>(4.3±0.2)</v>
      </c>
      <c r="I16" s="2321">
        <f>'XM.FILE GOC'!I101</f>
        <v>4.25</v>
      </c>
      <c r="J16" s="2330"/>
      <c r="K16" s="2331"/>
      <c r="L16" s="2332"/>
      <c r="M16" s="2117"/>
      <c r="N16" s="2350"/>
      <c r="O16" s="2351"/>
      <c r="P16" s="2352"/>
      <c r="Q16" s="2329">
        <f>'XM.FILE GOC'!P101</f>
        <v>4.2</v>
      </c>
      <c r="R16" s="2330"/>
      <c r="S16" s="2331"/>
      <c r="T16" s="2332"/>
      <c r="U16" s="2325"/>
      <c r="V16" s="2350"/>
      <c r="W16" s="2351"/>
      <c r="X16" s="2352"/>
      <c r="Y16" s="2329">
        <f>'XM.FILE GOC'!W101</f>
        <v>4.1900000000000004</v>
      </c>
      <c r="Z16" s="2330"/>
      <c r="AA16" s="2331"/>
      <c r="AB16" s="2332"/>
      <c r="AC16" s="2325"/>
      <c r="AD16" s="2350"/>
      <c r="AE16" s="2351"/>
      <c r="AF16" s="2352"/>
      <c r="AG16" s="2353" t="s">
        <v>42</v>
      </c>
      <c r="AH16" s="8"/>
      <c r="AI16" s="8"/>
      <c r="AJ16" s="8"/>
      <c r="AK16" s="8"/>
      <c r="AL16" s="8"/>
    </row>
    <row r="17" spans="1:33" ht="57.75" customHeight="1">
      <c r="A17" s="2475">
        <v>9</v>
      </c>
      <c r="B17" s="3200" t="s">
        <v>82</v>
      </c>
      <c r="C17" s="3201"/>
      <c r="D17" s="3201"/>
      <c r="E17" s="3202"/>
      <c r="F17" s="633" t="s">
        <v>6</v>
      </c>
      <c r="G17" s="898" t="str">
        <f>'XM.FILE GOC'!$E$90</f>
        <v>40~50</v>
      </c>
      <c r="H17" s="2222" t="str">
        <f>'XM.FILE GOC'!$F$90</f>
        <v>(45±5)</v>
      </c>
      <c r="I17" s="1754">
        <f>'XM.FILE GOC'!I90</f>
        <v>0.435</v>
      </c>
      <c r="J17" s="972" t="s">
        <v>8</v>
      </c>
      <c r="K17" s="973">
        <f>'XM.FILE GOC'!L90</f>
        <v>48.510000000000041</v>
      </c>
      <c r="L17" s="974" t="s">
        <v>10</v>
      </c>
      <c r="M17" s="915">
        <f>IF(I17&gt;44.99%,"",'3.XT-C KH'!M18)</f>
        <v>0.44500000000000001</v>
      </c>
      <c r="N17" s="909" t="s">
        <v>8</v>
      </c>
      <c r="O17" s="937">
        <f>IF(M17="","",('XM.FILE GOC'!$G$90-M17)*3234)</f>
        <v>16.170000000000016</v>
      </c>
      <c r="P17" s="910" t="s">
        <v>10</v>
      </c>
      <c r="Q17" s="1754">
        <f>'XM.FILE GOC'!P90</f>
        <v>0.44800000000000001</v>
      </c>
      <c r="R17" s="972" t="s">
        <v>8</v>
      </c>
      <c r="S17" s="973">
        <f>'XM.FILE GOC'!S90</f>
        <v>6.4680000000000053</v>
      </c>
      <c r="T17" s="974" t="s">
        <v>10</v>
      </c>
      <c r="U17" s="915">
        <f>IF(Q17&gt;44.99%,"",'3.XT-C KH'!U18)</f>
        <v>0.46</v>
      </c>
      <c r="V17" s="909" t="s">
        <v>8</v>
      </c>
      <c r="W17" s="937">
        <f>IF(U17="","",('XM.FILE GOC'!$G$90-U17)*3234)</f>
        <v>-32.340000000000032</v>
      </c>
      <c r="X17" s="910" t="s">
        <v>10</v>
      </c>
      <c r="Y17" s="1754">
        <f>'XM.FILE GOC'!W90</f>
        <v>0.46500000000000002</v>
      </c>
      <c r="Z17" s="972" t="s">
        <v>8</v>
      </c>
      <c r="AA17" s="2122">
        <f>'XM.FILE GOC'!Z90</f>
        <v>0</v>
      </c>
      <c r="AB17" s="974" t="s">
        <v>10</v>
      </c>
      <c r="AC17" s="915" t="str">
        <f>IF(Y17&gt;44.99%,"",'3.XT-C KH'!AC18)</f>
        <v/>
      </c>
      <c r="AD17" s="909" t="s">
        <v>8</v>
      </c>
      <c r="AE17" s="937" t="str">
        <f>IF(AC17="","",('XM.FILE GOC'!$G$90-AC17)*3234)</f>
        <v/>
      </c>
      <c r="AF17" s="910" t="s">
        <v>10</v>
      </c>
      <c r="AG17" s="2474" t="s">
        <v>44</v>
      </c>
    </row>
    <row r="18" spans="1:33" ht="57.75" customHeight="1">
      <c r="A18" s="2057">
        <v>7</v>
      </c>
      <c r="B18" s="3213" t="s">
        <v>1612</v>
      </c>
      <c r="C18" s="3214"/>
      <c r="D18" s="3214"/>
      <c r="E18" s="3215"/>
      <c r="F18" s="633" t="s">
        <v>6</v>
      </c>
      <c r="G18" s="898" t="str">
        <f>'XM.FILE GOC'!$E$91</f>
        <v>15~25</v>
      </c>
      <c r="H18" s="2222" t="str">
        <f>'XM.FILE GOC'!$F$91</f>
        <v>(18±2)</v>
      </c>
      <c r="I18" s="2747">
        <f>'XM.FILE GOC'!I91</f>
        <v>0</v>
      </c>
      <c r="J18" s="972" t="s">
        <v>8</v>
      </c>
      <c r="K18" s="973">
        <f>'XM.FILE GOC'!L91</f>
        <v>604.98</v>
      </c>
      <c r="L18" s="974" t="s">
        <v>10</v>
      </c>
      <c r="M18" s="915">
        <f>IF(I18&gt;7.99%,"",'3.XT-C KH'!M19)</f>
        <v>0</v>
      </c>
      <c r="N18" s="909" t="s">
        <v>8</v>
      </c>
      <c r="O18" s="1595">
        <f>IF(M18="","",('XM.FILE GOC'!$G$91-M18)*3361)</f>
        <v>604.98</v>
      </c>
      <c r="P18" s="910" t="s">
        <v>10</v>
      </c>
      <c r="Q18" s="2747">
        <f>'XM.FILE GOC'!P91</f>
        <v>0</v>
      </c>
      <c r="R18" s="972" t="s">
        <v>8</v>
      </c>
      <c r="S18" s="973">
        <f>'XM.FILE GOC'!S91</f>
        <v>604.98</v>
      </c>
      <c r="T18" s="974" t="s">
        <v>10</v>
      </c>
      <c r="U18" s="915">
        <f>IF(Q18&gt;7.99%,"",'3.XT-C KH'!U19)</f>
        <v>0</v>
      </c>
      <c r="V18" s="909" t="s">
        <v>8</v>
      </c>
      <c r="W18" s="1595">
        <f>IF(U18="","",('XM.FILE GOC'!$G$91-U18)*3361)</f>
        <v>604.98</v>
      </c>
      <c r="X18" s="910" t="s">
        <v>10</v>
      </c>
      <c r="Y18" s="2747">
        <f>'XM.FILE GOC'!W91</f>
        <v>0</v>
      </c>
      <c r="Z18" s="2121" t="s">
        <v>8</v>
      </c>
      <c r="AA18" s="2122">
        <f>'XM.FILE GOC'!Z91</f>
        <v>604.98</v>
      </c>
      <c r="AB18" s="2123" t="s">
        <v>10</v>
      </c>
      <c r="AC18" s="915">
        <f>IF(Y18&gt;7.99%,"",'3.XT-C KH'!AC19)</f>
        <v>0</v>
      </c>
      <c r="AD18" s="2303" t="s">
        <v>8</v>
      </c>
      <c r="AE18" s="1595">
        <f>IF(AC18="","",('XM.FILE GOC'!$G$91-AC18)*3361)</f>
        <v>604.98</v>
      </c>
      <c r="AF18" s="2304" t="s">
        <v>10</v>
      </c>
      <c r="AG18" s="2113" t="s">
        <v>43</v>
      </c>
    </row>
    <row r="19" spans="1:33" ht="57.75" customHeight="1">
      <c r="A19" s="2475">
        <v>7</v>
      </c>
      <c r="B19" s="3213" t="s">
        <v>1613</v>
      </c>
      <c r="C19" s="3214"/>
      <c r="D19" s="3214"/>
      <c r="E19" s="3215"/>
      <c r="F19" s="633" t="s">
        <v>6</v>
      </c>
      <c r="G19" s="898" t="str">
        <f>'XM.FILE GOC'!$E$92</f>
        <v>40~50</v>
      </c>
      <c r="H19" s="2222" t="str">
        <f>'XM.FILE GOC'!$F$92</f>
        <v>(45±5)</v>
      </c>
      <c r="I19" s="1754">
        <f>'XM.FILE GOC'!I92</f>
        <v>0.46081249999999996</v>
      </c>
      <c r="J19" s="972" t="s">
        <v>8</v>
      </c>
      <c r="K19" s="973">
        <f>'XM.FILE GOC'!L92</f>
        <v>0</v>
      </c>
      <c r="L19" s="974" t="s">
        <v>10</v>
      </c>
      <c r="M19" s="915" t="str">
        <f>IF(I19&gt;44.99%,"",'3.XT-C KH'!M20)</f>
        <v/>
      </c>
      <c r="N19" s="909" t="s">
        <v>8</v>
      </c>
      <c r="O19" s="1595" t="str">
        <f>IF(M19="","",('XM.FILE GOC'!$G$92-M19)*3361)</f>
        <v/>
      </c>
      <c r="P19" s="910" t="s">
        <v>10</v>
      </c>
      <c r="Q19" s="1754">
        <f>'XM.FILE GOC'!P92</f>
        <v>0.45624999999999999</v>
      </c>
      <c r="R19" s="972" t="s">
        <v>8</v>
      </c>
      <c r="S19" s="973">
        <f>'XM.FILE GOC'!S92</f>
        <v>0</v>
      </c>
      <c r="T19" s="974" t="s">
        <v>10</v>
      </c>
      <c r="U19" s="915" t="str">
        <f>IF(Q19&gt;44.99%,"",'3.XT-C KH'!U20)</f>
        <v/>
      </c>
      <c r="V19" s="909" t="s">
        <v>8</v>
      </c>
      <c r="W19" s="1595" t="str">
        <f>IF(U19="","",('XM.FILE GOC'!$G$92-U19)*3361)</f>
        <v/>
      </c>
      <c r="X19" s="910" t="s">
        <v>10</v>
      </c>
      <c r="Y19" s="1754">
        <f>'XM.FILE GOC'!W92</f>
        <v>0.46993750000000001</v>
      </c>
      <c r="Z19" s="2121" t="s">
        <v>8</v>
      </c>
      <c r="AA19" s="2122">
        <f>'XM.FILE GOC'!Z92</f>
        <v>0</v>
      </c>
      <c r="AB19" s="2123" t="s">
        <v>10</v>
      </c>
      <c r="AC19" s="915" t="str">
        <f>IF(Y19&gt;44.99%,"",'3.XT-C KH'!AC20)</f>
        <v/>
      </c>
      <c r="AD19" s="2303" t="s">
        <v>8</v>
      </c>
      <c r="AE19" s="1595" t="str">
        <f>IF(AC19="","",('XM.FILE GOC'!$G$92-AC19)*3361)</f>
        <v/>
      </c>
      <c r="AF19" s="2304" t="s">
        <v>10</v>
      </c>
      <c r="AG19" s="2480" t="s">
        <v>43</v>
      </c>
    </row>
    <row r="20" spans="1:33" ht="57.75" customHeight="1">
      <c r="A20" s="2057">
        <v>8</v>
      </c>
      <c r="B20" s="3203" t="s">
        <v>1614</v>
      </c>
      <c r="C20" s="3204"/>
      <c r="D20" s="3204"/>
      <c r="E20" s="3205"/>
      <c r="F20" s="633" t="s">
        <v>6</v>
      </c>
      <c r="G20" s="898" t="str">
        <f>'XM.FILE GOC'!$E$93</f>
        <v>40~50</v>
      </c>
      <c r="H20" s="2222" t="str">
        <f>'XM.FILE GOC'!$F$93</f>
        <v>(45±5)</v>
      </c>
      <c r="I20" s="1754">
        <f>'XM.FILE GOC'!I93</f>
        <v>0.46993750000000001</v>
      </c>
      <c r="J20" s="972" t="s">
        <v>8</v>
      </c>
      <c r="K20" s="973">
        <f>'XM.FILE GOC'!L93</f>
        <v>0</v>
      </c>
      <c r="L20" s="974" t="s">
        <v>10</v>
      </c>
      <c r="M20" s="915" t="str">
        <f>IF(I20&gt;44.99%,"",'3.XT-C KH'!M21)</f>
        <v/>
      </c>
      <c r="N20" s="911" t="s">
        <v>8</v>
      </c>
      <c r="O20" s="1595" t="str">
        <f>IF(M20="","",('XM.FILE GOC'!$G$93-M20)*10509)</f>
        <v/>
      </c>
      <c r="P20" s="912" t="s">
        <v>10</v>
      </c>
      <c r="Q20" s="1754">
        <f>'XM.FILE GOC'!P93</f>
        <v>0.46993750000000001</v>
      </c>
      <c r="R20" s="972" t="s">
        <v>8</v>
      </c>
      <c r="S20" s="973">
        <f>'XM.FILE GOC'!S93</f>
        <v>0</v>
      </c>
      <c r="T20" s="974" t="s">
        <v>10</v>
      </c>
      <c r="U20" s="915" t="str">
        <f>IF(Q20&gt;44.99%,"",'3.XT-C KH'!U21)</f>
        <v/>
      </c>
      <c r="V20" s="911" t="s">
        <v>8</v>
      </c>
      <c r="W20" s="1595" t="str">
        <f>IF(U20="","",('XM.FILE GOC'!$G$93-U20)*10509)</f>
        <v/>
      </c>
      <c r="X20" s="912" t="s">
        <v>10</v>
      </c>
      <c r="Y20" s="1754">
        <f>'XM.FILE GOC'!W93</f>
        <v>0.47906250000000006</v>
      </c>
      <c r="Z20" s="972" t="s">
        <v>8</v>
      </c>
      <c r="AA20" s="973">
        <f>'XM.FILE GOC'!Z93</f>
        <v>0</v>
      </c>
      <c r="AB20" s="974" t="s">
        <v>10</v>
      </c>
      <c r="AC20" s="915" t="str">
        <f>IF(Y20&gt;44.99%,"",'3.XT-C KH'!AC21)</f>
        <v/>
      </c>
      <c r="AD20" s="911" t="s">
        <v>8</v>
      </c>
      <c r="AE20" s="1595" t="str">
        <f>IF(AC20="","",('XM.FILE GOC'!$G$93-AC20)*10509)</f>
        <v/>
      </c>
      <c r="AF20" s="912" t="s">
        <v>10</v>
      </c>
      <c r="AG20" s="69" t="s">
        <v>43</v>
      </c>
    </row>
    <row r="21" spans="1:33" ht="57.75" customHeight="1">
      <c r="A21" s="2057">
        <v>10</v>
      </c>
      <c r="B21" s="3200" t="s">
        <v>957</v>
      </c>
      <c r="C21" s="3201" t="s">
        <v>957</v>
      </c>
      <c r="D21" s="3201" t="s">
        <v>957</v>
      </c>
      <c r="E21" s="3202" t="s">
        <v>957</v>
      </c>
      <c r="F21" s="633" t="s">
        <v>6</v>
      </c>
      <c r="G21" s="898" t="str">
        <f>'XM.FILE GOC'!$E$94</f>
        <v>(1±0.4)=0.6~1.4</v>
      </c>
      <c r="H21" s="2222" t="str">
        <f>'XM.FILE GOC'!$F$94</f>
        <v>(1±0.4)</v>
      </c>
      <c r="I21" s="2235">
        <f>'XM.FILE GOC'!I94</f>
        <v>9.7999999999999997E-3</v>
      </c>
      <c r="J21" s="972" t="s">
        <v>8</v>
      </c>
      <c r="K21" s="976">
        <f>'XM.FILE GOC'!L94</f>
        <v>0.57218543046357762</v>
      </c>
      <c r="L21" s="977" t="s">
        <v>10</v>
      </c>
      <c r="M21" s="1579">
        <f>IF(I21&gt;0.99%,"",'3.XT-C KH'!M22)</f>
        <v>0.01</v>
      </c>
      <c r="N21" s="948" t="s">
        <v>8</v>
      </c>
      <c r="O21" s="1597">
        <f>IF(M21="","",('XM.FILE GOC'!$G$94-M21)*2808)</f>
        <v>0</v>
      </c>
      <c r="P21" s="918" t="s">
        <v>10</v>
      </c>
      <c r="Q21" s="302">
        <f>'XM.FILE GOC'!P94</f>
        <v>0.01</v>
      </c>
      <c r="R21" s="972" t="s">
        <v>8</v>
      </c>
      <c r="S21" s="976">
        <f>'XM.FILE GOC'!S94</f>
        <v>0</v>
      </c>
      <c r="T21" s="977" t="s">
        <v>10</v>
      </c>
      <c r="U21" s="1579" t="str">
        <f>IF(Q21&gt;0.99%,"",'3.XT-C KH'!U22)</f>
        <v/>
      </c>
      <c r="V21" s="948" t="s">
        <v>8</v>
      </c>
      <c r="W21" s="1597" t="str">
        <f>IF(U21="","",('XM.FILE GOC'!$G$94-U21)*2808)</f>
        <v/>
      </c>
      <c r="X21" s="918" t="s">
        <v>10</v>
      </c>
      <c r="Y21" s="302">
        <f>'XM.FILE GOC'!W94</f>
        <v>1.0200000000000001E-2</v>
      </c>
      <c r="Z21" s="972" t="s">
        <v>8</v>
      </c>
      <c r="AA21" s="976">
        <f>'XM.FILE GOC'!Z94</f>
        <v>0</v>
      </c>
      <c r="AB21" s="977" t="s">
        <v>10</v>
      </c>
      <c r="AC21" s="1579" t="str">
        <f>IF(Y21&gt;0.99%,"",'3.XT-C KH'!AC22)</f>
        <v/>
      </c>
      <c r="AD21" s="948" t="s">
        <v>8</v>
      </c>
      <c r="AE21" s="1597" t="str">
        <f>IF(AC21="","",('XM.FILE GOC'!$G$94-AC21)*2808)</f>
        <v/>
      </c>
      <c r="AF21" s="918" t="s">
        <v>10</v>
      </c>
      <c r="AG21" s="2056" t="s">
        <v>44</v>
      </c>
    </row>
    <row r="22" spans="1:33" ht="57.75" customHeight="1">
      <c r="A22" s="2057"/>
      <c r="B22" s="2449" t="s">
        <v>2</v>
      </c>
      <c r="C22" s="2450"/>
      <c r="D22" s="2450"/>
      <c r="E22" s="2450"/>
      <c r="F22" s="2450"/>
      <c r="G22" s="2450"/>
      <c r="H22" s="2450"/>
      <c r="I22" s="2450"/>
      <c r="J22" s="2450"/>
      <c r="K22" s="2450"/>
      <c r="L22" s="2450"/>
      <c r="M22" s="2450"/>
      <c r="N22" s="2450"/>
      <c r="O22" s="2450"/>
      <c r="P22" s="2450"/>
      <c r="Q22" s="2450"/>
      <c r="R22" s="2450"/>
      <c r="S22" s="2450"/>
      <c r="T22" s="2450"/>
      <c r="U22" s="2450"/>
      <c r="V22" s="2450"/>
      <c r="W22" s="2450"/>
      <c r="X22" s="2450"/>
      <c r="Y22" s="2450"/>
      <c r="Z22" s="2450"/>
      <c r="AA22" s="2450"/>
      <c r="AB22" s="2450"/>
      <c r="AC22" s="2450"/>
      <c r="AD22" s="2450"/>
      <c r="AE22" s="2450"/>
      <c r="AF22" s="2450"/>
      <c r="AG22" s="2451"/>
    </row>
    <row r="23" spans="1:33" ht="57.75" customHeight="1">
      <c r="A23" s="2057" t="s">
        <v>7</v>
      </c>
      <c r="B23" s="3167" t="s">
        <v>958</v>
      </c>
      <c r="C23" s="3168"/>
      <c r="D23" s="3168"/>
      <c r="E23" s="3169"/>
      <c r="F23" s="978" t="s">
        <v>959</v>
      </c>
      <c r="G23" s="978" t="s">
        <v>1310</v>
      </c>
      <c r="H23" s="2224" t="s">
        <v>1302</v>
      </c>
      <c r="I23" s="3158" t="s">
        <v>960</v>
      </c>
      <c r="J23" s="3159"/>
      <c r="K23" s="3160" t="s">
        <v>961</v>
      </c>
      <c r="L23" s="3159"/>
      <c r="M23" s="919"/>
      <c r="N23" s="920"/>
      <c r="O23" s="920"/>
      <c r="P23" s="921"/>
      <c r="Q23" s="3160" t="s">
        <v>960</v>
      </c>
      <c r="R23" s="3159"/>
      <c r="S23" s="3160" t="s">
        <v>961</v>
      </c>
      <c r="T23" s="3159"/>
      <c r="U23" s="919"/>
      <c r="V23" s="920"/>
      <c r="W23" s="920"/>
      <c r="X23" s="921"/>
      <c r="Y23" s="3160" t="s">
        <v>960</v>
      </c>
      <c r="Z23" s="3159"/>
      <c r="AA23" s="3160" t="s">
        <v>961</v>
      </c>
      <c r="AB23" s="3159"/>
      <c r="AC23" s="919"/>
      <c r="AD23" s="920"/>
      <c r="AE23" s="920"/>
      <c r="AF23" s="921"/>
      <c r="AG23" s="10"/>
    </row>
    <row r="24" spans="1:33" ht="54.75" customHeight="1">
      <c r="A24" s="2057">
        <v>1</v>
      </c>
      <c r="B24" s="3167" t="s">
        <v>962</v>
      </c>
      <c r="C24" s="3168"/>
      <c r="D24" s="3168"/>
      <c r="E24" s="3169"/>
      <c r="F24" s="979" t="s">
        <v>963</v>
      </c>
      <c r="G24" s="898" t="str">
        <f>'XM.FILE GOC'!$E$105</f>
        <v>50~70</v>
      </c>
      <c r="H24" s="2222" t="str">
        <f>'XM.FILE GOC'!$F$105</f>
        <v>(60±5)</v>
      </c>
      <c r="I24" s="3113">
        <f>'3.XT-C KH'!I27:J27</f>
        <v>60</v>
      </c>
      <c r="J24" s="3112"/>
      <c r="K24" s="3112">
        <f>'3.XT-C KH'!K27:L27</f>
        <v>60</v>
      </c>
      <c r="L24" s="3112"/>
      <c r="M24" s="922"/>
      <c r="N24" s="923"/>
      <c r="O24" s="923"/>
      <c r="P24" s="924"/>
      <c r="Q24" s="3112">
        <f>'3.XT-C KH'!Q27:R27</f>
        <v>60</v>
      </c>
      <c r="R24" s="3112"/>
      <c r="S24" s="3112">
        <f>'3.XT-C KH'!S27:T27</f>
        <v>60</v>
      </c>
      <c r="T24" s="3112"/>
      <c r="U24" s="922"/>
      <c r="V24" s="923"/>
      <c r="W24" s="923"/>
      <c r="X24" s="924"/>
      <c r="Y24" s="3112">
        <f>'3.XT-C KH'!Y27:Z27</f>
        <v>60</v>
      </c>
      <c r="Z24" s="3112"/>
      <c r="AA24" s="3112">
        <f>'3.XT-C KH'!AA27:AB27</f>
        <v>60</v>
      </c>
      <c r="AB24" s="3112"/>
      <c r="AC24" s="922"/>
      <c r="AD24" s="923"/>
      <c r="AE24" s="923"/>
      <c r="AF24" s="924"/>
      <c r="AG24" s="2058"/>
    </row>
    <row r="25" spans="1:33" ht="54.75" customHeight="1">
      <c r="A25" s="2057">
        <v>2</v>
      </c>
      <c r="B25" s="3167" t="s">
        <v>964</v>
      </c>
      <c r="C25" s="3168"/>
      <c r="D25" s="3168"/>
      <c r="E25" s="3169"/>
      <c r="F25" s="979" t="s">
        <v>963</v>
      </c>
      <c r="G25" s="898" t="str">
        <f>'XM.FILE GOC'!$E$106</f>
        <v>50~70</v>
      </c>
      <c r="H25" s="2222" t="str">
        <f>'XM.FILE GOC'!$F$106</f>
        <v>(60±5)</v>
      </c>
      <c r="I25" s="3113">
        <f>'3.XT-C KH'!I28:J28</f>
        <v>61</v>
      </c>
      <c r="J25" s="3112"/>
      <c r="K25" s="3112">
        <f>'3.XT-C KH'!K28:L28</f>
        <v>60</v>
      </c>
      <c r="L25" s="3112"/>
      <c r="M25" s="922"/>
      <c r="N25" s="923"/>
      <c r="O25" s="923"/>
      <c r="P25" s="924"/>
      <c r="Q25" s="3112">
        <f>'3.XT-C KH'!Q28:R28</f>
        <v>60</v>
      </c>
      <c r="R25" s="3112"/>
      <c r="S25" s="3112">
        <f>'3.XT-C KH'!S28:T28</f>
        <v>60</v>
      </c>
      <c r="T25" s="3112"/>
      <c r="U25" s="922"/>
      <c r="V25" s="923"/>
      <c r="W25" s="923"/>
      <c r="X25" s="924"/>
      <c r="Y25" s="3112">
        <f>'3.XT-C KH'!Y28:Z28</f>
        <v>62</v>
      </c>
      <c r="Z25" s="3112"/>
      <c r="AA25" s="3112">
        <f>'3.XT-C KH'!AA28:AB28</f>
        <v>61</v>
      </c>
      <c r="AB25" s="3112"/>
      <c r="AC25" s="922"/>
      <c r="AD25" s="923"/>
      <c r="AE25" s="923"/>
      <c r="AF25" s="924"/>
      <c r="AG25" s="2058"/>
    </row>
    <row r="26" spans="1:33" ht="54.75" customHeight="1">
      <c r="A26" s="2057">
        <v>3</v>
      </c>
      <c r="B26" s="3167" t="s">
        <v>965</v>
      </c>
      <c r="C26" s="3168"/>
      <c r="D26" s="3168"/>
      <c r="E26" s="3169"/>
      <c r="F26" s="979" t="s">
        <v>963</v>
      </c>
      <c r="G26" s="898" t="str">
        <f>'XM.FILE GOC'!$E$107</f>
        <v>50~70</v>
      </c>
      <c r="H26" s="2222" t="str">
        <f>'XM.FILE GOC'!$F$107</f>
        <v>(60±5)</v>
      </c>
      <c r="I26" s="3113">
        <f>'3.XT-C KH'!I29:J29</f>
        <v>60</v>
      </c>
      <c r="J26" s="3112"/>
      <c r="K26" s="3112">
        <f>'3.XT-C KH'!K29:L29</f>
        <v>60</v>
      </c>
      <c r="L26" s="3112"/>
      <c r="M26" s="922"/>
      <c r="N26" s="923"/>
      <c r="O26" s="923"/>
      <c r="P26" s="924"/>
      <c r="Q26" s="3112">
        <f>'3.XT-C KH'!Q29:R29</f>
        <v>60</v>
      </c>
      <c r="R26" s="3112"/>
      <c r="S26" s="3112">
        <f>'3.XT-C KH'!S29:T29</f>
        <v>61</v>
      </c>
      <c r="T26" s="3112"/>
      <c r="U26" s="922"/>
      <c r="V26" s="923"/>
      <c r="W26" s="923"/>
      <c r="X26" s="924"/>
      <c r="Y26" s="3112">
        <f>'3.XT-C KH'!Y29:Z29</f>
        <v>60</v>
      </c>
      <c r="Z26" s="3112"/>
      <c r="AA26" s="3112">
        <f>'3.XT-C KH'!AA29:AB29</f>
        <v>60</v>
      </c>
      <c r="AB26" s="3112"/>
      <c r="AC26" s="922"/>
      <c r="AD26" s="923"/>
      <c r="AE26" s="923"/>
      <c r="AF26" s="924"/>
      <c r="AG26" s="2058"/>
    </row>
    <row r="27" spans="1:33" ht="54.75" customHeight="1">
      <c r="A27" s="2057">
        <v>4</v>
      </c>
      <c r="B27" s="3167" t="s">
        <v>966</v>
      </c>
      <c r="C27" s="3168"/>
      <c r="D27" s="3168"/>
      <c r="E27" s="3169"/>
      <c r="F27" s="979" t="s">
        <v>963</v>
      </c>
      <c r="G27" s="898" t="str">
        <f>'XM.FILE GOC'!$E$108</f>
        <v>50~70</v>
      </c>
      <c r="H27" s="2222" t="str">
        <f>'XM.FILE GOC'!$F$108</f>
        <v>(60±5)</v>
      </c>
      <c r="I27" s="3113">
        <f>'3.XT-C KH'!I30:J30</f>
        <v>61</v>
      </c>
      <c r="J27" s="3112"/>
      <c r="K27" s="3112">
        <f>'3.XT-C KH'!K30:L30</f>
        <v>60</v>
      </c>
      <c r="L27" s="3112"/>
      <c r="M27" s="922"/>
      <c r="N27" s="923"/>
      <c r="O27" s="923"/>
      <c r="P27" s="924"/>
      <c r="Q27" s="3112">
        <f>'3.XT-C KH'!Q30:R30</f>
        <v>59</v>
      </c>
      <c r="R27" s="3112"/>
      <c r="S27" s="3112">
        <f>'3.XT-C KH'!S30:T30</f>
        <v>60</v>
      </c>
      <c r="T27" s="3112"/>
      <c r="U27" s="922"/>
      <c r="V27" s="923"/>
      <c r="W27" s="923"/>
      <c r="X27" s="924"/>
      <c r="Y27" s="3112">
        <f>'3.XT-C KH'!Y30:Z30</f>
        <v>60</v>
      </c>
      <c r="Z27" s="3112"/>
      <c r="AA27" s="3112">
        <f>'3.XT-C KH'!AA30:AB30</f>
        <v>60</v>
      </c>
      <c r="AB27" s="3112"/>
      <c r="AC27" s="922"/>
      <c r="AD27" s="923"/>
      <c r="AE27" s="923"/>
      <c r="AF27" s="924"/>
      <c r="AG27" s="2058"/>
    </row>
    <row r="28" spans="1:33" ht="54.75" customHeight="1">
      <c r="A28" s="1589">
        <v>5</v>
      </c>
      <c r="B28" s="3161" t="s">
        <v>117</v>
      </c>
      <c r="C28" s="3162"/>
      <c r="D28" s="3162"/>
      <c r="E28" s="3163"/>
      <c r="F28" s="2064" t="s">
        <v>26</v>
      </c>
      <c r="G28" s="2065" t="str">
        <f>'XM.GUI MAIL'!$E$117</f>
        <v>24~28</v>
      </c>
      <c r="H28" s="2239" t="str">
        <f>'XM.GUI MAIL'!$F$117</f>
        <v>(26±2)</v>
      </c>
      <c r="I28" s="3164">
        <f>'3.XT-C KH'!AQ11</f>
        <v>25</v>
      </c>
      <c r="J28" s="3024"/>
      <c r="K28" s="3028">
        <f>'3.XT-C KH'!AS11</f>
        <v>24</v>
      </c>
      <c r="L28" s="3024"/>
      <c r="M28" s="922"/>
      <c r="N28" s="923"/>
      <c r="O28" s="923"/>
      <c r="P28" s="924"/>
      <c r="Q28" s="3164">
        <f>'3.XT-C KH'!AY11</f>
        <v>26</v>
      </c>
      <c r="R28" s="3024"/>
      <c r="S28" s="3028">
        <f>'3.XT-C KH'!BA11</f>
        <v>25</v>
      </c>
      <c r="T28" s="3024"/>
      <c r="U28" s="922"/>
      <c r="V28" s="923"/>
      <c r="W28" s="923"/>
      <c r="X28" s="924"/>
      <c r="Y28" s="3164">
        <f>'3.XT-C KH'!BG11</f>
        <v>26</v>
      </c>
      <c r="Z28" s="3024"/>
      <c r="AA28" s="3028">
        <f>'3.XT-C KH'!BI11</f>
        <v>26</v>
      </c>
      <c r="AB28" s="3024"/>
      <c r="AC28" s="922"/>
      <c r="AD28" s="923"/>
      <c r="AE28" s="923"/>
      <c r="AF28" s="924"/>
      <c r="AG28" s="74"/>
    </row>
    <row r="29" spans="1:33" ht="54.75" customHeight="1">
      <c r="A29" s="1582">
        <v>6</v>
      </c>
      <c r="B29" s="3161" t="s">
        <v>121</v>
      </c>
      <c r="C29" s="3162"/>
      <c r="D29" s="3162"/>
      <c r="E29" s="3163"/>
      <c r="F29" s="2064" t="s">
        <v>26</v>
      </c>
      <c r="G29" s="2065" t="str">
        <f>'XM.GUI MAIL'!$E$118</f>
        <v>20~30</v>
      </c>
      <c r="H29" s="2239" t="str">
        <f>'XM.GUI MAIL'!$F$118</f>
        <v>(25±5)</v>
      </c>
      <c r="I29" s="3164">
        <f>'3.XT-C KH'!AQ12</f>
        <v>29</v>
      </c>
      <c r="J29" s="3024"/>
      <c r="K29" s="3028">
        <f>'3.XT-C KH'!AS12</f>
        <v>29</v>
      </c>
      <c r="L29" s="3165"/>
      <c r="M29" s="922"/>
      <c r="N29" s="923"/>
      <c r="O29" s="923"/>
      <c r="P29" s="924"/>
      <c r="Q29" s="3164">
        <f>'3.XT-C KH'!AY12</f>
        <v>30</v>
      </c>
      <c r="R29" s="3024"/>
      <c r="S29" s="3028">
        <f>'3.XT-C KH'!BA12</f>
        <v>29</v>
      </c>
      <c r="T29" s="3165"/>
      <c r="U29" s="922"/>
      <c r="V29" s="923"/>
      <c r="W29" s="923"/>
      <c r="X29" s="924"/>
      <c r="Y29" s="3164">
        <f>'3.XT-C KH'!BG12</f>
        <v>29</v>
      </c>
      <c r="Z29" s="3024"/>
      <c r="AA29" s="3028">
        <f>'3.XT-C KH'!BI12</f>
        <v>30</v>
      </c>
      <c r="AB29" s="3165"/>
      <c r="AC29" s="922"/>
      <c r="AD29" s="923"/>
      <c r="AE29" s="923"/>
      <c r="AF29" s="924"/>
      <c r="AG29" s="2701"/>
    </row>
    <row r="30" spans="1:33" ht="54.75" customHeight="1">
      <c r="A30" s="1590">
        <v>7</v>
      </c>
      <c r="B30" s="3803" t="s">
        <v>969</v>
      </c>
      <c r="C30" s="3804"/>
      <c r="D30" s="3804"/>
      <c r="E30" s="3805"/>
      <c r="F30" s="1585" t="s">
        <v>963</v>
      </c>
      <c r="G30" s="1586" t="str">
        <f>'XM.FILE GOC'!$E$111</f>
        <v>55~65</v>
      </c>
      <c r="H30" s="2238" t="str">
        <f>'XM.FILE GOC'!$F$111</f>
        <v>(60±5)</v>
      </c>
      <c r="I30" s="3806">
        <f>'3.XT-C KH'!I33</f>
        <v>55</v>
      </c>
      <c r="J30" s="3807"/>
      <c r="K30" s="3807">
        <f>'3.XT-C KH'!K33</f>
        <v>56</v>
      </c>
      <c r="L30" s="3807"/>
      <c r="M30" s="922"/>
      <c r="N30" s="923"/>
      <c r="O30" s="923"/>
      <c r="P30" s="924"/>
      <c r="Q30" s="3807">
        <f>'3.XT-C KH'!Q33</f>
        <v>55</v>
      </c>
      <c r="R30" s="3807"/>
      <c r="S30" s="3807">
        <f>'3.XT-C KH'!S33</f>
        <v>56</v>
      </c>
      <c r="T30" s="3807"/>
      <c r="U30" s="922"/>
      <c r="V30" s="923"/>
      <c r="W30" s="923"/>
      <c r="X30" s="924"/>
      <c r="Y30" s="3807">
        <f>'3.XT-C KH'!Y33</f>
        <v>56</v>
      </c>
      <c r="Z30" s="3807"/>
      <c r="AA30" s="3807">
        <f>'3.XT-C KH'!AA33</f>
        <v>55</v>
      </c>
      <c r="AB30" s="3807"/>
      <c r="AC30" s="922"/>
      <c r="AD30" s="923"/>
      <c r="AE30" s="923"/>
      <c r="AF30" s="924"/>
      <c r="AG30" s="1587"/>
    </row>
    <row r="31" spans="1:33" ht="54.75" customHeight="1">
      <c r="A31" s="2057">
        <v>8</v>
      </c>
      <c r="B31" s="3167" t="s">
        <v>970</v>
      </c>
      <c r="C31" s="3168"/>
      <c r="D31" s="3168"/>
      <c r="E31" s="3169"/>
      <c r="F31" s="979" t="s">
        <v>963</v>
      </c>
      <c r="G31" s="898" t="str">
        <f>'XM.FILE GOC'!$E$112</f>
        <v>80~100</v>
      </c>
      <c r="H31" s="2222" t="str">
        <f>'XM.FILE GOC'!$F$112</f>
        <v>(90±5)</v>
      </c>
      <c r="I31" s="3159" t="str">
        <f>'3.XT-C KH'!I34</f>
        <v>\</v>
      </c>
      <c r="J31" s="3191"/>
      <c r="K31" s="3112">
        <f>'3.XT-C KH'!K34</f>
        <v>90</v>
      </c>
      <c r="L31" s="3112"/>
      <c r="M31" s="922"/>
      <c r="N31" s="923"/>
      <c r="O31" s="923"/>
      <c r="P31" s="924"/>
      <c r="Q31" s="3191" t="str">
        <f>'3.XT-C KH'!Q34</f>
        <v>\</v>
      </c>
      <c r="R31" s="3191"/>
      <c r="S31" s="3112">
        <f>'3.XT-C KH'!S34</f>
        <v>91</v>
      </c>
      <c r="T31" s="3112"/>
      <c r="U31" s="922"/>
      <c r="V31" s="923"/>
      <c r="W31" s="923"/>
      <c r="X31" s="924"/>
      <c r="Y31" s="3191" t="str">
        <f>'3.XT-C KH'!Y34</f>
        <v>\</v>
      </c>
      <c r="Z31" s="3191"/>
      <c r="AA31" s="3112">
        <f>'3.XT-C KH'!AA34</f>
        <v>90</v>
      </c>
      <c r="AB31" s="3112"/>
      <c r="AC31" s="922"/>
      <c r="AD31" s="923"/>
      <c r="AE31" s="923"/>
      <c r="AF31" s="924"/>
      <c r="AG31" s="2058"/>
    </row>
    <row r="32" spans="1:33" ht="54.75" customHeight="1">
      <c r="A32" s="2057">
        <v>9</v>
      </c>
      <c r="B32" s="3192" t="s">
        <v>1287</v>
      </c>
      <c r="C32" s="3193"/>
      <c r="D32" s="3193"/>
      <c r="E32" s="3194"/>
      <c r="F32" s="979" t="s">
        <v>963</v>
      </c>
      <c r="G32" s="898" t="str">
        <f>'XM.FILE GOC'!$E$113</f>
        <v>40~60</v>
      </c>
      <c r="H32" s="2222" t="str">
        <f>'XM.FILE GOC'!$F$113</f>
        <v>(50±10)</v>
      </c>
      <c r="I32" s="3190">
        <f>'3.XT-C KH'!I35</f>
        <v>58</v>
      </c>
      <c r="J32" s="3188"/>
      <c r="K32" s="3188">
        <f>'3.XT-C KH'!K35</f>
        <v>58</v>
      </c>
      <c r="L32" s="3188"/>
      <c r="M32" s="922"/>
      <c r="N32" s="923"/>
      <c r="O32" s="923"/>
      <c r="P32" s="924"/>
      <c r="Q32" s="3188">
        <f>'3.XT-C KH'!Q35</f>
        <v>60</v>
      </c>
      <c r="R32" s="3188"/>
      <c r="S32" s="3188">
        <f>'3.XT-C KH'!S35</f>
        <v>59</v>
      </c>
      <c r="T32" s="3188"/>
      <c r="U32" s="922"/>
      <c r="V32" s="923"/>
      <c r="W32" s="923"/>
      <c r="X32" s="924"/>
      <c r="Y32" s="3188">
        <f>'3.XT-C KH'!Y35</f>
        <v>59</v>
      </c>
      <c r="Z32" s="3188"/>
      <c r="AA32" s="3188">
        <f>'3.XT-C KH'!AA35</f>
        <v>60</v>
      </c>
      <c r="AB32" s="3188"/>
      <c r="AC32" s="922"/>
      <c r="AD32" s="923"/>
      <c r="AE32" s="923"/>
      <c r="AF32" s="924"/>
      <c r="AG32" s="2058"/>
    </row>
    <row r="33" spans="1:33" ht="54.75" customHeight="1">
      <c r="A33" s="2057">
        <v>10</v>
      </c>
      <c r="B33" s="3800" t="s">
        <v>1290</v>
      </c>
      <c r="C33" s="3801"/>
      <c r="D33" s="3801"/>
      <c r="E33" s="3802"/>
      <c r="F33" s="2066" t="s">
        <v>963</v>
      </c>
      <c r="G33" s="898" t="str">
        <f>'XM.FILE GOC'!$E$114</f>
        <v>50~70</v>
      </c>
      <c r="H33" s="2222" t="str">
        <f>'XM.FILE GOC'!$F$114</f>
        <v>(60±10)</v>
      </c>
      <c r="I33" s="3190">
        <f>'3.XT-C KH'!I36</f>
        <v>57</v>
      </c>
      <c r="J33" s="3188"/>
      <c r="K33" s="3188">
        <f>'3.XT-C KH'!K36</f>
        <v>58</v>
      </c>
      <c r="L33" s="3188"/>
      <c r="M33" s="922"/>
      <c r="N33" s="923"/>
      <c r="O33" s="923"/>
      <c r="P33" s="924"/>
      <c r="Q33" s="3188">
        <f>'3.XT-C KH'!Q36</f>
        <v>58</v>
      </c>
      <c r="R33" s="3188"/>
      <c r="S33" s="3188">
        <f>'3.XT-C KH'!S36</f>
        <v>58</v>
      </c>
      <c r="T33" s="3188"/>
      <c r="U33" s="922"/>
      <c r="V33" s="923"/>
      <c r="W33" s="923"/>
      <c r="X33" s="924"/>
      <c r="Y33" s="3188">
        <f>'3.XT-C KH'!Y36</f>
        <v>59</v>
      </c>
      <c r="Z33" s="3188"/>
      <c r="AA33" s="3188">
        <f>'3.XT-C KH'!AA36</f>
        <v>59</v>
      </c>
      <c r="AB33" s="3188"/>
      <c r="AC33" s="922"/>
      <c r="AD33" s="923"/>
      <c r="AE33" s="923"/>
      <c r="AF33" s="924"/>
      <c r="AG33" s="2058"/>
    </row>
    <row r="34" spans="1:33" ht="15.75" customHeight="1">
      <c r="A34" s="980"/>
      <c r="B34" s="899"/>
      <c r="C34" s="899"/>
      <c r="D34" s="899"/>
      <c r="E34" s="899"/>
      <c r="F34" s="981"/>
      <c r="G34" s="981"/>
      <c r="H34" s="981"/>
      <c r="I34" s="981"/>
      <c r="J34" s="981"/>
      <c r="K34" s="981"/>
      <c r="L34" s="981"/>
      <c r="M34" s="945"/>
      <c r="N34" s="945"/>
      <c r="O34" s="945"/>
      <c r="P34" s="945"/>
      <c r="Q34" s="981"/>
      <c r="R34" s="981"/>
      <c r="S34" s="981"/>
      <c r="T34" s="981"/>
      <c r="U34" s="945"/>
      <c r="V34" s="945"/>
      <c r="W34" s="945"/>
      <c r="X34" s="945"/>
      <c r="Y34" s="981"/>
      <c r="Z34" s="981"/>
      <c r="AA34" s="981"/>
      <c r="AB34" s="981"/>
      <c r="AC34" s="945"/>
      <c r="AD34" s="945"/>
      <c r="AE34" s="945"/>
      <c r="AF34" s="945"/>
      <c r="AG34" s="62"/>
    </row>
    <row r="35" spans="1:33" ht="42" customHeight="1">
      <c r="B35" s="1546" t="s">
        <v>135</v>
      </c>
      <c r="C35" s="1546"/>
      <c r="D35" s="1546"/>
      <c r="E35" s="1546"/>
      <c r="F35" s="1546"/>
      <c r="G35" s="1546"/>
      <c r="H35" s="1546"/>
      <c r="I35" s="1546"/>
      <c r="J35" s="1546"/>
      <c r="K35" s="1546"/>
      <c r="L35" s="1546"/>
      <c r="M35" s="1546"/>
      <c r="N35" s="1546"/>
      <c r="O35" s="1546"/>
      <c r="P35" s="1546"/>
      <c r="Q35" s="1546"/>
      <c r="R35" s="1546"/>
      <c r="S35" s="1546"/>
      <c r="T35" s="1546"/>
      <c r="U35" s="1546"/>
      <c r="V35" s="1546"/>
      <c r="W35" s="1546"/>
      <c r="X35" s="1546"/>
      <c r="Y35" s="1546"/>
      <c r="Z35" s="1546"/>
      <c r="AA35" s="2446"/>
      <c r="AB35" s="2446"/>
      <c r="AC35" s="2447"/>
      <c r="AD35" s="947"/>
      <c r="AE35" s="947"/>
      <c r="AF35" s="947"/>
      <c r="AG35" s="61"/>
    </row>
    <row r="36" spans="1:33" ht="51" customHeight="1">
      <c r="B36" s="2448" t="s">
        <v>1511</v>
      </c>
      <c r="C36" s="2448"/>
      <c r="D36" s="2448"/>
      <c r="E36" s="2448"/>
      <c r="F36" s="2448"/>
      <c r="G36" s="2448"/>
      <c r="H36" s="2448"/>
      <c r="I36" s="2448"/>
      <c r="J36" s="2448"/>
      <c r="K36" s="2448"/>
      <c r="L36" s="2448"/>
      <c r="M36" s="2448"/>
      <c r="N36" s="2448"/>
      <c r="O36" s="2448"/>
      <c r="P36" s="2448"/>
      <c r="Q36" s="2448"/>
      <c r="R36" s="2448"/>
      <c r="S36" s="2448"/>
      <c r="T36" s="2448"/>
      <c r="U36" s="2448"/>
      <c r="V36" s="2448"/>
      <c r="W36" s="2448"/>
      <c r="X36" s="2448"/>
      <c r="Y36" s="2448"/>
      <c r="Z36" s="2448"/>
      <c r="AA36" s="2440"/>
      <c r="AB36" s="2440"/>
      <c r="AC36" s="2441"/>
      <c r="AD36" s="3121" t="s">
        <v>88</v>
      </c>
      <c r="AE36" s="3121"/>
      <c r="AF36" s="3122" t="s">
        <v>89</v>
      </c>
      <c r="AG36" s="3123"/>
    </row>
    <row r="37" spans="1:33" ht="40.5" customHeight="1">
      <c r="A37" s="969"/>
      <c r="B37" s="1424" t="s">
        <v>127</v>
      </c>
      <c r="C37" s="1425"/>
      <c r="D37" s="1395"/>
      <c r="E37" s="1396"/>
      <c r="F37" s="1397"/>
      <c r="G37" s="1394" t="s">
        <v>1624</v>
      </c>
      <c r="H37" s="1819" t="str">
        <f>MENU!$AC$9</f>
        <v>Thứ 4,</v>
      </c>
      <c r="I37" s="3089" t="str">
        <f>MENU!$AD$9</f>
        <v>2024/05/22</v>
      </c>
      <c r="J37" s="3090"/>
      <c r="K37" s="3090"/>
      <c r="L37" s="3090"/>
      <c r="M37" s="944"/>
      <c r="N37" s="944"/>
      <c r="O37" s="944"/>
      <c r="P37" s="944"/>
      <c r="Q37" s="971"/>
      <c r="R37" s="971"/>
      <c r="S37" s="971"/>
      <c r="T37" s="971"/>
      <c r="U37" s="944"/>
      <c r="V37" s="944"/>
      <c r="W37" s="944"/>
      <c r="X37" s="944"/>
      <c r="Y37" s="971"/>
      <c r="Z37" s="971"/>
      <c r="AA37" s="3150"/>
      <c r="AB37" s="3150"/>
      <c r="AC37" s="942"/>
      <c r="AD37" s="3124" t="str">
        <f>MENU!AE7</f>
        <v>L.Yen</v>
      </c>
      <c r="AE37" s="3124"/>
      <c r="AF37" s="3156" t="s">
        <v>11</v>
      </c>
      <c r="AG37" s="3129"/>
    </row>
    <row r="38" spans="1:33" s="62" customFormat="1" ht="36.75" customHeight="1">
      <c r="A38" s="3181" t="s">
        <v>7</v>
      </c>
      <c r="B38" s="3097" t="s">
        <v>76</v>
      </c>
      <c r="C38" s="3098"/>
      <c r="D38" s="3098"/>
      <c r="E38" s="3099"/>
      <c r="F38" s="3133" t="s">
        <v>124</v>
      </c>
      <c r="G38" s="3059" t="s">
        <v>1310</v>
      </c>
      <c r="H38" s="3109" t="s">
        <v>1302</v>
      </c>
      <c r="I38" s="3155">
        <v>0.80208333333333337</v>
      </c>
      <c r="J38" s="3065"/>
      <c r="K38" s="3065"/>
      <c r="L38" s="3066"/>
      <c r="M38" s="3073" t="s">
        <v>939</v>
      </c>
      <c r="N38" s="3074"/>
      <c r="O38" s="3074"/>
      <c r="P38" s="3075"/>
      <c r="Q38" s="3064">
        <v>0.96875</v>
      </c>
      <c r="R38" s="3065"/>
      <c r="S38" s="3065"/>
      <c r="T38" s="3066"/>
      <c r="U38" s="3073" t="s">
        <v>939</v>
      </c>
      <c r="V38" s="3074"/>
      <c r="W38" s="3074"/>
      <c r="X38" s="3075"/>
      <c r="Y38" s="3151">
        <v>0.13541666666666666</v>
      </c>
      <c r="Z38" s="3133"/>
      <c r="AA38" s="3133"/>
      <c r="AB38" s="3133"/>
      <c r="AC38" s="3073" t="s">
        <v>939</v>
      </c>
      <c r="AD38" s="3074"/>
      <c r="AE38" s="3074"/>
      <c r="AF38" s="3075"/>
      <c r="AG38" s="3148" t="s">
        <v>38</v>
      </c>
    </row>
    <row r="39" spans="1:33" s="62" customFormat="1" ht="48.75" customHeight="1">
      <c r="A39" s="3181"/>
      <c r="B39" s="3100"/>
      <c r="C39" s="3101"/>
      <c r="D39" s="3101"/>
      <c r="E39" s="3102"/>
      <c r="F39" s="3134"/>
      <c r="G39" s="3060"/>
      <c r="H39" s="3110"/>
      <c r="I39" s="2209" t="s">
        <v>129</v>
      </c>
      <c r="J39" s="3070" t="s">
        <v>1</v>
      </c>
      <c r="K39" s="3071"/>
      <c r="L39" s="3072"/>
      <c r="M39" s="907" t="s">
        <v>129</v>
      </c>
      <c r="N39" s="3076" t="s">
        <v>1</v>
      </c>
      <c r="O39" s="3076"/>
      <c r="P39" s="3077"/>
      <c r="Q39" s="950" t="s">
        <v>129</v>
      </c>
      <c r="R39" s="3070" t="s">
        <v>1</v>
      </c>
      <c r="S39" s="3071"/>
      <c r="T39" s="3072"/>
      <c r="U39" s="907" t="s">
        <v>129</v>
      </c>
      <c r="V39" s="3076" t="s">
        <v>1</v>
      </c>
      <c r="W39" s="3076"/>
      <c r="X39" s="3077"/>
      <c r="Y39" s="950" t="s">
        <v>129</v>
      </c>
      <c r="Z39" s="3070" t="s">
        <v>1</v>
      </c>
      <c r="AA39" s="3071"/>
      <c r="AB39" s="3072"/>
      <c r="AC39" s="907" t="s">
        <v>129</v>
      </c>
      <c r="AD39" s="3076" t="s">
        <v>1</v>
      </c>
      <c r="AE39" s="3076"/>
      <c r="AF39" s="3077"/>
      <c r="AG39" s="3149"/>
    </row>
    <row r="40" spans="1:33" ht="57" customHeight="1">
      <c r="A40" s="3206">
        <v>1</v>
      </c>
      <c r="B40" s="3223" t="s">
        <v>950</v>
      </c>
      <c r="C40" s="3224"/>
      <c r="D40" s="3093" t="s">
        <v>1590</v>
      </c>
      <c r="E40" s="3094"/>
      <c r="F40" s="2700" t="s">
        <v>4</v>
      </c>
      <c r="G40" s="898" t="str">
        <f>'XM.FILE GOC'!$E$78</f>
        <v>40~60</v>
      </c>
      <c r="H40" s="2222" t="str">
        <f>'XM.FILE GOC'!$F$78</f>
        <v>(50±5)</v>
      </c>
      <c r="I40" s="2231">
        <f>'XM.FILE GOC'!AD78</f>
        <v>51.3</v>
      </c>
      <c r="J40" s="972" t="s">
        <v>8</v>
      </c>
      <c r="K40" s="973">
        <f>'XM.FILE GOC'!AG78</f>
        <v>0</v>
      </c>
      <c r="L40" s="974" t="s">
        <v>9</v>
      </c>
      <c r="M40" s="1580">
        <f>'3.XT-C KH'!M48</f>
        <v>0</v>
      </c>
      <c r="N40" s="909" t="s">
        <v>8</v>
      </c>
      <c r="O40" s="1595" t="str">
        <f>IF(M40=0,"",('XM.FILE GOC'!$G$78-M40)*15517/1000)</f>
        <v/>
      </c>
      <c r="P40" s="910" t="s">
        <v>9</v>
      </c>
      <c r="Q40" s="54">
        <f>'XM.FILE GOC'!AK78</f>
        <v>50.5</v>
      </c>
      <c r="R40" s="972" t="s">
        <v>8</v>
      </c>
      <c r="S40" s="973">
        <f>'XM.FILE GOC'!AN78</f>
        <v>0</v>
      </c>
      <c r="T40" s="974" t="s">
        <v>9</v>
      </c>
      <c r="U40" s="1580">
        <f>'3.XT-C KH'!U48</f>
        <v>0</v>
      </c>
      <c r="V40" s="909" t="s">
        <v>8</v>
      </c>
      <c r="W40" s="1595" t="str">
        <f>IF(U40=0,"",('XM.FILE GOC'!$G$78-U40)*15517/1000)</f>
        <v/>
      </c>
      <c r="X40" s="910" t="s">
        <v>9</v>
      </c>
      <c r="Y40" s="54">
        <f>'XM.FILE GOC'!AR78</f>
        <v>50.2</v>
      </c>
      <c r="Z40" s="972" t="s">
        <v>8</v>
      </c>
      <c r="AA40" s="973">
        <f>'XM.FILE GOC'!AU78</f>
        <v>0</v>
      </c>
      <c r="AB40" s="974" t="s">
        <v>9</v>
      </c>
      <c r="AC40" s="1580">
        <f>'3.XT-C KH'!AC48</f>
        <v>0</v>
      </c>
      <c r="AD40" s="909" t="s">
        <v>8</v>
      </c>
      <c r="AE40" s="1595" t="str">
        <f>IF(AC40=0,"",('XM.FILE GOC'!$G$78-AC40)*15517/1000)</f>
        <v/>
      </c>
      <c r="AF40" s="910" t="s">
        <v>9</v>
      </c>
      <c r="AG40" s="2056" t="s">
        <v>39</v>
      </c>
    </row>
    <row r="41" spans="1:33" ht="57" customHeight="1">
      <c r="A41" s="3222"/>
      <c r="B41" s="3225"/>
      <c r="C41" s="3226"/>
      <c r="D41" s="3093" t="s">
        <v>1591</v>
      </c>
      <c r="E41" s="3094"/>
      <c r="F41" s="897"/>
      <c r="G41" s="898" t="s">
        <v>1592</v>
      </c>
      <c r="H41" s="2222"/>
      <c r="I41" s="2232"/>
      <c r="J41" s="59"/>
      <c r="K41" s="954">
        <f>K40/25*8.5</f>
        <v>0</v>
      </c>
      <c r="L41" s="588" t="s">
        <v>10</v>
      </c>
      <c r="M41" s="1580">
        <f>'3.XT-C KH'!M49</f>
        <v>0</v>
      </c>
      <c r="N41" s="911" t="s">
        <v>8</v>
      </c>
      <c r="O41" s="1593" t="str">
        <f>IF(M40=0,"",O40/25*8.5)</f>
        <v/>
      </c>
      <c r="P41" s="912" t="s">
        <v>10</v>
      </c>
      <c r="Q41" s="297"/>
      <c r="R41" s="59"/>
      <c r="S41" s="954">
        <f>S40/25*8.5</f>
        <v>0</v>
      </c>
      <c r="T41" s="588" t="s">
        <v>10</v>
      </c>
      <c r="U41" s="1580">
        <f>'3.XT-C KH'!U49</f>
        <v>0</v>
      </c>
      <c r="V41" s="911" t="s">
        <v>8</v>
      </c>
      <c r="W41" s="1593" t="str">
        <f>IF(U40=0,"",W40/25*8.5)</f>
        <v/>
      </c>
      <c r="X41" s="912" t="s">
        <v>10</v>
      </c>
      <c r="Y41" s="297"/>
      <c r="Z41" s="59"/>
      <c r="AA41" s="954">
        <f>AA40/25*8.5</f>
        <v>0</v>
      </c>
      <c r="AB41" s="588" t="s">
        <v>10</v>
      </c>
      <c r="AC41" s="1580">
        <f>'3.XT-C KH'!AC49</f>
        <v>0</v>
      </c>
      <c r="AD41" s="911" t="s">
        <v>8</v>
      </c>
      <c r="AE41" s="1593" t="str">
        <f>IF(AC40=0,"",AE40/25*8.5)</f>
        <v/>
      </c>
      <c r="AF41" s="912" t="s">
        <v>10</v>
      </c>
      <c r="AG41" s="2056"/>
    </row>
    <row r="42" spans="1:33" ht="57" customHeight="1">
      <c r="A42" s="3206">
        <v>2</v>
      </c>
      <c r="B42" s="3223" t="s">
        <v>951</v>
      </c>
      <c r="C42" s="3224"/>
      <c r="D42" s="3093" t="s">
        <v>1590</v>
      </c>
      <c r="E42" s="3094"/>
      <c r="F42" s="2700" t="s">
        <v>4</v>
      </c>
      <c r="G42" s="898" t="str">
        <f>'XM.FILE GOC'!$E$80</f>
        <v>40~60</v>
      </c>
      <c r="H42" s="2222" t="str">
        <f>'XM.FILE GOC'!$F$80</f>
        <v>(50±5)</v>
      </c>
      <c r="I42" s="2231">
        <f>'XM.FILE GOC'!AD80</f>
        <v>49.2</v>
      </c>
      <c r="J42" s="972" t="s">
        <v>8</v>
      </c>
      <c r="K42" s="973">
        <f>'XM.FILE GOC'!AG80</f>
        <v>9.1799999999999677</v>
      </c>
      <c r="L42" s="974" t="s">
        <v>9</v>
      </c>
      <c r="M42" s="1580">
        <f>'3.XT-C KH'!M50</f>
        <v>52.3</v>
      </c>
      <c r="N42" s="909" t="s">
        <v>8</v>
      </c>
      <c r="O42" s="1595">
        <f>IF(M42=0,"",('XM.FILE GOC'!$G$80-M42)*11475/1000)</f>
        <v>-26.392499999999966</v>
      </c>
      <c r="P42" s="910" t="s">
        <v>9</v>
      </c>
      <c r="Q42" s="54">
        <f>'XM.FILE GOC'!AK80</f>
        <v>51.3</v>
      </c>
      <c r="R42" s="972" t="s">
        <v>8</v>
      </c>
      <c r="S42" s="973">
        <f>'XM.FILE GOC'!AN80</f>
        <v>0</v>
      </c>
      <c r="T42" s="974" t="s">
        <v>9</v>
      </c>
      <c r="U42" s="1580">
        <f>'3.XT-C KH'!U50</f>
        <v>0</v>
      </c>
      <c r="V42" s="909" t="s">
        <v>8</v>
      </c>
      <c r="W42" s="1595" t="str">
        <f>IF(U42=0,"",('XM.FILE GOC'!$G$80-U42)*11475/1000)</f>
        <v/>
      </c>
      <c r="X42" s="910" t="s">
        <v>9</v>
      </c>
      <c r="Y42" s="54">
        <f>'XM.FILE GOC'!AR80</f>
        <v>51</v>
      </c>
      <c r="Z42" s="972" t="s">
        <v>8</v>
      </c>
      <c r="AA42" s="973">
        <f>'XM.FILE GOC'!AU80</f>
        <v>0</v>
      </c>
      <c r="AB42" s="974" t="s">
        <v>9</v>
      </c>
      <c r="AC42" s="1580">
        <f>'3.XT-C KH'!AC50</f>
        <v>0</v>
      </c>
      <c r="AD42" s="909" t="s">
        <v>8</v>
      </c>
      <c r="AE42" s="1595" t="str">
        <f>IF(AC42=0,"",('XM.FILE GOC'!$G$80-AC42)*11475/1000)</f>
        <v/>
      </c>
      <c r="AF42" s="910" t="s">
        <v>9</v>
      </c>
      <c r="AG42" s="2056" t="s">
        <v>39</v>
      </c>
    </row>
    <row r="43" spans="1:33" ht="57" customHeight="1">
      <c r="A43" s="3222"/>
      <c r="B43" s="3225"/>
      <c r="C43" s="3226"/>
      <c r="D43" s="3093" t="s">
        <v>1591</v>
      </c>
      <c r="E43" s="3094"/>
      <c r="F43" s="897"/>
      <c r="G43" s="898" t="s">
        <v>1592</v>
      </c>
      <c r="H43" s="2222"/>
      <c r="I43" s="2232"/>
      <c r="J43" s="59"/>
      <c r="K43" s="954">
        <f>K42/25*8.5</f>
        <v>3.1211999999999889</v>
      </c>
      <c r="L43" s="588" t="s">
        <v>10</v>
      </c>
      <c r="M43" s="1580">
        <f>'3.XT-C KH'!M51</f>
        <v>0</v>
      </c>
      <c r="N43" s="911" t="s">
        <v>8</v>
      </c>
      <c r="O43" s="1593">
        <f>IF(M42=0,"",O42/25*8.5)</f>
        <v>-8.973449999999989</v>
      </c>
      <c r="P43" s="912" t="s">
        <v>10</v>
      </c>
      <c r="Q43" s="297"/>
      <c r="R43" s="59"/>
      <c r="S43" s="954">
        <f>S42/25*8.5</f>
        <v>0</v>
      </c>
      <c r="T43" s="588" t="s">
        <v>10</v>
      </c>
      <c r="U43" s="1580">
        <f>'3.XT-C KH'!U51</f>
        <v>0</v>
      </c>
      <c r="V43" s="911" t="s">
        <v>8</v>
      </c>
      <c r="W43" s="1593" t="str">
        <f>IF(U42=0,"",W42/25*8.5)</f>
        <v/>
      </c>
      <c r="X43" s="912" t="s">
        <v>10</v>
      </c>
      <c r="Y43" s="297"/>
      <c r="Z43" s="59"/>
      <c r="AA43" s="954">
        <f>AA42/25*8.5</f>
        <v>0</v>
      </c>
      <c r="AB43" s="588" t="s">
        <v>10</v>
      </c>
      <c r="AC43" s="1580">
        <f>'3.XT-C KH'!AC51</f>
        <v>0</v>
      </c>
      <c r="AD43" s="911" t="s">
        <v>8</v>
      </c>
      <c r="AE43" s="1593" t="str">
        <f>IF(AC42=0,"",AE42/25*8.5)</f>
        <v/>
      </c>
      <c r="AF43" s="912" t="s">
        <v>10</v>
      </c>
      <c r="AG43" s="2056"/>
    </row>
    <row r="44" spans="1:33" ht="57" customHeight="1">
      <c r="A44" s="3206">
        <v>3</v>
      </c>
      <c r="B44" s="3091" t="s">
        <v>952</v>
      </c>
      <c r="C44" s="3092"/>
      <c r="D44" s="3095" t="s">
        <v>100</v>
      </c>
      <c r="E44" s="3096" t="s">
        <v>232</v>
      </c>
      <c r="F44" s="2700" t="s">
        <v>4</v>
      </c>
      <c r="G44" s="898" t="str">
        <f>'XM.FILE GOC'!$E$82</f>
        <v>50~70</v>
      </c>
      <c r="H44" s="2222" t="str">
        <f>'XM.FILE GOC'!$F$82</f>
        <v>(60±5)</v>
      </c>
      <c r="I44" s="2232">
        <f>'XM.FILE GOC'!AD82</f>
        <v>63.2</v>
      </c>
      <c r="J44" s="59" t="s">
        <v>8</v>
      </c>
      <c r="K44" s="587">
        <f>'XM.FILE GOC'!AG82</f>
        <v>0</v>
      </c>
      <c r="L44" s="588" t="s">
        <v>9</v>
      </c>
      <c r="M44" s="1580">
        <f>'3.XT-C KH'!M52</f>
        <v>0</v>
      </c>
      <c r="N44" s="909" t="s">
        <v>8</v>
      </c>
      <c r="O44" s="1595" t="str">
        <f>IF(M44=0,"",('XM.FILE GOC'!$G$82-M44)*8200/1000)</f>
        <v/>
      </c>
      <c r="P44" s="910" t="s">
        <v>9</v>
      </c>
      <c r="Q44" s="297">
        <f>'XM.FILE GOC'!AK82</f>
        <v>62.2</v>
      </c>
      <c r="R44" s="59" t="s">
        <v>8</v>
      </c>
      <c r="S44" s="587">
        <f>'XM.FILE GOC'!AN82</f>
        <v>0</v>
      </c>
      <c r="T44" s="588" t="s">
        <v>9</v>
      </c>
      <c r="U44" s="1580">
        <f>'3.XT-C KH'!U52</f>
        <v>0</v>
      </c>
      <c r="V44" s="909" t="s">
        <v>8</v>
      </c>
      <c r="W44" s="1595" t="str">
        <f>IF(U44=0,"",('XM.FILE GOC'!$G$82-U44)*8200/1000)</f>
        <v/>
      </c>
      <c r="X44" s="910" t="s">
        <v>9</v>
      </c>
      <c r="Y44" s="297">
        <f>'XM.FILE GOC'!AR82</f>
        <v>61.5</v>
      </c>
      <c r="Z44" s="59" t="s">
        <v>8</v>
      </c>
      <c r="AA44" s="587">
        <f>'XM.FILE GOC'!AU82</f>
        <v>0</v>
      </c>
      <c r="AB44" s="974" t="s">
        <v>9</v>
      </c>
      <c r="AC44" s="1580">
        <f>'3.XT-C KH'!AC52</f>
        <v>0</v>
      </c>
      <c r="AD44" s="909" t="s">
        <v>8</v>
      </c>
      <c r="AE44" s="1595" t="str">
        <f>IF(AC44=0,"",('XM.FILE GOC'!$G$82-AC44)*8200/1000)</f>
        <v/>
      </c>
      <c r="AF44" s="910" t="s">
        <v>9</v>
      </c>
      <c r="AG44" s="2056" t="s">
        <v>39</v>
      </c>
    </row>
    <row r="45" spans="1:33" ht="57" customHeight="1">
      <c r="A45" s="3207"/>
      <c r="B45" s="3092"/>
      <c r="C45" s="3092"/>
      <c r="D45" s="3095" t="s">
        <v>1591</v>
      </c>
      <c r="E45" s="3096" t="s">
        <v>233</v>
      </c>
      <c r="F45" s="897"/>
      <c r="G45" s="898" t="s">
        <v>1593</v>
      </c>
      <c r="H45" s="2222"/>
      <c r="I45" s="2232"/>
      <c r="J45" s="59"/>
      <c r="K45" s="954">
        <f>K44/25*8</f>
        <v>0</v>
      </c>
      <c r="L45" s="588" t="s">
        <v>10</v>
      </c>
      <c r="M45" s="1580">
        <f>'3.XT-C KH'!M53</f>
        <v>0</v>
      </c>
      <c r="N45" s="911" t="s">
        <v>8</v>
      </c>
      <c r="O45" s="1593" t="str">
        <f>IF(M44=0,"",O44/25*8)</f>
        <v/>
      </c>
      <c r="P45" s="912" t="s">
        <v>10</v>
      </c>
      <c r="Q45" s="297"/>
      <c r="R45" s="59"/>
      <c r="S45" s="954">
        <f>S44/25*8</f>
        <v>0</v>
      </c>
      <c r="T45" s="588" t="s">
        <v>10</v>
      </c>
      <c r="U45" s="1580">
        <f>'3.XT-C KH'!U53</f>
        <v>0</v>
      </c>
      <c r="V45" s="911" t="s">
        <v>8</v>
      </c>
      <c r="W45" s="1593" t="str">
        <f>IF(U44=0,"",W44/25*8)</f>
        <v/>
      </c>
      <c r="X45" s="912" t="s">
        <v>10</v>
      </c>
      <c r="Y45" s="297"/>
      <c r="Z45" s="59"/>
      <c r="AA45" s="954">
        <f>AA44/25*8</f>
        <v>0</v>
      </c>
      <c r="AB45" s="588" t="s">
        <v>10</v>
      </c>
      <c r="AC45" s="1580">
        <f>'3.XT-C KH'!AC53</f>
        <v>0</v>
      </c>
      <c r="AD45" s="911" t="s">
        <v>8</v>
      </c>
      <c r="AE45" s="1593" t="str">
        <f>IF(AC44=0,"",AE44/25*8)</f>
        <v/>
      </c>
      <c r="AF45" s="912" t="s">
        <v>10</v>
      </c>
      <c r="AG45" s="2056"/>
    </row>
    <row r="46" spans="1:33" ht="57" customHeight="1">
      <c r="A46" s="3206">
        <v>4</v>
      </c>
      <c r="B46" s="3091" t="s">
        <v>953</v>
      </c>
      <c r="C46" s="3092"/>
      <c r="D46" s="3095" t="s">
        <v>100</v>
      </c>
      <c r="E46" s="3096" t="s">
        <v>232</v>
      </c>
      <c r="F46" s="2700" t="s">
        <v>4</v>
      </c>
      <c r="G46" s="898" t="str">
        <f>'XM.FILE GOC'!$E$84</f>
        <v>50~70</v>
      </c>
      <c r="H46" s="2222" t="str">
        <f>'XM.FILE GOC'!$F$84</f>
        <v>(60±5)</v>
      </c>
      <c r="I46" s="2232">
        <f>'XM.FILE GOC'!AD84</f>
        <v>60.06</v>
      </c>
      <c r="J46" s="972" t="s">
        <v>8</v>
      </c>
      <c r="K46" s="973">
        <f>'XM.FILE GOC'!AG84</f>
        <v>0</v>
      </c>
      <c r="L46" s="974" t="s">
        <v>9</v>
      </c>
      <c r="M46" s="1580">
        <f>'3.XT-C KH'!M54</f>
        <v>0</v>
      </c>
      <c r="N46" s="909" t="s">
        <v>8</v>
      </c>
      <c r="O46" s="1596" t="str">
        <f>IF(M46=0,"",('XM.FILE GOC'!$G$84-M46)*8668/1000)</f>
        <v/>
      </c>
      <c r="P46" s="910" t="s">
        <v>9</v>
      </c>
      <c r="Q46" s="297">
        <f>'XM.FILE GOC'!AK84</f>
        <v>59.4</v>
      </c>
      <c r="R46" s="972" t="s">
        <v>8</v>
      </c>
      <c r="S46" s="973">
        <f>'XM.FILE GOC'!AN84</f>
        <v>5.2008000000000116</v>
      </c>
      <c r="T46" s="974" t="s">
        <v>9</v>
      </c>
      <c r="U46" s="1580">
        <f>'3.XT-C KH'!U54</f>
        <v>62.3</v>
      </c>
      <c r="V46" s="909" t="s">
        <v>8</v>
      </c>
      <c r="W46" s="1596">
        <f>IF(U46=0,"",('XM.FILE GOC'!$G$84-U46)*8668/1000)</f>
        <v>-19.936399999999978</v>
      </c>
      <c r="X46" s="910" t="s">
        <v>9</v>
      </c>
      <c r="Y46" s="297">
        <f>'XM.FILE GOC'!AR84</f>
        <v>61.6</v>
      </c>
      <c r="Z46" s="972" t="s">
        <v>8</v>
      </c>
      <c r="AA46" s="973">
        <f>'XM.FILE GOC'!AU84</f>
        <v>0</v>
      </c>
      <c r="AB46" s="974" t="s">
        <v>9</v>
      </c>
      <c r="AC46" s="1580">
        <f>'3.XT-C KH'!AC54</f>
        <v>0</v>
      </c>
      <c r="AD46" s="909" t="s">
        <v>8</v>
      </c>
      <c r="AE46" s="1596" t="str">
        <f>IF(AC46=0,"",('XM.FILE GOC'!$G$84-AC46)*8668/1000)</f>
        <v/>
      </c>
      <c r="AF46" s="910" t="s">
        <v>9</v>
      </c>
      <c r="AG46" s="2056" t="s">
        <v>39</v>
      </c>
    </row>
    <row r="47" spans="1:33" ht="57" customHeight="1">
      <c r="A47" s="3207"/>
      <c r="B47" s="3092"/>
      <c r="C47" s="3092"/>
      <c r="D47" s="3095" t="s">
        <v>1591</v>
      </c>
      <c r="E47" s="3096" t="s">
        <v>233</v>
      </c>
      <c r="F47" s="897"/>
      <c r="G47" s="898" t="s">
        <v>1593</v>
      </c>
      <c r="H47" s="2222"/>
      <c r="I47" s="2233"/>
      <c r="J47" s="1320"/>
      <c r="K47" s="2116">
        <f>K46/25*8</f>
        <v>0</v>
      </c>
      <c r="L47" s="1322" t="s">
        <v>10</v>
      </c>
      <c r="M47" s="2117">
        <f>'3.XT-C KH'!M55</f>
        <v>0</v>
      </c>
      <c r="N47" s="2118" t="s">
        <v>8</v>
      </c>
      <c r="O47" s="2119" t="str">
        <f>IF(M46=0,"",O46/25*8)</f>
        <v/>
      </c>
      <c r="P47" s="2120" t="s">
        <v>10</v>
      </c>
      <c r="Q47" s="2115"/>
      <c r="R47" s="1320"/>
      <c r="S47" s="2116">
        <f>S46/25*8</f>
        <v>1.6642560000000037</v>
      </c>
      <c r="T47" s="1322" t="s">
        <v>10</v>
      </c>
      <c r="U47" s="2117">
        <f>'3.XT-C KH'!U55</f>
        <v>0</v>
      </c>
      <c r="V47" s="2118" t="s">
        <v>8</v>
      </c>
      <c r="W47" s="2119">
        <f>IF(U46=0,"",W46/25*8)</f>
        <v>-6.3796479999999924</v>
      </c>
      <c r="X47" s="2120" t="s">
        <v>10</v>
      </c>
      <c r="Y47" s="2115"/>
      <c r="Z47" s="1320"/>
      <c r="AA47" s="2116">
        <f>AA46/25*8</f>
        <v>0</v>
      </c>
      <c r="AB47" s="1322" t="s">
        <v>10</v>
      </c>
      <c r="AC47" s="2117">
        <f>'3.XT-C KH'!AC55</f>
        <v>0</v>
      </c>
      <c r="AD47" s="2118" t="s">
        <v>8</v>
      </c>
      <c r="AE47" s="2119" t="str">
        <f>IF(AC46=0,"",AE46/25*8)</f>
        <v/>
      </c>
      <c r="AF47" s="2120" t="s">
        <v>10</v>
      </c>
      <c r="AG47" s="2112"/>
    </row>
    <row r="48" spans="1:33" ht="57" customHeight="1">
      <c r="A48" s="3808">
        <v>5</v>
      </c>
      <c r="B48" s="3170" t="s">
        <v>122</v>
      </c>
      <c r="C48" s="3171"/>
      <c r="D48" s="3174" t="s">
        <v>116</v>
      </c>
      <c r="E48" s="3175"/>
      <c r="F48" s="2340" t="s">
        <v>4</v>
      </c>
      <c r="G48" s="2341" t="str">
        <f>'XM.GUI MAIL'!$E$99</f>
        <v>5~6</v>
      </c>
      <c r="H48" s="2342" t="str">
        <f>'XM.GUI MAIL'!$F$99</f>
        <v>(5.5± 0.5)</v>
      </c>
      <c r="I48" s="2308">
        <f>'XM.FILE GOC'!AD99</f>
        <v>5.7200000000000006</v>
      </c>
      <c r="J48" s="2309" t="s">
        <v>8</v>
      </c>
      <c r="K48" s="2310">
        <f>'XM.FILE GOC'!AG99</f>
        <v>0</v>
      </c>
      <c r="L48" s="2311" t="s">
        <v>9</v>
      </c>
      <c r="M48" s="2709">
        <f>'3.XT-C KH'!AU48</f>
        <v>0</v>
      </c>
      <c r="N48" s="2343" t="s">
        <v>8</v>
      </c>
      <c r="O48" s="2344" t="str">
        <f>IF(M48=0,"",('XM.FILE GOC'!$G$99-M48)*8000/1000)</f>
        <v/>
      </c>
      <c r="P48" s="2345" t="s">
        <v>9</v>
      </c>
      <c r="Q48" s="2316">
        <f>'XM.FILE GOC'!AK99</f>
        <v>5.7200000000000006</v>
      </c>
      <c r="R48" s="2309" t="s">
        <v>8</v>
      </c>
      <c r="S48" s="2310">
        <f>'XM.FILE GOC'!AN99</f>
        <v>0</v>
      </c>
      <c r="T48" s="2311" t="s">
        <v>9</v>
      </c>
      <c r="U48" s="2709">
        <f>'3.XT-C KH'!BC48</f>
        <v>0</v>
      </c>
      <c r="V48" s="2343" t="s">
        <v>8</v>
      </c>
      <c r="W48" s="2344" t="str">
        <f>IF(U48=0,"",('XM.FILE GOC'!$G$99-U48)*8000/1000)</f>
        <v/>
      </c>
      <c r="X48" s="2345" t="s">
        <v>9</v>
      </c>
      <c r="Y48" s="2316">
        <f>'XM.FILE GOC'!AR99</f>
        <v>5.59</v>
      </c>
      <c r="Z48" s="2309" t="s">
        <v>8</v>
      </c>
      <c r="AA48" s="2310">
        <f>'XM.FILE GOC'!AU99</f>
        <v>0</v>
      </c>
      <c r="AB48" s="2311" t="s">
        <v>9</v>
      </c>
      <c r="AC48" s="2709">
        <f>'3.XT-C KH'!BK48</f>
        <v>0</v>
      </c>
      <c r="AD48" s="2343" t="s">
        <v>8</v>
      </c>
      <c r="AE48" s="2344" t="str">
        <f>IF(AC48=0,"",('XM.FILE GOC'!$G$99-AC48)*8000/1000)</f>
        <v/>
      </c>
      <c r="AF48" s="2345" t="s">
        <v>9</v>
      </c>
      <c r="AG48" s="2317" t="s">
        <v>40</v>
      </c>
    </row>
    <row r="49" spans="1:38" ht="57" customHeight="1">
      <c r="A49" s="3809"/>
      <c r="B49" s="3172"/>
      <c r="C49" s="3173"/>
      <c r="D49" s="3176" t="s">
        <v>100</v>
      </c>
      <c r="E49" s="3177"/>
      <c r="F49" s="2063" t="s">
        <v>4</v>
      </c>
      <c r="G49" s="2062" t="str">
        <f>'XM.GUI MAIL'!$E$100</f>
        <v>130~140</v>
      </c>
      <c r="H49" s="2237" t="str">
        <f>'XM.GUI MAIL'!$F$100</f>
        <v>(135 ± 5)</v>
      </c>
      <c r="I49" s="2234">
        <f>'XM.FILE GOC'!AD100</f>
        <v>135.19999999999999</v>
      </c>
      <c r="J49" s="972" t="s">
        <v>8</v>
      </c>
      <c r="K49" s="973">
        <f>'XM.FILE GOC'!AG100</f>
        <v>0</v>
      </c>
      <c r="L49" s="974" t="s">
        <v>9</v>
      </c>
      <c r="M49" s="1580">
        <f>'3.XT-C KH'!AU49</f>
        <v>0</v>
      </c>
      <c r="N49" s="909" t="s">
        <v>8</v>
      </c>
      <c r="O49" s="1596" t="str">
        <f>IF(M49=0,"",('XM.FILE GOC'!$G$100-M49)*8000/1000)</f>
        <v/>
      </c>
      <c r="P49" s="910" t="s">
        <v>9</v>
      </c>
      <c r="Q49" s="1782">
        <f>'XM.FILE GOC'!AK100</f>
        <v>134.4</v>
      </c>
      <c r="R49" s="972" t="s">
        <v>8</v>
      </c>
      <c r="S49" s="973">
        <f>'XM.FILE GOC'!AN100</f>
        <v>4.7999999999999545</v>
      </c>
      <c r="T49" s="974" t="s">
        <v>9</v>
      </c>
      <c r="U49" s="1580">
        <f>'3.XT-C KH'!BC49</f>
        <v>135.19999999999999</v>
      </c>
      <c r="V49" s="909" t="s">
        <v>8</v>
      </c>
      <c r="W49" s="1596">
        <f>IF(U49=0,"",('XM.FILE GOC'!$G$100-U49)*8000/1000)</f>
        <v>-1.5999999999999091</v>
      </c>
      <c r="X49" s="910" t="s">
        <v>9</v>
      </c>
      <c r="Y49" s="1782">
        <f>'XM.FILE GOC'!AR100</f>
        <v>135.19999999999999</v>
      </c>
      <c r="Z49" s="972" t="s">
        <v>8</v>
      </c>
      <c r="AA49" s="973">
        <f>'XM.FILE GOC'!AU100</f>
        <v>0</v>
      </c>
      <c r="AB49" s="910" t="s">
        <v>9</v>
      </c>
      <c r="AC49" s="1580">
        <f>'3.XT-C KH'!BK49</f>
        <v>0</v>
      </c>
      <c r="AD49" s="909" t="s">
        <v>8</v>
      </c>
      <c r="AE49" s="1596" t="str">
        <f>IF(AC49=0,"",('XM.FILE GOC'!$G$100-AC49)*8000/1000)</f>
        <v/>
      </c>
      <c r="AF49" s="910" t="s">
        <v>9</v>
      </c>
      <c r="AG49" s="2346" t="s">
        <v>41</v>
      </c>
    </row>
    <row r="50" spans="1:38" s="7" customFormat="1" ht="57" customHeight="1">
      <c r="A50" s="2114">
        <v>6</v>
      </c>
      <c r="B50" s="3182" t="s">
        <v>123</v>
      </c>
      <c r="C50" s="3183"/>
      <c r="D50" s="3183"/>
      <c r="E50" s="3184"/>
      <c r="F50" s="2347" t="s">
        <v>5</v>
      </c>
      <c r="G50" s="2348" t="str">
        <f>'XM.GUI MAIL'!$E$101</f>
        <v>3.0-4.5</v>
      </c>
      <c r="H50" s="2349" t="str">
        <f>'XM.GUI MAIL'!$F$101</f>
        <v>(4.3±0.2)</v>
      </c>
      <c r="I50" s="2321">
        <f>'XM.FILE GOC'!AD101</f>
        <v>4.2300000000000004</v>
      </c>
      <c r="J50" s="2330"/>
      <c r="K50" s="2331"/>
      <c r="L50" s="2332"/>
      <c r="M50" s="2325"/>
      <c r="N50" s="2350"/>
      <c r="O50" s="2351"/>
      <c r="P50" s="2352"/>
      <c r="Q50" s="2329">
        <f>'XM.FILE GOC'!AK101</f>
        <v>4.2</v>
      </c>
      <c r="R50" s="2330"/>
      <c r="S50" s="2331"/>
      <c r="T50" s="2332"/>
      <c r="U50" s="2325"/>
      <c r="V50" s="2350"/>
      <c r="W50" s="2351"/>
      <c r="X50" s="2352"/>
      <c r="Y50" s="2329">
        <f>'XM.FILE GOC'!AR101</f>
        <v>4.2300000000000004</v>
      </c>
      <c r="Z50" s="2330"/>
      <c r="AA50" s="2331"/>
      <c r="AB50" s="2332"/>
      <c r="AC50" s="2325"/>
      <c r="AD50" s="2350"/>
      <c r="AE50" s="2351"/>
      <c r="AF50" s="2352"/>
      <c r="AG50" s="2353" t="s">
        <v>42</v>
      </c>
      <c r="AH50" s="8"/>
      <c r="AI50" s="8"/>
      <c r="AJ50" s="8"/>
      <c r="AK50" s="8"/>
      <c r="AL50" s="8"/>
    </row>
    <row r="51" spans="1:38" s="7" customFormat="1" ht="57" customHeight="1">
      <c r="A51" s="2476"/>
      <c r="B51" s="3200" t="s">
        <v>82</v>
      </c>
      <c r="C51" s="3201"/>
      <c r="D51" s="3201"/>
      <c r="E51" s="3202"/>
      <c r="F51" s="633" t="s">
        <v>6</v>
      </c>
      <c r="G51" s="898" t="str">
        <f>'XM.FILE GOC'!$E$90</f>
        <v>40~50</v>
      </c>
      <c r="H51" s="2222" t="str">
        <f>'XM.FILE GOC'!$F$90</f>
        <v>(45±5)</v>
      </c>
      <c r="I51" s="1754">
        <f>'XM.FILE GOC'!AD90</f>
        <v>0.46</v>
      </c>
      <c r="J51" s="972" t="s">
        <v>8</v>
      </c>
      <c r="K51" s="973">
        <f>'XM.FILE GOC'!AG90</f>
        <v>0</v>
      </c>
      <c r="L51" s="974" t="s">
        <v>10</v>
      </c>
      <c r="M51" s="915" t="str">
        <f>IF(I51&gt;44.99%,"",'3.XT-C KH'!M60)</f>
        <v/>
      </c>
      <c r="N51" s="909" t="s">
        <v>8</v>
      </c>
      <c r="O51" s="937" t="str">
        <f>IF(M51="","",('XM.FILE GOC'!$G$90-M51)*3234)</f>
        <v/>
      </c>
      <c r="P51" s="910" t="s">
        <v>10</v>
      </c>
      <c r="Q51" s="1754">
        <f>'XM.FILE GOC'!AK90</f>
        <v>0.45600000000000002</v>
      </c>
      <c r="R51" s="972" t="s">
        <v>8</v>
      </c>
      <c r="S51" s="973">
        <f>'XM.FILE GOC'!AN90</f>
        <v>0</v>
      </c>
      <c r="T51" s="974" t="s">
        <v>10</v>
      </c>
      <c r="U51" s="915" t="str">
        <f>IF(Q51&gt;44.99%,"",'3.XT-C KH'!U60)</f>
        <v/>
      </c>
      <c r="V51" s="909" t="s">
        <v>8</v>
      </c>
      <c r="W51" s="937" t="str">
        <f>IF(U51="","",('XM.FILE GOC'!$G$90-U51)*3234)</f>
        <v/>
      </c>
      <c r="X51" s="910" t="s">
        <v>10</v>
      </c>
      <c r="Y51" s="1754">
        <f>'XM.FILE GOC'!AR90</f>
        <v>0.45200000000000001</v>
      </c>
      <c r="Z51" s="2121" t="s">
        <v>8</v>
      </c>
      <c r="AA51" s="2122">
        <f>'XM.FILE GOC'!AU90</f>
        <v>0</v>
      </c>
      <c r="AB51" s="2123" t="s">
        <v>10</v>
      </c>
      <c r="AC51" s="915" t="str">
        <f>IF(Y51&gt;44.99%,"",'3.XT-C KH'!AC60)</f>
        <v/>
      </c>
      <c r="AD51" s="909" t="s">
        <v>8</v>
      </c>
      <c r="AE51" s="937" t="str">
        <f>IF(AC51="","",('XM.FILE GOC'!$G$90-AC51)*3234)</f>
        <v/>
      </c>
      <c r="AF51" s="910" t="s">
        <v>10</v>
      </c>
      <c r="AG51" s="2690"/>
      <c r="AH51" s="8"/>
      <c r="AI51" s="8"/>
      <c r="AJ51" s="8"/>
      <c r="AK51" s="8"/>
      <c r="AL51" s="8"/>
    </row>
    <row r="52" spans="1:38" ht="57" customHeight="1">
      <c r="A52" s="2057">
        <v>7</v>
      </c>
      <c r="B52" s="3213" t="s">
        <v>1612</v>
      </c>
      <c r="C52" s="3214"/>
      <c r="D52" s="3214"/>
      <c r="E52" s="3215"/>
      <c r="F52" s="633" t="s">
        <v>6</v>
      </c>
      <c r="G52" s="898" t="str">
        <f>'XM.FILE GOC'!$E$91</f>
        <v>15~25</v>
      </c>
      <c r="H52" s="2222" t="str">
        <f>'XM.FILE GOC'!$F$91</f>
        <v>(18±2)</v>
      </c>
      <c r="I52" s="2747">
        <f>'XM.FILE GOC'!AD91</f>
        <v>0</v>
      </c>
      <c r="J52" s="972" t="s">
        <v>8</v>
      </c>
      <c r="K52" s="973">
        <f>'XM.FILE GOC'!AG91</f>
        <v>604.98</v>
      </c>
      <c r="L52" s="974" t="s">
        <v>10</v>
      </c>
      <c r="M52" s="915">
        <f>IF(I52&gt;7.99%,"",'3.XT-C KH'!M61)</f>
        <v>0</v>
      </c>
      <c r="N52" s="909" t="s">
        <v>8</v>
      </c>
      <c r="O52" s="1595">
        <f>IF(M52="","",('XM.FILE GOC'!$G$91-M52)*3361)</f>
        <v>604.98</v>
      </c>
      <c r="P52" s="910" t="s">
        <v>10</v>
      </c>
      <c r="Q52" s="2747">
        <f>'XM.FILE GOC'!AK91</f>
        <v>0</v>
      </c>
      <c r="R52" s="972" t="s">
        <v>8</v>
      </c>
      <c r="S52" s="973">
        <f>'XM.FILE GOC'!AN91</f>
        <v>604.98</v>
      </c>
      <c r="T52" s="974" t="s">
        <v>10</v>
      </c>
      <c r="U52" s="915">
        <f>IF(Q52&gt;7.99%,"",'3.XT-C KH'!U61)</f>
        <v>0</v>
      </c>
      <c r="V52" s="909" t="s">
        <v>8</v>
      </c>
      <c r="W52" s="1595">
        <f>IF(U52="","",('XM.FILE GOC'!$G$91-U52)*3361)</f>
        <v>604.98</v>
      </c>
      <c r="X52" s="910" t="s">
        <v>10</v>
      </c>
      <c r="Y52" s="2747">
        <f>'XM.FILE GOC'!AR91</f>
        <v>0</v>
      </c>
      <c r="Z52" s="2121" t="s">
        <v>8</v>
      </c>
      <c r="AA52" s="2122">
        <f>'XM.FILE GOC'!AU91</f>
        <v>604.98</v>
      </c>
      <c r="AB52" s="2123" t="s">
        <v>10</v>
      </c>
      <c r="AC52" s="915">
        <f>IF(Y52&gt;7.99%,"",'3.XT-C KH'!AC61)</f>
        <v>0</v>
      </c>
      <c r="AD52" s="2303" t="s">
        <v>8</v>
      </c>
      <c r="AE52" s="1595">
        <f>IF(AC52="","",('XM.FILE GOC'!$G$91-AC52)*3361)</f>
        <v>604.98</v>
      </c>
      <c r="AF52" s="2304" t="s">
        <v>10</v>
      </c>
      <c r="AG52" s="2113" t="s">
        <v>43</v>
      </c>
    </row>
    <row r="53" spans="1:38" ht="57" customHeight="1">
      <c r="A53" s="2475"/>
      <c r="B53" s="3213" t="s">
        <v>1613</v>
      </c>
      <c r="C53" s="3214"/>
      <c r="D53" s="3214"/>
      <c r="E53" s="3215"/>
      <c r="F53" s="633" t="s">
        <v>6</v>
      </c>
      <c r="G53" s="898" t="str">
        <f>'XM.FILE GOC'!$E$92</f>
        <v>40~50</v>
      </c>
      <c r="H53" s="2222" t="str">
        <f>'XM.FILE GOC'!$F$92</f>
        <v>(45±5)</v>
      </c>
      <c r="I53" s="1754">
        <f>'XM.FILE GOC'!AD92</f>
        <v>0.46600000000000003</v>
      </c>
      <c r="J53" s="972" t="s">
        <v>8</v>
      </c>
      <c r="K53" s="973">
        <f>'XM.FILE GOC'!AG92</f>
        <v>0</v>
      </c>
      <c r="L53" s="974" t="s">
        <v>10</v>
      </c>
      <c r="M53" s="915" t="str">
        <f>IF(I53&gt;44.99%,"",'3.XT-C KH'!M62)</f>
        <v/>
      </c>
      <c r="N53" s="909" t="s">
        <v>8</v>
      </c>
      <c r="O53" s="1595" t="str">
        <f>IF(M53="","",('XM.FILE GOC'!$G$92-M53)*3361)</f>
        <v/>
      </c>
      <c r="P53" s="910" t="s">
        <v>10</v>
      </c>
      <c r="Q53" s="1754">
        <f>'XM.FILE GOC'!AK92</f>
        <v>0.46537500000000004</v>
      </c>
      <c r="R53" s="972" t="s">
        <v>8</v>
      </c>
      <c r="S53" s="973">
        <f>'XM.FILE GOC'!AN92</f>
        <v>0</v>
      </c>
      <c r="T53" s="974" t="s">
        <v>10</v>
      </c>
      <c r="U53" s="915" t="str">
        <f>IF(Q53&gt;44.99%,"",'3.XT-C KH'!U62)</f>
        <v/>
      </c>
      <c r="V53" s="909" t="s">
        <v>8</v>
      </c>
      <c r="W53" s="1595" t="str">
        <f>IF(U53="","",('XM.FILE GOC'!$G$92-U53)*3361)</f>
        <v/>
      </c>
      <c r="X53" s="910" t="s">
        <v>10</v>
      </c>
      <c r="Y53" s="1754">
        <f>'XM.FILE GOC'!AR92</f>
        <v>0.46081249999999996</v>
      </c>
      <c r="Z53" s="2121" t="s">
        <v>8</v>
      </c>
      <c r="AA53" s="2122">
        <f>'XM.FILE GOC'!AU92</f>
        <v>0</v>
      </c>
      <c r="AB53" s="2123" t="s">
        <v>10</v>
      </c>
      <c r="AC53" s="915" t="str">
        <f>IF(Y53&gt;44.99%,"",'3.XT-C KH'!AC62)</f>
        <v/>
      </c>
      <c r="AD53" s="2303" t="s">
        <v>8</v>
      </c>
      <c r="AE53" s="1595" t="str">
        <f>IF(AC53="","",('XM.FILE GOC'!$G$92-AC53)*3361)</f>
        <v/>
      </c>
      <c r="AF53" s="2304" t="s">
        <v>10</v>
      </c>
      <c r="AG53" s="2480"/>
    </row>
    <row r="54" spans="1:38" ht="57" customHeight="1">
      <c r="A54" s="2057">
        <v>8</v>
      </c>
      <c r="B54" s="3203" t="s">
        <v>1614</v>
      </c>
      <c r="C54" s="3204"/>
      <c r="D54" s="3204"/>
      <c r="E54" s="3205"/>
      <c r="F54" s="633" t="s">
        <v>6</v>
      </c>
      <c r="G54" s="898" t="str">
        <f>'XM.FILE GOC'!$E$93</f>
        <v>40~50</v>
      </c>
      <c r="H54" s="2222" t="str">
        <f>'XM.FILE GOC'!$F$93</f>
        <v>(45±5)</v>
      </c>
      <c r="I54" s="1754">
        <f>'XM.FILE GOC'!AD93</f>
        <v>0.47299999999999998</v>
      </c>
      <c r="J54" s="972" t="s">
        <v>8</v>
      </c>
      <c r="K54" s="973">
        <f>'XM.FILE GOC'!AG93</f>
        <v>0</v>
      </c>
      <c r="L54" s="974" t="s">
        <v>10</v>
      </c>
      <c r="M54" s="915" t="str">
        <f>IF(I54&gt;44.99%,"",'3.XT-C KH'!M63)</f>
        <v/>
      </c>
      <c r="N54" s="911" t="s">
        <v>8</v>
      </c>
      <c r="O54" s="1595" t="str">
        <f>IF(M54="","",('XM.FILE GOC'!$G$93-M54)*10509)</f>
        <v/>
      </c>
      <c r="P54" s="912" t="s">
        <v>10</v>
      </c>
      <c r="Q54" s="1754">
        <f>'XM.FILE GOC'!AK93</f>
        <v>0.47</v>
      </c>
      <c r="R54" s="972" t="s">
        <v>8</v>
      </c>
      <c r="S54" s="973">
        <f>'XM.FILE GOC'!AN93</f>
        <v>0</v>
      </c>
      <c r="T54" s="974" t="s">
        <v>10</v>
      </c>
      <c r="U54" s="915" t="str">
        <f>IF(Q54&gt;44.99%,"",'3.XT-C KH'!U63)</f>
        <v/>
      </c>
      <c r="V54" s="911" t="s">
        <v>8</v>
      </c>
      <c r="W54" s="1595" t="str">
        <f>IF(U54="","",('XM.FILE GOC'!$G$93-U54)*10509)</f>
        <v/>
      </c>
      <c r="X54" s="912" t="s">
        <v>10</v>
      </c>
      <c r="Y54" s="1754">
        <f>'XM.FILE GOC'!AR93</f>
        <v>0.46800000000000003</v>
      </c>
      <c r="Z54" s="972" t="s">
        <v>8</v>
      </c>
      <c r="AA54" s="973">
        <f>'XM.FILE GOC'!AU93</f>
        <v>0</v>
      </c>
      <c r="AB54" s="974" t="s">
        <v>10</v>
      </c>
      <c r="AC54" s="915" t="str">
        <f>IF(Y54&gt;44.99%,"",'3.XT-C KH'!AC63)</f>
        <v/>
      </c>
      <c r="AD54" s="911" t="s">
        <v>8</v>
      </c>
      <c r="AE54" s="1595" t="str">
        <f>IF(AC54="","",('XM.FILE GOC'!$G$93-AC54)*10509)</f>
        <v/>
      </c>
      <c r="AF54" s="912" t="s">
        <v>10</v>
      </c>
      <c r="AG54" s="69" t="s">
        <v>43</v>
      </c>
    </row>
    <row r="55" spans="1:38" ht="57" customHeight="1">
      <c r="A55" s="2057">
        <v>10</v>
      </c>
      <c r="B55" s="3200" t="s">
        <v>957</v>
      </c>
      <c r="C55" s="3201" t="s">
        <v>957</v>
      </c>
      <c r="D55" s="3201" t="s">
        <v>957</v>
      </c>
      <c r="E55" s="3202" t="s">
        <v>957</v>
      </c>
      <c r="F55" s="633" t="s">
        <v>6</v>
      </c>
      <c r="G55" s="898" t="str">
        <f>'XM.FILE GOC'!$E$94</f>
        <v>(1±0.4)=0.6~1.4</v>
      </c>
      <c r="H55" s="2222" t="str">
        <f>'XM.FILE GOC'!$F$94</f>
        <v>(1±0.4)</v>
      </c>
      <c r="I55" s="2235">
        <f>'XM.FILE GOC'!AD94</f>
        <v>7.8120000000000004E-3</v>
      </c>
      <c r="J55" s="972" t="s">
        <v>8</v>
      </c>
      <c r="K55" s="976">
        <f>'XM.FILE GOC'!AG94</f>
        <v>6.2597086092715228</v>
      </c>
      <c r="L55" s="977" t="s">
        <v>10</v>
      </c>
      <c r="M55" s="1579">
        <f>IF(I55&gt;0.99%,"",'3.XT-C KH'!M64)</f>
        <v>0.01</v>
      </c>
      <c r="N55" s="948" t="s">
        <v>8</v>
      </c>
      <c r="O55" s="1597">
        <f>IF(M55="","",('XM.FILE GOC'!$G$94-M55)*2808)</f>
        <v>0</v>
      </c>
      <c r="P55" s="918" t="s">
        <v>10</v>
      </c>
      <c r="Q55" s="302">
        <f>'XM.FILE GOC'!AK94</f>
        <v>0.01</v>
      </c>
      <c r="R55" s="972" t="s">
        <v>8</v>
      </c>
      <c r="S55" s="976">
        <f>'XM.FILE GOC'!AN94</f>
        <v>0</v>
      </c>
      <c r="T55" s="977" t="s">
        <v>10</v>
      </c>
      <c r="U55" s="1579" t="str">
        <f>IF(Q55&gt;0.99%,"",'3.XT-C KH'!U64)</f>
        <v/>
      </c>
      <c r="V55" s="948" t="s">
        <v>8</v>
      </c>
      <c r="W55" s="1597" t="str">
        <f>IF(U55="","",('XM.FILE GOC'!$G$94-U55)*2808)</f>
        <v/>
      </c>
      <c r="X55" s="918" t="s">
        <v>10</v>
      </c>
      <c r="Y55" s="302">
        <f>'XM.FILE GOC'!AR94</f>
        <v>8.064E-3</v>
      </c>
      <c r="Z55" s="972" t="s">
        <v>8</v>
      </c>
      <c r="AA55" s="976">
        <f>'XM.FILE GOC'!AU94</f>
        <v>5.5387549668874172</v>
      </c>
      <c r="AB55" s="977" t="s">
        <v>10</v>
      </c>
      <c r="AC55" s="1579">
        <f>IF(Y55&gt;0.99%,"",'3.XT-C KH'!AC64)</f>
        <v>0.01</v>
      </c>
      <c r="AD55" s="948" t="s">
        <v>8</v>
      </c>
      <c r="AE55" s="1597">
        <f>IF(AC55="","",('XM.FILE GOC'!$G$94-AC55)*2808)</f>
        <v>0</v>
      </c>
      <c r="AF55" s="918" t="s">
        <v>10</v>
      </c>
      <c r="AG55" s="2056" t="s">
        <v>44</v>
      </c>
    </row>
    <row r="56" spans="1:38" ht="48.75" customHeight="1">
      <c r="A56" s="2057"/>
      <c r="B56" s="2449" t="s">
        <v>1312</v>
      </c>
      <c r="C56" s="2450"/>
      <c r="D56" s="2450"/>
      <c r="E56" s="2450"/>
      <c r="F56" s="2450"/>
      <c r="G56" s="2450"/>
      <c r="H56" s="2450"/>
      <c r="I56" s="2450"/>
      <c r="J56" s="2450"/>
      <c r="K56" s="2450"/>
      <c r="L56" s="2450"/>
      <c r="M56" s="2450"/>
      <c r="N56" s="2450"/>
      <c r="O56" s="2450"/>
      <c r="P56" s="2450"/>
      <c r="Q56" s="2450"/>
      <c r="R56" s="2450"/>
      <c r="S56" s="2450"/>
      <c r="T56" s="2450"/>
      <c r="U56" s="2450"/>
      <c r="V56" s="2450"/>
      <c r="W56" s="2450"/>
      <c r="X56" s="2450"/>
      <c r="Y56" s="2450"/>
      <c r="Z56" s="2450"/>
      <c r="AA56" s="2450"/>
      <c r="AB56" s="2450"/>
      <c r="AC56" s="2450"/>
      <c r="AD56" s="2450"/>
      <c r="AE56" s="2450"/>
      <c r="AF56" s="2450"/>
      <c r="AG56" s="2451"/>
    </row>
    <row r="57" spans="1:38" ht="57" customHeight="1">
      <c r="A57" s="2057" t="s">
        <v>7</v>
      </c>
      <c r="B57" s="3167" t="s">
        <v>958</v>
      </c>
      <c r="C57" s="3168"/>
      <c r="D57" s="3168"/>
      <c r="E57" s="3169"/>
      <c r="F57" s="978" t="s">
        <v>959</v>
      </c>
      <c r="G57" s="978" t="s">
        <v>1310</v>
      </c>
      <c r="H57" s="2224" t="s">
        <v>1302</v>
      </c>
      <c r="I57" s="3158" t="s">
        <v>960</v>
      </c>
      <c r="J57" s="3159"/>
      <c r="K57" s="3160" t="s">
        <v>961</v>
      </c>
      <c r="L57" s="3159"/>
      <c r="M57" s="919"/>
      <c r="N57" s="920"/>
      <c r="O57" s="920"/>
      <c r="P57" s="921"/>
      <c r="Q57" s="3160" t="s">
        <v>960</v>
      </c>
      <c r="R57" s="3159"/>
      <c r="S57" s="3160" t="s">
        <v>961</v>
      </c>
      <c r="T57" s="3159"/>
      <c r="U57" s="919"/>
      <c r="V57" s="920"/>
      <c r="W57" s="920"/>
      <c r="X57" s="921"/>
      <c r="Y57" s="3160" t="s">
        <v>960</v>
      </c>
      <c r="Z57" s="3159"/>
      <c r="AA57" s="3160" t="s">
        <v>961</v>
      </c>
      <c r="AB57" s="3159"/>
      <c r="AC57" s="919"/>
      <c r="AD57" s="920"/>
      <c r="AE57" s="920"/>
      <c r="AF57" s="921"/>
      <c r="AG57" s="10"/>
    </row>
    <row r="58" spans="1:38" ht="54" customHeight="1">
      <c r="A58" s="2057">
        <v>1</v>
      </c>
      <c r="B58" s="3167" t="s">
        <v>962</v>
      </c>
      <c r="C58" s="3168"/>
      <c r="D58" s="3168"/>
      <c r="E58" s="3169"/>
      <c r="F58" s="979" t="s">
        <v>963</v>
      </c>
      <c r="G58" s="898" t="str">
        <f>'XM.FILE GOC'!$E$105</f>
        <v>50~70</v>
      </c>
      <c r="H58" s="2222" t="str">
        <f>'XM.FILE GOC'!$F$105</f>
        <v>(60±5)</v>
      </c>
      <c r="I58" s="3113">
        <f>'3.XT-C KH'!I69</f>
        <v>61</v>
      </c>
      <c r="J58" s="3112"/>
      <c r="K58" s="3112">
        <f>'3.XT-C KH'!K69</f>
        <v>60</v>
      </c>
      <c r="L58" s="3112"/>
      <c r="M58" s="922"/>
      <c r="N58" s="923"/>
      <c r="O58" s="923"/>
      <c r="P58" s="924"/>
      <c r="Q58" s="3112">
        <f>'3.XT-C KH'!Q69</f>
        <v>61</v>
      </c>
      <c r="R58" s="3112"/>
      <c r="S58" s="3112">
        <f>'3.XT-C KH'!S69:T69</f>
        <v>60</v>
      </c>
      <c r="T58" s="3112"/>
      <c r="U58" s="922"/>
      <c r="V58" s="923"/>
      <c r="W58" s="923"/>
      <c r="X58" s="924"/>
      <c r="Y58" s="3112">
        <f>'3.XT-C KH'!Y69</f>
        <v>61</v>
      </c>
      <c r="Z58" s="3112"/>
      <c r="AA58" s="3112">
        <f>'3.XT-C KH'!AA69</f>
        <v>60</v>
      </c>
      <c r="AB58" s="3112"/>
      <c r="AC58" s="922"/>
      <c r="AD58" s="923"/>
      <c r="AE58" s="923"/>
      <c r="AF58" s="924"/>
      <c r="AG58" s="2058"/>
    </row>
    <row r="59" spans="1:38" ht="54" customHeight="1">
      <c r="A59" s="2057">
        <v>2</v>
      </c>
      <c r="B59" s="3167" t="s">
        <v>964</v>
      </c>
      <c r="C59" s="3168"/>
      <c r="D59" s="3168"/>
      <c r="E59" s="3169"/>
      <c r="F59" s="979" t="s">
        <v>963</v>
      </c>
      <c r="G59" s="898" t="str">
        <f>'XM.FILE GOC'!$E$106</f>
        <v>50~70</v>
      </c>
      <c r="H59" s="2222" t="str">
        <f>'XM.FILE GOC'!$F$106</f>
        <v>(60±5)</v>
      </c>
      <c r="I59" s="3113">
        <f>'3.XT-C KH'!I70</f>
        <v>61</v>
      </c>
      <c r="J59" s="3112"/>
      <c r="K59" s="3112">
        <f>'3.XT-C KH'!K70</f>
        <v>60</v>
      </c>
      <c r="L59" s="3112"/>
      <c r="M59" s="922"/>
      <c r="N59" s="923"/>
      <c r="O59" s="923"/>
      <c r="P59" s="924"/>
      <c r="Q59" s="3112">
        <f>'3.XT-C KH'!Q70</f>
        <v>61</v>
      </c>
      <c r="R59" s="3112"/>
      <c r="S59" s="3112">
        <f>'3.XT-C KH'!S70:T70</f>
        <v>60</v>
      </c>
      <c r="T59" s="3112"/>
      <c r="U59" s="922"/>
      <c r="V59" s="923"/>
      <c r="W59" s="923"/>
      <c r="X59" s="924"/>
      <c r="Y59" s="3112">
        <f>'3.XT-C KH'!Y70</f>
        <v>62</v>
      </c>
      <c r="Z59" s="3112"/>
      <c r="AA59" s="3112">
        <f>'3.XT-C KH'!AA70</f>
        <v>61</v>
      </c>
      <c r="AB59" s="3112"/>
      <c r="AC59" s="922"/>
      <c r="AD59" s="923"/>
      <c r="AE59" s="923"/>
      <c r="AF59" s="924"/>
      <c r="AG59" s="2058"/>
    </row>
    <row r="60" spans="1:38" ht="54" customHeight="1">
      <c r="A60" s="2057">
        <v>3</v>
      </c>
      <c r="B60" s="3167" t="s">
        <v>965</v>
      </c>
      <c r="C60" s="3168"/>
      <c r="D60" s="3168"/>
      <c r="E60" s="3169"/>
      <c r="F60" s="979" t="s">
        <v>963</v>
      </c>
      <c r="G60" s="898" t="str">
        <f>'XM.FILE GOC'!$E$107</f>
        <v>50~70</v>
      </c>
      <c r="H60" s="2222" t="str">
        <f>'XM.FILE GOC'!$F$107</f>
        <v>(60±5)</v>
      </c>
      <c r="I60" s="3113">
        <f>'3.XT-C KH'!I71</f>
        <v>61</v>
      </c>
      <c r="J60" s="3112"/>
      <c r="K60" s="3112">
        <f>'3.XT-C KH'!K71</f>
        <v>60</v>
      </c>
      <c r="L60" s="3112"/>
      <c r="M60" s="922"/>
      <c r="N60" s="923"/>
      <c r="O60" s="923"/>
      <c r="P60" s="924"/>
      <c r="Q60" s="3112">
        <f>'3.XT-C KH'!Q71</f>
        <v>61</v>
      </c>
      <c r="R60" s="3112"/>
      <c r="S60" s="3112">
        <f>'3.XT-C KH'!S71:T71</f>
        <v>60</v>
      </c>
      <c r="T60" s="3112"/>
      <c r="U60" s="922"/>
      <c r="V60" s="923"/>
      <c r="W60" s="923"/>
      <c r="X60" s="924"/>
      <c r="Y60" s="3112">
        <f>'3.XT-C KH'!Y71</f>
        <v>61</v>
      </c>
      <c r="Z60" s="3112"/>
      <c r="AA60" s="3112">
        <f>'3.XT-C KH'!AA71</f>
        <v>60</v>
      </c>
      <c r="AB60" s="3112"/>
      <c r="AC60" s="922"/>
      <c r="AD60" s="923"/>
      <c r="AE60" s="923"/>
      <c r="AF60" s="924"/>
      <c r="AG60" s="2058"/>
    </row>
    <row r="61" spans="1:38" ht="54" customHeight="1">
      <c r="A61" s="2057">
        <v>4</v>
      </c>
      <c r="B61" s="3167" t="s">
        <v>966</v>
      </c>
      <c r="C61" s="3168"/>
      <c r="D61" s="3168"/>
      <c r="E61" s="3169"/>
      <c r="F61" s="979" t="s">
        <v>963</v>
      </c>
      <c r="G61" s="898" t="str">
        <f>'XM.FILE GOC'!$E$108</f>
        <v>50~70</v>
      </c>
      <c r="H61" s="2222" t="str">
        <f>'XM.FILE GOC'!$F$108</f>
        <v>(60±5)</v>
      </c>
      <c r="I61" s="3113">
        <f>'3.XT-C KH'!I72</f>
        <v>60</v>
      </c>
      <c r="J61" s="3112"/>
      <c r="K61" s="3112">
        <f>'3.XT-C KH'!K72</f>
        <v>59</v>
      </c>
      <c r="L61" s="3112"/>
      <c r="M61" s="922"/>
      <c r="N61" s="923"/>
      <c r="O61" s="923"/>
      <c r="P61" s="924"/>
      <c r="Q61" s="3112">
        <f>'3.XT-C KH'!Q72</f>
        <v>60</v>
      </c>
      <c r="R61" s="3112"/>
      <c r="S61" s="3112">
        <f>'3.XT-C KH'!S72:T72</f>
        <v>59</v>
      </c>
      <c r="T61" s="3112"/>
      <c r="U61" s="922"/>
      <c r="V61" s="923"/>
      <c r="W61" s="923"/>
      <c r="X61" s="924"/>
      <c r="Y61" s="3112">
        <f>'3.XT-C KH'!Y72</f>
        <v>60</v>
      </c>
      <c r="Z61" s="3112"/>
      <c r="AA61" s="3112">
        <f>'3.XT-C KH'!AA72</f>
        <v>59</v>
      </c>
      <c r="AB61" s="3112"/>
      <c r="AC61" s="922"/>
      <c r="AD61" s="923"/>
      <c r="AE61" s="923"/>
      <c r="AF61" s="924"/>
      <c r="AG61" s="2058"/>
    </row>
    <row r="62" spans="1:38" ht="54" customHeight="1">
      <c r="A62" s="2057">
        <v>5</v>
      </c>
      <c r="B62" s="3161" t="s">
        <v>117</v>
      </c>
      <c r="C62" s="3162"/>
      <c r="D62" s="3162"/>
      <c r="E62" s="3163"/>
      <c r="F62" s="2064" t="s">
        <v>26</v>
      </c>
      <c r="G62" s="2065" t="str">
        <f>'XM.GUI MAIL'!$E$117</f>
        <v>24~28</v>
      </c>
      <c r="H62" s="2239" t="str">
        <f>'XM.GUI MAIL'!$F$117</f>
        <v>(26±2)</v>
      </c>
      <c r="I62" s="3164">
        <f>'3.XT-C KH'!AQ53</f>
        <v>24</v>
      </c>
      <c r="J62" s="3024"/>
      <c r="K62" s="3028">
        <f>'3.XT-C KH'!AS53</f>
        <v>24</v>
      </c>
      <c r="L62" s="3024"/>
      <c r="M62" s="922"/>
      <c r="N62" s="923"/>
      <c r="O62" s="923"/>
      <c r="P62" s="924"/>
      <c r="Q62" s="3028">
        <f>'3.XT-C KH'!AY53</f>
        <v>25</v>
      </c>
      <c r="R62" s="3025"/>
      <c r="S62" s="3164">
        <f>'3.XT-C KH'!BA53</f>
        <v>24</v>
      </c>
      <c r="T62" s="3024"/>
      <c r="U62" s="922"/>
      <c r="V62" s="923"/>
      <c r="W62" s="923"/>
      <c r="X62" s="924"/>
      <c r="Y62" s="3164">
        <f>'3.XT-C KH'!BG53</f>
        <v>25</v>
      </c>
      <c r="Z62" s="3024"/>
      <c r="AA62" s="3028">
        <f>'3.XT-C KH'!BI53</f>
        <v>24</v>
      </c>
      <c r="AB62" s="3024"/>
      <c r="AC62" s="922"/>
      <c r="AD62" s="923"/>
      <c r="AE62" s="923"/>
      <c r="AF62" s="924"/>
      <c r="AG62" s="2699"/>
    </row>
    <row r="63" spans="1:38" ht="54" customHeight="1">
      <c r="A63" s="2057">
        <v>6</v>
      </c>
      <c r="B63" s="3161" t="s">
        <v>121</v>
      </c>
      <c r="C63" s="3162"/>
      <c r="D63" s="3162"/>
      <c r="E63" s="3163"/>
      <c r="F63" s="2064" t="s">
        <v>26</v>
      </c>
      <c r="G63" s="2065" t="str">
        <f>'XM.GUI MAIL'!$E$118</f>
        <v>20~30</v>
      </c>
      <c r="H63" s="2239" t="str">
        <f>'XM.GUI MAIL'!$F$118</f>
        <v>(25±5)</v>
      </c>
      <c r="I63" s="3164">
        <f>'3.XT-C KH'!AQ54</f>
        <v>30</v>
      </c>
      <c r="J63" s="3024"/>
      <c r="K63" s="3028">
        <f>'3.XT-C KH'!AS54</f>
        <v>29</v>
      </c>
      <c r="L63" s="3165"/>
      <c r="M63" s="922"/>
      <c r="N63" s="923"/>
      <c r="O63" s="923"/>
      <c r="P63" s="924"/>
      <c r="Q63" s="3164">
        <f>'3.XT-C KH'!AY54</f>
        <v>30</v>
      </c>
      <c r="R63" s="3024"/>
      <c r="S63" s="3028">
        <f>'3.XT-C KH'!BA54</f>
        <v>29</v>
      </c>
      <c r="T63" s="3165"/>
      <c r="U63" s="922"/>
      <c r="V63" s="923"/>
      <c r="W63" s="923"/>
      <c r="X63" s="924"/>
      <c r="Y63" s="3164">
        <f>'3.XT-C KH'!BG54</f>
        <v>30</v>
      </c>
      <c r="Z63" s="3024"/>
      <c r="AA63" s="3028">
        <f>'3.XT-C KH'!BI54</f>
        <v>29</v>
      </c>
      <c r="AB63" s="3165"/>
      <c r="AC63" s="922"/>
      <c r="AD63" s="923"/>
      <c r="AE63" s="923"/>
      <c r="AF63" s="924"/>
      <c r="AG63" s="2699"/>
    </row>
    <row r="64" spans="1:38" ht="54" customHeight="1">
      <c r="A64" s="2057">
        <v>7</v>
      </c>
      <c r="B64" s="3803" t="s">
        <v>969</v>
      </c>
      <c r="C64" s="3804"/>
      <c r="D64" s="3804"/>
      <c r="E64" s="3805"/>
      <c r="F64" s="1585" t="s">
        <v>963</v>
      </c>
      <c r="G64" s="1586" t="str">
        <f>'XM.FILE GOC'!$E$111</f>
        <v>55~65</v>
      </c>
      <c r="H64" s="2238" t="str">
        <f>'XM.FILE GOC'!$F$111</f>
        <v>(60±5)</v>
      </c>
      <c r="I64" s="3806">
        <f>'3.XT-C KH'!I75</f>
        <v>57</v>
      </c>
      <c r="J64" s="3807"/>
      <c r="K64" s="3807">
        <f>'3.XT-C KH'!K75</f>
        <v>56</v>
      </c>
      <c r="L64" s="3807"/>
      <c r="M64" s="922"/>
      <c r="N64" s="923"/>
      <c r="O64" s="923"/>
      <c r="P64" s="924"/>
      <c r="Q64" s="3807">
        <f>'3.XT-C KH'!Q75</f>
        <v>58</v>
      </c>
      <c r="R64" s="3807"/>
      <c r="S64" s="3807">
        <f>'3.XT-C KH'!S75</f>
        <v>57</v>
      </c>
      <c r="T64" s="3807"/>
      <c r="U64" s="922"/>
      <c r="V64" s="923"/>
      <c r="W64" s="923"/>
      <c r="X64" s="924"/>
      <c r="Y64" s="3807">
        <f>'3.XT-C KH'!Y75</f>
        <v>59</v>
      </c>
      <c r="Z64" s="3807"/>
      <c r="AA64" s="3807">
        <f>'3.XT-C KH'!AA75</f>
        <v>58</v>
      </c>
      <c r="AB64" s="3807"/>
      <c r="AC64" s="922"/>
      <c r="AD64" s="923"/>
      <c r="AE64" s="923"/>
      <c r="AF64" s="924"/>
      <c r="AG64" s="1587"/>
    </row>
    <row r="65" spans="1:33" ht="54" customHeight="1">
      <c r="A65" s="2057">
        <v>8</v>
      </c>
      <c r="B65" s="3167" t="s">
        <v>970</v>
      </c>
      <c r="C65" s="3168"/>
      <c r="D65" s="3168"/>
      <c r="E65" s="3169"/>
      <c r="F65" s="979" t="s">
        <v>963</v>
      </c>
      <c r="G65" s="898" t="str">
        <f>'XM.FILE GOC'!$E$112</f>
        <v>80~100</v>
      </c>
      <c r="H65" s="2222" t="str">
        <f>'XM.FILE GOC'!$F$112</f>
        <v>(90±5)</v>
      </c>
      <c r="I65" s="3159" t="str">
        <f>'3.XT-C KH'!I76</f>
        <v>\</v>
      </c>
      <c r="J65" s="3191"/>
      <c r="K65" s="3112">
        <f>'3.XT-C KH'!K76</f>
        <v>94</v>
      </c>
      <c r="L65" s="3112"/>
      <c r="M65" s="922"/>
      <c r="N65" s="923"/>
      <c r="O65" s="923"/>
      <c r="P65" s="924"/>
      <c r="Q65" s="3191" t="str">
        <f>'3.XT-C KH'!Q76</f>
        <v>\</v>
      </c>
      <c r="R65" s="3191"/>
      <c r="S65" s="3112">
        <f>'3.XT-C KH'!S76</f>
        <v>92</v>
      </c>
      <c r="T65" s="3112"/>
      <c r="U65" s="922"/>
      <c r="V65" s="923"/>
      <c r="W65" s="923"/>
      <c r="X65" s="924"/>
      <c r="Y65" s="3191" t="str">
        <f>'3.XT-C KH'!Y76</f>
        <v>\</v>
      </c>
      <c r="Z65" s="3191"/>
      <c r="AA65" s="3112">
        <f>'3.XT-C KH'!AA76</f>
        <v>92</v>
      </c>
      <c r="AB65" s="3112"/>
      <c r="AC65" s="922"/>
      <c r="AD65" s="923"/>
      <c r="AE65" s="923"/>
      <c r="AF65" s="924"/>
      <c r="AG65" s="2058"/>
    </row>
    <row r="66" spans="1:33" ht="54" customHeight="1">
      <c r="A66" s="2057">
        <v>9</v>
      </c>
      <c r="B66" s="3192" t="s">
        <v>1288</v>
      </c>
      <c r="C66" s="3193"/>
      <c r="D66" s="3193"/>
      <c r="E66" s="3194"/>
      <c r="F66" s="979" t="s">
        <v>963</v>
      </c>
      <c r="G66" s="898" t="str">
        <f>'XM.FILE GOC'!$E$113</f>
        <v>40~60</v>
      </c>
      <c r="H66" s="2222" t="str">
        <f>'XM.FILE GOC'!$F$113</f>
        <v>(50±10)</v>
      </c>
      <c r="I66" s="3190">
        <f>'3.XT-C KH'!I77</f>
        <v>60</v>
      </c>
      <c r="J66" s="3188"/>
      <c r="K66" s="3188">
        <f>'3.XT-C KH'!K77</f>
        <v>59</v>
      </c>
      <c r="L66" s="3188"/>
      <c r="M66" s="922"/>
      <c r="N66" s="923"/>
      <c r="O66" s="923"/>
      <c r="P66" s="924"/>
      <c r="Q66" s="3188">
        <f>'3.XT-C KH'!Q77</f>
        <v>59</v>
      </c>
      <c r="R66" s="3188"/>
      <c r="S66" s="3188">
        <f>'3.XT-C KH'!S77</f>
        <v>58</v>
      </c>
      <c r="T66" s="3188"/>
      <c r="U66" s="922"/>
      <c r="V66" s="923"/>
      <c r="W66" s="923"/>
      <c r="X66" s="924"/>
      <c r="Y66" s="3188">
        <f>'3.XT-C KH'!Y77</f>
        <v>59</v>
      </c>
      <c r="Z66" s="3188"/>
      <c r="AA66" s="3188">
        <f>'3.XT-C KH'!AA77</f>
        <v>58</v>
      </c>
      <c r="AB66" s="3188"/>
      <c r="AC66" s="922"/>
      <c r="AD66" s="923"/>
      <c r="AE66" s="923"/>
      <c r="AF66" s="924"/>
      <c r="AG66" s="896"/>
    </row>
    <row r="67" spans="1:33" ht="54" customHeight="1">
      <c r="A67" s="2057">
        <v>10</v>
      </c>
      <c r="B67" s="3800" t="s">
        <v>1290</v>
      </c>
      <c r="C67" s="3801"/>
      <c r="D67" s="3801"/>
      <c r="E67" s="3802"/>
      <c r="F67" s="2066" t="s">
        <v>963</v>
      </c>
      <c r="G67" s="898" t="str">
        <f>'XM.FILE GOC'!$E$114</f>
        <v>50~70</v>
      </c>
      <c r="H67" s="2222" t="str">
        <f>'XM.FILE GOC'!$F$114</f>
        <v>(60±10)</v>
      </c>
      <c r="I67" s="3190">
        <f>'3.XT-C KH'!I78</f>
        <v>58</v>
      </c>
      <c r="J67" s="3188"/>
      <c r="K67" s="3188">
        <f>'3.XT-C KH'!K78</f>
        <v>57</v>
      </c>
      <c r="L67" s="3188"/>
      <c r="M67" s="922"/>
      <c r="N67" s="923"/>
      <c r="O67" s="923"/>
      <c r="P67" s="924"/>
      <c r="Q67" s="3188">
        <f>'3.XT-C KH'!Q78</f>
        <v>60</v>
      </c>
      <c r="R67" s="3188"/>
      <c r="S67" s="3188">
        <f>'3.XT-C KH'!S78</f>
        <v>59</v>
      </c>
      <c r="T67" s="3188"/>
      <c r="U67" s="922"/>
      <c r="V67" s="923"/>
      <c r="W67" s="923"/>
      <c r="X67" s="924"/>
      <c r="Y67" s="3188">
        <f>'3.XT-C KH'!Y78</f>
        <v>55</v>
      </c>
      <c r="Z67" s="3188"/>
      <c r="AA67" s="3188">
        <f>'3.XT-C KH'!AA78</f>
        <v>54</v>
      </c>
      <c r="AB67" s="3188"/>
      <c r="AC67" s="922"/>
      <c r="AD67" s="923"/>
      <c r="AE67" s="923"/>
      <c r="AF67" s="924"/>
      <c r="AG67" s="896"/>
    </row>
  </sheetData>
  <sheetProtection selectLockedCells="1"/>
  <mergeCells count="253">
    <mergeCell ref="F4:F5"/>
    <mergeCell ref="G4:G5"/>
    <mergeCell ref="H4:H5"/>
    <mergeCell ref="I4:L4"/>
    <mergeCell ref="J5:L5"/>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 ref="AD5:AF5"/>
    <mergeCell ref="A6:A7"/>
    <mergeCell ref="B6:C7"/>
    <mergeCell ref="D6:E6"/>
    <mergeCell ref="D7:E7"/>
    <mergeCell ref="A8:A9"/>
    <mergeCell ref="B8:C9"/>
    <mergeCell ref="D8:E8"/>
    <mergeCell ref="D9:E9"/>
    <mergeCell ref="A4:A5"/>
    <mergeCell ref="B4:E5"/>
    <mergeCell ref="Y23:Z23"/>
    <mergeCell ref="AA23:AB23"/>
    <mergeCell ref="A14:A15"/>
    <mergeCell ref="B14:C15"/>
    <mergeCell ref="D14:E14"/>
    <mergeCell ref="D15:E15"/>
    <mergeCell ref="A10:A11"/>
    <mergeCell ref="B10:C11"/>
    <mergeCell ref="D10:E10"/>
    <mergeCell ref="D11:E11"/>
    <mergeCell ref="A12:A13"/>
    <mergeCell ref="B12:C13"/>
    <mergeCell ref="D12:E12"/>
    <mergeCell ref="D13:E13"/>
    <mergeCell ref="B18:E18"/>
    <mergeCell ref="B20:E20"/>
    <mergeCell ref="B21:E21"/>
    <mergeCell ref="B23:E23"/>
    <mergeCell ref="I23:J23"/>
    <mergeCell ref="K23:L23"/>
    <mergeCell ref="Q23:R23"/>
    <mergeCell ref="S23:T23"/>
    <mergeCell ref="B16:E16"/>
    <mergeCell ref="B17:E17"/>
    <mergeCell ref="B24:E24"/>
    <mergeCell ref="I24:J24"/>
    <mergeCell ref="K24:L24"/>
    <mergeCell ref="Q24:R24"/>
    <mergeCell ref="S24:T24"/>
    <mergeCell ref="Y24:Z24"/>
    <mergeCell ref="AA24:AB24"/>
    <mergeCell ref="AA25:AB25"/>
    <mergeCell ref="B26:E26"/>
    <mergeCell ref="I26:J26"/>
    <mergeCell ref="K26:L26"/>
    <mergeCell ref="Q26:R26"/>
    <mergeCell ref="S26:T26"/>
    <mergeCell ref="Y26:Z26"/>
    <mergeCell ref="AA26:AB26"/>
    <mergeCell ref="B25:E25"/>
    <mergeCell ref="I25:J25"/>
    <mergeCell ref="K25:L25"/>
    <mergeCell ref="Q25:R25"/>
    <mergeCell ref="S25:T25"/>
    <mergeCell ref="Y25:Z25"/>
    <mergeCell ref="AA27:AB27"/>
    <mergeCell ref="B28:E28"/>
    <mergeCell ref="I28:J28"/>
    <mergeCell ref="K28:L28"/>
    <mergeCell ref="Q28:R28"/>
    <mergeCell ref="S28:T28"/>
    <mergeCell ref="Y28:Z28"/>
    <mergeCell ref="AA28:AB28"/>
    <mergeCell ref="B27:E27"/>
    <mergeCell ref="I27:J27"/>
    <mergeCell ref="K27:L27"/>
    <mergeCell ref="Q27:R27"/>
    <mergeCell ref="S27:T27"/>
    <mergeCell ref="Y27:Z27"/>
    <mergeCell ref="AA29:AB29"/>
    <mergeCell ref="B30:E30"/>
    <mergeCell ref="I30:J30"/>
    <mergeCell ref="K30:L30"/>
    <mergeCell ref="Q30:R30"/>
    <mergeCell ref="S30:T30"/>
    <mergeCell ref="Y30:Z30"/>
    <mergeCell ref="AA30:AB30"/>
    <mergeCell ref="B29:E29"/>
    <mergeCell ref="I29:J29"/>
    <mergeCell ref="K29:L29"/>
    <mergeCell ref="Q29:R29"/>
    <mergeCell ref="S29:T29"/>
    <mergeCell ref="Y29:Z29"/>
    <mergeCell ref="AA31:AB31"/>
    <mergeCell ref="B32:E32"/>
    <mergeCell ref="I32:J32"/>
    <mergeCell ref="K32:L32"/>
    <mergeCell ref="Q32:R32"/>
    <mergeCell ref="S32:T32"/>
    <mergeCell ref="Y32:Z32"/>
    <mergeCell ref="AA32:AB32"/>
    <mergeCell ref="B31:E31"/>
    <mergeCell ref="I31:J31"/>
    <mergeCell ref="K31:L31"/>
    <mergeCell ref="Q31:R31"/>
    <mergeCell ref="S31:T31"/>
    <mergeCell ref="Y31:Z31"/>
    <mergeCell ref="AD36:AE36"/>
    <mergeCell ref="AF36:AG36"/>
    <mergeCell ref="I37:L37"/>
    <mergeCell ref="AA37:AB37"/>
    <mergeCell ref="AD37:AE37"/>
    <mergeCell ref="AF37:AG37"/>
    <mergeCell ref="AA33:AB33"/>
    <mergeCell ref="B33:E33"/>
    <mergeCell ref="I33:J33"/>
    <mergeCell ref="K33:L33"/>
    <mergeCell ref="Q33:R33"/>
    <mergeCell ref="S33:T33"/>
    <mergeCell ref="Y33:Z33"/>
    <mergeCell ref="B38:E39"/>
    <mergeCell ref="M38:P38"/>
    <mergeCell ref="Q38:T38"/>
    <mergeCell ref="U38:X38"/>
    <mergeCell ref="Y38:AB38"/>
    <mergeCell ref="AC38:AF38"/>
    <mergeCell ref="AG38:AG39"/>
    <mergeCell ref="N39:P39"/>
    <mergeCell ref="R39:T39"/>
    <mergeCell ref="V39:X39"/>
    <mergeCell ref="Z39:AB39"/>
    <mergeCell ref="AD39:AF39"/>
    <mergeCell ref="AA57:AB57"/>
    <mergeCell ref="F38:F39"/>
    <mergeCell ref="G38:G39"/>
    <mergeCell ref="H38:H39"/>
    <mergeCell ref="I38:L38"/>
    <mergeCell ref="J39:L39"/>
    <mergeCell ref="A48:A49"/>
    <mergeCell ref="A44:A45"/>
    <mergeCell ref="B44:C45"/>
    <mergeCell ref="D44:E44"/>
    <mergeCell ref="D45:E45"/>
    <mergeCell ref="A46:A47"/>
    <mergeCell ref="B46:C47"/>
    <mergeCell ref="D46:E46"/>
    <mergeCell ref="D47:E47"/>
    <mergeCell ref="A40:A41"/>
    <mergeCell ref="B40:C41"/>
    <mergeCell ref="D40:E40"/>
    <mergeCell ref="D41:E41"/>
    <mergeCell ref="A42:A43"/>
    <mergeCell ref="B42:C43"/>
    <mergeCell ref="D42:E42"/>
    <mergeCell ref="D43:E43"/>
    <mergeCell ref="A38:A39"/>
    <mergeCell ref="B52:E52"/>
    <mergeCell ref="B54:E54"/>
    <mergeCell ref="B55:E55"/>
    <mergeCell ref="B57:E57"/>
    <mergeCell ref="I57:J57"/>
    <mergeCell ref="K57:L57"/>
    <mergeCell ref="Q57:R57"/>
    <mergeCell ref="S57:T57"/>
    <mergeCell ref="Y57:Z57"/>
    <mergeCell ref="B58:E58"/>
    <mergeCell ref="I58:J58"/>
    <mergeCell ref="K58:L58"/>
    <mergeCell ref="Q58:R58"/>
    <mergeCell ref="S58:T58"/>
    <mergeCell ref="Y58:Z58"/>
    <mergeCell ref="AA58:AB58"/>
    <mergeCell ref="AA59:AB59"/>
    <mergeCell ref="B60:E60"/>
    <mergeCell ref="I60:J60"/>
    <mergeCell ref="K60:L60"/>
    <mergeCell ref="Q60:R60"/>
    <mergeCell ref="S60:T60"/>
    <mergeCell ref="Y60:Z60"/>
    <mergeCell ref="AA60:AB60"/>
    <mergeCell ref="B59:E59"/>
    <mergeCell ref="I59:J59"/>
    <mergeCell ref="K59:L59"/>
    <mergeCell ref="Q59:R59"/>
    <mergeCell ref="S59:T59"/>
    <mergeCell ref="Y59:Z59"/>
    <mergeCell ref="AA61:AB61"/>
    <mergeCell ref="B62:E62"/>
    <mergeCell ref="I62:J62"/>
    <mergeCell ref="K62:L62"/>
    <mergeCell ref="Q62:R62"/>
    <mergeCell ref="S62:T62"/>
    <mergeCell ref="Y62:Z62"/>
    <mergeCell ref="AA62:AB62"/>
    <mergeCell ref="B61:E61"/>
    <mergeCell ref="I61:J61"/>
    <mergeCell ref="K61:L61"/>
    <mergeCell ref="Q61:R61"/>
    <mergeCell ref="S61:T61"/>
    <mergeCell ref="Y61:Z61"/>
    <mergeCell ref="K65:L65"/>
    <mergeCell ref="Q65:R65"/>
    <mergeCell ref="S65:T65"/>
    <mergeCell ref="Y65:Z65"/>
    <mergeCell ref="AA63:AB63"/>
    <mergeCell ref="B64:E64"/>
    <mergeCell ref="I64:J64"/>
    <mergeCell ref="K64:L64"/>
    <mergeCell ref="Q64:R64"/>
    <mergeCell ref="S64:T64"/>
    <mergeCell ref="Y64:Z64"/>
    <mergeCell ref="AA64:AB64"/>
    <mergeCell ref="B63:E63"/>
    <mergeCell ref="I63:J63"/>
    <mergeCell ref="K63:L63"/>
    <mergeCell ref="Q63:R63"/>
    <mergeCell ref="S63:T63"/>
    <mergeCell ref="Y63:Z63"/>
    <mergeCell ref="B19:E19"/>
    <mergeCell ref="B51:E51"/>
    <mergeCell ref="B53:E53"/>
    <mergeCell ref="B48:C49"/>
    <mergeCell ref="D48:E48"/>
    <mergeCell ref="D49:E49"/>
    <mergeCell ref="B50:E50"/>
    <mergeCell ref="AA67:AB67"/>
    <mergeCell ref="B67:E67"/>
    <mergeCell ref="I67:J67"/>
    <mergeCell ref="K67:L67"/>
    <mergeCell ref="Q67:R67"/>
    <mergeCell ref="S67:T67"/>
    <mergeCell ref="Y67:Z67"/>
    <mergeCell ref="AA65:AB65"/>
    <mergeCell ref="B66:E66"/>
    <mergeCell ref="I66:J66"/>
    <mergeCell ref="K66:L66"/>
    <mergeCell ref="Q66:R66"/>
    <mergeCell ref="S66:T66"/>
    <mergeCell ref="Y66:Z66"/>
    <mergeCell ref="AA66:AB66"/>
    <mergeCell ref="B65:E65"/>
    <mergeCell ref="I65:J65"/>
  </mergeCells>
  <conditionalFormatting sqref="I55 Q55 Y55 I21 Q21 Y21">
    <cfRule type="expression" dxfId="360" priority="1206">
      <formula>I21&lt;0.5%</formula>
    </cfRule>
    <cfRule type="expression" dxfId="359" priority="1207">
      <formula>I21&gt;1.5%</formula>
    </cfRule>
  </conditionalFormatting>
  <conditionalFormatting sqref="Y44 Q44 I44 I46 Q46 Y46 Y10 Q10 I10 I12 Q12 Y12">
    <cfRule type="expression" dxfId="358" priority="1205" stopIfTrue="1">
      <formula>I10&lt;50</formula>
    </cfRule>
  </conditionalFormatting>
  <conditionalFormatting sqref="Y44 Q44 I44 I46 Q46 Y46 Y10 Q10 I10 I12 Q12 Y12">
    <cfRule type="expression" dxfId="357" priority="1204" stopIfTrue="1">
      <formula>I10&gt;70</formula>
    </cfRule>
  </conditionalFormatting>
  <conditionalFormatting sqref="I40 I42 Q40 Q42 Y40 Y42 I6 I8 Q6 Q8 Y6 Y8">
    <cfRule type="expression" dxfId="356" priority="1201" stopIfTrue="1">
      <formula>I6&lt;40</formula>
    </cfRule>
  </conditionalFormatting>
  <conditionalFormatting sqref="I40 I42 Q40 Q42 Y40 Y42 I6 I8 Q6 Q8 Y6 Y8">
    <cfRule type="expression" dxfId="355" priority="1200" stopIfTrue="1">
      <formula>I6&gt;60</formula>
    </cfRule>
  </conditionalFormatting>
  <conditionalFormatting sqref="I49 Q49 Y49 I15 Q15 Y15">
    <cfRule type="expression" dxfId="354" priority="457" stopIfTrue="1">
      <formula>I15&gt;140</formula>
    </cfRule>
    <cfRule type="expression" dxfId="353" priority="458" stopIfTrue="1">
      <formula>I15&lt;130</formula>
    </cfRule>
  </conditionalFormatting>
  <conditionalFormatting sqref="I50 Q50 I16 Q16 Y16 Y50">
    <cfRule type="cellIs" dxfId="352" priority="454" operator="between">
      <formula>3</formula>
      <formula>4.099</formula>
    </cfRule>
    <cfRule type="expression" dxfId="351" priority="455">
      <formula>I16&lt;3</formula>
    </cfRule>
    <cfRule type="expression" dxfId="350" priority="456">
      <formula>I16&gt;4.5</formula>
    </cfRule>
  </conditionalFormatting>
  <conditionalFormatting sqref="I48 Q48 Y48 I14 Q14 Y14">
    <cfRule type="expression" dxfId="349" priority="452">
      <formula>I14&lt;5</formula>
    </cfRule>
    <cfRule type="expression" dxfId="348" priority="453">
      <formula>I14&gt;6</formula>
    </cfRule>
  </conditionalFormatting>
  <conditionalFormatting sqref="I58:L61 Q58:T61 Y58:AB61 I24:L27 Q24:T27 Y24:AB27">
    <cfRule type="cellIs" dxfId="347" priority="259" operator="between">
      <formula>50</formula>
      <formula>54.9</formula>
    </cfRule>
    <cfRule type="cellIs" dxfId="346" priority="260" operator="between">
      <formula>65.1</formula>
      <formula>70</formula>
    </cfRule>
    <cfRule type="expression" dxfId="345" priority="261">
      <formula>I24&lt;50</formula>
    </cfRule>
    <cfRule type="expression" dxfId="344" priority="262">
      <formula>I24&gt;70</formula>
    </cfRule>
  </conditionalFormatting>
  <conditionalFormatting sqref="K64 I64 S64 Q64 AA64 Y64 K30 I30 S30 Q30 AA30 Y30">
    <cfRule type="expression" dxfId="343" priority="213">
      <formula>I30&lt;55</formula>
    </cfRule>
    <cfRule type="expression" dxfId="342" priority="214">
      <formula>I30&gt;65</formula>
    </cfRule>
  </conditionalFormatting>
  <conditionalFormatting sqref="K65 S65 AA65 K31 S31 AA31">
    <cfRule type="cellIs" dxfId="341" priority="209" operator="between">
      <formula>80</formula>
      <formula>84.9</formula>
    </cfRule>
    <cfRule type="cellIs" dxfId="340" priority="210" operator="between">
      <formula>95.1</formula>
      <formula>100</formula>
    </cfRule>
    <cfRule type="expression" dxfId="339" priority="211">
      <formula>K31&lt;80</formula>
    </cfRule>
    <cfRule type="expression" dxfId="338" priority="212">
      <formula>K31&gt;100</formula>
    </cfRule>
  </conditionalFormatting>
  <conditionalFormatting sqref="K66 I66 S66 Q66 AA66 Y66 K32 I32 S32 Q32 AA32 Y32">
    <cfRule type="expression" dxfId="337" priority="207">
      <formula>I32&lt;40</formula>
    </cfRule>
    <cfRule type="expression" dxfId="336" priority="208">
      <formula>I32&gt;60</formula>
    </cfRule>
  </conditionalFormatting>
  <conditionalFormatting sqref="K67 I67 S67 Q67 AA67 Y67 K33 I33 S33 Q33 AA33 Y33">
    <cfRule type="expression" dxfId="335" priority="205">
      <formula>I33&lt;50</formula>
    </cfRule>
    <cfRule type="expression" dxfId="334" priority="206">
      <formula>I33&gt;70</formula>
    </cfRule>
  </conditionalFormatting>
  <conditionalFormatting sqref="I51">
    <cfRule type="expression" dxfId="333" priority="59">
      <formula>I51&lt;40%</formula>
    </cfRule>
    <cfRule type="expression" dxfId="332" priority="60">
      <formula>I51&gt;50%</formula>
    </cfRule>
  </conditionalFormatting>
  <conditionalFormatting sqref="I53:I54">
    <cfRule type="expression" dxfId="331" priority="57">
      <formula>I53&lt;40%</formula>
    </cfRule>
    <cfRule type="expression" dxfId="330" priority="58">
      <formula>I53&gt;50%</formula>
    </cfRule>
  </conditionalFormatting>
  <conditionalFormatting sqref="Q51">
    <cfRule type="expression" dxfId="329" priority="53">
      <formula>Q51&lt;40%</formula>
    </cfRule>
    <cfRule type="expression" dxfId="328" priority="54">
      <formula>Q51&gt;50%</formula>
    </cfRule>
  </conditionalFormatting>
  <conditionalFormatting sqref="Q53:Q54">
    <cfRule type="expression" dxfId="327" priority="51">
      <formula>Q53&lt;40%</formula>
    </cfRule>
    <cfRule type="expression" dxfId="326" priority="52">
      <formula>Q53&gt;50%</formula>
    </cfRule>
  </conditionalFormatting>
  <conditionalFormatting sqref="Y51">
    <cfRule type="expression" dxfId="325" priority="47">
      <formula>Y51&lt;40%</formula>
    </cfRule>
    <cfRule type="expression" dxfId="324" priority="48">
      <formula>Y51&gt;50%</formula>
    </cfRule>
  </conditionalFormatting>
  <conditionalFormatting sqref="Y53:Y54">
    <cfRule type="expression" dxfId="323" priority="45">
      <formula>Y53&lt;40%</formula>
    </cfRule>
    <cfRule type="expression" dxfId="322" priority="46">
      <formula>Y53&gt;50%</formula>
    </cfRule>
  </conditionalFormatting>
  <conditionalFormatting sqref="I17">
    <cfRule type="expression" dxfId="321" priority="41">
      <formula>I17&lt;40%</formula>
    </cfRule>
    <cfRule type="expression" dxfId="320" priority="42">
      <formula>I17&gt;50%</formula>
    </cfRule>
  </conditionalFormatting>
  <conditionalFormatting sqref="I19:I20">
    <cfRule type="expression" dxfId="319" priority="39">
      <formula>I19&lt;40%</formula>
    </cfRule>
    <cfRule type="expression" dxfId="318" priority="40">
      <formula>I19&gt;50%</formula>
    </cfRule>
  </conditionalFormatting>
  <conditionalFormatting sqref="Q17">
    <cfRule type="expression" dxfId="317" priority="35">
      <formula>Q17&lt;40%</formula>
    </cfRule>
    <cfRule type="expression" dxfId="316" priority="36">
      <formula>Q17&gt;50%</formula>
    </cfRule>
  </conditionalFormatting>
  <conditionalFormatting sqref="Q19:Q20">
    <cfRule type="expression" dxfId="315" priority="33">
      <formula>Q19&lt;40%</formula>
    </cfRule>
    <cfRule type="expression" dxfId="314" priority="34">
      <formula>Q19&gt;50%</formula>
    </cfRule>
  </conditionalFormatting>
  <conditionalFormatting sqref="Y17">
    <cfRule type="expression" dxfId="313" priority="29">
      <formula>Y17&lt;40%</formula>
    </cfRule>
    <cfRule type="expression" dxfId="312" priority="30">
      <formula>Y17&gt;50%</formula>
    </cfRule>
  </conditionalFormatting>
  <conditionalFormatting sqref="Y19:Y20">
    <cfRule type="expression" dxfId="311" priority="27">
      <formula>Y19&lt;40%</formula>
    </cfRule>
    <cfRule type="expression" dxfId="310" priority="28">
      <formula>Y19&gt;50%</formula>
    </cfRule>
  </conditionalFormatting>
  <conditionalFormatting sqref="I63 K63">
    <cfRule type="expression" dxfId="309" priority="25">
      <formula>I63&lt;20</formula>
    </cfRule>
    <cfRule type="expression" dxfId="308" priority="26">
      <formula>I63&gt;30</formula>
    </cfRule>
  </conditionalFormatting>
  <conditionalFormatting sqref="I62 K62">
    <cfRule type="expression" dxfId="307" priority="23">
      <formula>I62&lt;24</formula>
    </cfRule>
    <cfRule type="expression" dxfId="306" priority="24">
      <formula>I62&gt;28</formula>
    </cfRule>
  </conditionalFormatting>
  <conditionalFormatting sqref="Q62">
    <cfRule type="expression" dxfId="305" priority="21">
      <formula>Q62&lt;24</formula>
    </cfRule>
    <cfRule type="expression" dxfId="304" priority="22">
      <formula>Q62&gt;28</formula>
    </cfRule>
  </conditionalFormatting>
  <conditionalFormatting sqref="S62">
    <cfRule type="expression" dxfId="303" priority="19">
      <formula>S62&lt;24</formula>
    </cfRule>
    <cfRule type="expression" dxfId="302" priority="20">
      <formula>S62&gt;28</formula>
    </cfRule>
  </conditionalFormatting>
  <conditionalFormatting sqref="Q63 S63">
    <cfRule type="expression" dxfId="301" priority="17">
      <formula>Q63&lt;20</formula>
    </cfRule>
    <cfRule type="expression" dxfId="300" priority="18">
      <formula>Q63&gt;30</formula>
    </cfRule>
  </conditionalFormatting>
  <conditionalFormatting sqref="Y63 AA63">
    <cfRule type="expression" dxfId="299" priority="15">
      <formula>Y63&lt;20</formula>
    </cfRule>
    <cfRule type="expression" dxfId="298" priority="16">
      <formula>Y63&gt;30</formula>
    </cfRule>
  </conditionalFormatting>
  <conditionalFormatting sqref="Y62 AA62">
    <cfRule type="expression" dxfId="297" priority="13">
      <formula>Y62&lt;24</formula>
    </cfRule>
    <cfRule type="expression" dxfId="296" priority="14">
      <formula>Y62&gt;28</formula>
    </cfRule>
  </conditionalFormatting>
  <conditionalFormatting sqref="I29 K29">
    <cfRule type="expression" dxfId="295" priority="11">
      <formula>I29&lt;20</formula>
    </cfRule>
    <cfRule type="expression" dxfId="294" priority="12">
      <formula>I29&gt;30</formula>
    </cfRule>
  </conditionalFormatting>
  <conditionalFormatting sqref="I28 K28">
    <cfRule type="expression" dxfId="293" priority="9">
      <formula>I28&lt;24</formula>
    </cfRule>
    <cfRule type="expression" dxfId="292" priority="10">
      <formula>I28&gt;28</formula>
    </cfRule>
  </conditionalFormatting>
  <conditionalFormatting sqref="Q29 S29">
    <cfRule type="expression" dxfId="291" priority="7">
      <formula>Q29&lt;20</formula>
    </cfRule>
    <cfRule type="expression" dxfId="290" priority="8">
      <formula>Q29&gt;30</formula>
    </cfRule>
  </conditionalFormatting>
  <conditionalFormatting sqref="Q28 S28">
    <cfRule type="expression" dxfId="289" priority="5">
      <formula>Q28&lt;24</formula>
    </cfRule>
    <cfRule type="expression" dxfId="288" priority="6">
      <formula>Q28&gt;28</formula>
    </cfRule>
  </conditionalFormatting>
  <conditionalFormatting sqref="Y29 AA29">
    <cfRule type="expression" dxfId="287" priority="3">
      <formula>Y29&lt;20</formula>
    </cfRule>
    <cfRule type="expression" dxfId="286" priority="4">
      <formula>Y29&gt;30</formula>
    </cfRule>
  </conditionalFormatting>
  <conditionalFormatting sqref="Y28 AA28">
    <cfRule type="expression" dxfId="285" priority="1">
      <formula>Y28&lt;24</formula>
    </cfRule>
    <cfRule type="expression" dxfId="284" priority="2">
      <formula>Y28&gt;28</formula>
    </cfRule>
  </conditionalFormatting>
  <pageMargins left="0.39" right="0" top="0.2"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51.xml><?xml version="1.0" encoding="utf-8"?>
<worksheet xmlns="http://schemas.openxmlformats.org/spreadsheetml/2006/main" xmlns:r="http://schemas.openxmlformats.org/officeDocument/2006/relationships">
  <sheetPr>
    <tabColor rgb="FFCCFF33"/>
  </sheetPr>
  <dimension ref="A1:BC83"/>
  <sheetViews>
    <sheetView view="pageBreakPreview" zoomScale="55" zoomScaleNormal="55" zoomScaleSheetLayoutView="55" workbookViewId="0">
      <selection activeCell="Y61" sqref="Y61"/>
    </sheetView>
  </sheetViews>
  <sheetFormatPr defaultRowHeight="16.5"/>
  <cols>
    <col min="1" max="1" width="3.875" style="982" customWidth="1"/>
    <col min="2" max="2" width="9.125" style="983" customWidth="1"/>
    <col min="3" max="4" width="6" style="983" customWidth="1"/>
    <col min="5" max="5" width="5.75" style="983" customWidth="1"/>
    <col min="6" max="6" width="7.5" style="984" customWidth="1"/>
    <col min="7" max="7" width="10.875" style="984" customWidth="1"/>
    <col min="8" max="8" width="8.875" style="984" customWidth="1"/>
    <col min="9" max="9" width="8.375" style="984" customWidth="1"/>
    <col min="10" max="10" width="2.625" style="984" customWidth="1"/>
    <col min="11" max="11" width="8" style="984" customWidth="1"/>
    <col min="12" max="12" width="4" style="984" customWidth="1"/>
    <col min="13" max="13" width="8" style="946" customWidth="1"/>
    <col min="14" max="14" width="2.75" style="946" customWidth="1"/>
    <col min="15" max="15" width="8.75" style="946" customWidth="1"/>
    <col min="16" max="16" width="4" style="946" customWidth="1"/>
    <col min="17" max="17" width="8.25" style="984" customWidth="1"/>
    <col min="18" max="18" width="2.375" style="984" customWidth="1"/>
    <col min="19" max="19" width="8.25" style="984" customWidth="1"/>
    <col min="20" max="20" width="4.25" style="984" customWidth="1"/>
    <col min="21" max="21" width="7.625" style="946" customWidth="1"/>
    <col min="22" max="22" width="4" style="946" customWidth="1"/>
    <col min="23" max="23" width="7.875" style="946" customWidth="1"/>
    <col min="24" max="24" width="3.75" style="946" customWidth="1"/>
    <col min="25" max="25" width="7.5" style="984" customWidth="1"/>
    <col min="26" max="26" width="4.25" style="984" customWidth="1"/>
    <col min="27" max="27" width="7.625" style="984" customWidth="1"/>
    <col min="28" max="28" width="4.875" style="984" customWidth="1"/>
    <col min="29" max="29" width="7.5" style="946" customWidth="1"/>
    <col min="30" max="30" width="3.75" style="946" customWidth="1"/>
    <col min="31" max="31" width="7.5" style="946" customWidth="1"/>
    <col min="32" max="32" width="4.25" style="946" customWidth="1"/>
    <col min="33" max="33" width="7.625" style="8" customWidth="1"/>
    <col min="34" max="16384" width="9" style="8"/>
  </cols>
  <sheetData>
    <row r="1" spans="1:35" ht="28.5" customHeight="1">
      <c r="B1" s="1546" t="s">
        <v>135</v>
      </c>
      <c r="C1" s="1546"/>
      <c r="D1" s="1546"/>
      <c r="E1" s="1546"/>
      <c r="F1" s="1546"/>
      <c r="G1" s="1546"/>
      <c r="H1" s="1546"/>
      <c r="I1" s="1546"/>
      <c r="J1" s="1546"/>
      <c r="K1" s="1546"/>
      <c r="L1" s="1546"/>
      <c r="M1" s="1546"/>
      <c r="N1" s="1546"/>
      <c r="O1" s="1546"/>
      <c r="P1" s="1546"/>
      <c r="Q1" s="1546"/>
      <c r="R1" s="1546"/>
      <c r="S1" s="1546"/>
      <c r="T1" s="1546"/>
      <c r="U1" s="1546"/>
      <c r="V1" s="1546"/>
      <c r="W1" s="1546"/>
      <c r="X1" s="1546"/>
      <c r="Y1" s="1546"/>
      <c r="Z1" s="1546"/>
      <c r="AA1" s="2446"/>
      <c r="AB1" s="2446"/>
      <c r="AC1" s="2447"/>
      <c r="AD1" s="947"/>
      <c r="AE1" s="947"/>
      <c r="AF1" s="947"/>
      <c r="AG1" s="61"/>
    </row>
    <row r="2" spans="1:35" ht="51.75" customHeight="1">
      <c r="B2" s="2448" t="s">
        <v>136</v>
      </c>
      <c r="C2" s="2448"/>
      <c r="D2" s="2448"/>
      <c r="E2" s="2448"/>
      <c r="F2" s="2448"/>
      <c r="G2" s="2448"/>
      <c r="H2" s="2448"/>
      <c r="I2" s="2448"/>
      <c r="J2" s="2448"/>
      <c r="K2" s="2448"/>
      <c r="L2" s="2448"/>
      <c r="M2" s="2448"/>
      <c r="N2" s="2448"/>
      <c r="O2" s="2448"/>
      <c r="P2" s="2448"/>
      <c r="Q2" s="2448"/>
      <c r="R2" s="2448"/>
      <c r="S2" s="2448"/>
      <c r="T2" s="2448"/>
      <c r="U2" s="2448"/>
      <c r="V2" s="2448"/>
      <c r="W2" s="2448"/>
      <c r="X2" s="2448"/>
      <c r="Y2" s="2448"/>
      <c r="Z2" s="2448"/>
      <c r="AA2" s="2446"/>
      <c r="AB2" s="2446"/>
      <c r="AC2" s="2447"/>
      <c r="AD2" s="3121" t="s">
        <v>88</v>
      </c>
      <c r="AE2" s="3121"/>
      <c r="AF2" s="3122" t="s">
        <v>89</v>
      </c>
      <c r="AG2" s="3123"/>
    </row>
    <row r="3" spans="1:35" ht="32.25" customHeight="1">
      <c r="A3" s="970"/>
      <c r="B3" s="1424" t="s">
        <v>127</v>
      </c>
      <c r="C3" s="1425"/>
      <c r="D3" s="1395"/>
      <c r="E3" s="1396"/>
      <c r="F3" s="1397"/>
      <c r="G3" s="1393"/>
      <c r="H3" s="1819" t="str">
        <f>MENU!$AC$9</f>
        <v>Thứ 4,</v>
      </c>
      <c r="I3" s="3089" t="str">
        <f>MENU!$AD$9</f>
        <v>2024/05/22</v>
      </c>
      <c r="J3" s="3090"/>
      <c r="K3" s="3090"/>
      <c r="L3" s="3090"/>
      <c r="M3" s="944"/>
      <c r="N3" s="944"/>
      <c r="O3" s="944"/>
      <c r="P3" s="944"/>
      <c r="Q3" s="971"/>
      <c r="R3" s="971"/>
      <c r="S3" s="971"/>
      <c r="T3" s="971"/>
      <c r="U3" s="944"/>
      <c r="V3" s="944"/>
      <c r="W3" s="944"/>
      <c r="X3" s="944"/>
      <c r="Y3" s="971"/>
      <c r="Z3" s="971"/>
      <c r="AA3" s="985"/>
      <c r="AB3" s="985"/>
      <c r="AC3" s="947"/>
      <c r="AD3" s="3124" t="str">
        <f>MENU!AE6</f>
        <v>Mi</v>
      </c>
      <c r="AE3" s="3124"/>
      <c r="AF3" s="3128" t="s">
        <v>11</v>
      </c>
      <c r="AG3" s="3129"/>
    </row>
    <row r="4" spans="1:35" s="62" customFormat="1" ht="46.5" customHeight="1">
      <c r="A4" s="3181" t="s">
        <v>7</v>
      </c>
      <c r="B4" s="3097" t="s">
        <v>76</v>
      </c>
      <c r="C4" s="3098"/>
      <c r="D4" s="3098"/>
      <c r="E4" s="3099"/>
      <c r="F4" s="3133" t="s">
        <v>124</v>
      </c>
      <c r="G4" s="3059" t="s">
        <v>1310</v>
      </c>
      <c r="H4" s="3109" t="s">
        <v>1302</v>
      </c>
      <c r="I4" s="3064">
        <v>0.30208333333333331</v>
      </c>
      <c r="J4" s="3065"/>
      <c r="K4" s="3065"/>
      <c r="L4" s="3066"/>
      <c r="M4" s="3073" t="s">
        <v>939</v>
      </c>
      <c r="N4" s="3185"/>
      <c r="O4" s="3185"/>
      <c r="P4" s="3186"/>
      <c r="Q4" s="3064">
        <v>0.46875</v>
      </c>
      <c r="R4" s="3065"/>
      <c r="S4" s="3065"/>
      <c r="T4" s="3066"/>
      <c r="U4" s="3073" t="s">
        <v>939</v>
      </c>
      <c r="V4" s="3074"/>
      <c r="W4" s="3074"/>
      <c r="X4" s="3075"/>
      <c r="Y4" s="3064">
        <v>0.63541666666666663</v>
      </c>
      <c r="Z4" s="3065"/>
      <c r="AA4" s="3065"/>
      <c r="AB4" s="3066"/>
      <c r="AC4" s="3073" t="s">
        <v>939</v>
      </c>
      <c r="AD4" s="3074"/>
      <c r="AE4" s="3074"/>
      <c r="AF4" s="3075"/>
      <c r="AG4" s="3148" t="s">
        <v>38</v>
      </c>
    </row>
    <row r="5" spans="1:35" s="62" customFormat="1" ht="46.5" customHeight="1">
      <c r="A5" s="3181"/>
      <c r="B5" s="3100"/>
      <c r="C5" s="3101"/>
      <c r="D5" s="3101"/>
      <c r="E5" s="3102"/>
      <c r="F5" s="3134"/>
      <c r="G5" s="3060"/>
      <c r="H5" s="3110"/>
      <c r="I5" s="950" t="s">
        <v>129</v>
      </c>
      <c r="J5" s="3070" t="s">
        <v>1</v>
      </c>
      <c r="K5" s="3071"/>
      <c r="L5" s="3072"/>
      <c r="M5" s="907" t="s">
        <v>940</v>
      </c>
      <c r="N5" s="3076" t="s">
        <v>1</v>
      </c>
      <c r="O5" s="3076"/>
      <c r="P5" s="3077"/>
      <c r="Q5" s="950" t="s">
        <v>129</v>
      </c>
      <c r="R5" s="3070" t="s">
        <v>1</v>
      </c>
      <c r="S5" s="3071"/>
      <c r="T5" s="3072"/>
      <c r="U5" s="907" t="s">
        <v>129</v>
      </c>
      <c r="V5" s="3076" t="s">
        <v>1</v>
      </c>
      <c r="W5" s="3076"/>
      <c r="X5" s="3077"/>
      <c r="Y5" s="950" t="s">
        <v>129</v>
      </c>
      <c r="Z5" s="3070" t="s">
        <v>1</v>
      </c>
      <c r="AA5" s="3071"/>
      <c r="AB5" s="3072"/>
      <c r="AC5" s="907" t="s">
        <v>129</v>
      </c>
      <c r="AD5" s="3076" t="s">
        <v>1</v>
      </c>
      <c r="AE5" s="3076"/>
      <c r="AF5" s="3077"/>
      <c r="AG5" s="3149"/>
    </row>
    <row r="6" spans="1:35" ht="46.5" customHeight="1">
      <c r="A6" s="3206">
        <v>1</v>
      </c>
      <c r="B6" s="3223" t="s">
        <v>950</v>
      </c>
      <c r="C6" s="3224"/>
      <c r="D6" s="3093" t="s">
        <v>230</v>
      </c>
      <c r="E6" s="3094"/>
      <c r="F6" s="2426" t="s">
        <v>4</v>
      </c>
      <c r="G6" s="898" t="str">
        <f>'XM.FILE GOC'!$E$78</f>
        <v>40~60</v>
      </c>
      <c r="H6" s="2222" t="str">
        <f>'XM.FILE GOC'!$F$78</f>
        <v>(50±5)</v>
      </c>
      <c r="I6" s="2225">
        <f>'XM.FILE GOC'!I78</f>
        <v>47.701499999999996</v>
      </c>
      <c r="J6" s="972" t="s">
        <v>8</v>
      </c>
      <c r="K6" s="973">
        <f>'XM.FILE GOC'!L78</f>
        <v>35.66582450000007</v>
      </c>
      <c r="L6" s="974" t="s">
        <v>9</v>
      </c>
      <c r="M6" s="1580">
        <f>'3.XT-C KH'!M6</f>
        <v>48</v>
      </c>
      <c r="N6" s="909" t="s">
        <v>8</v>
      </c>
      <c r="O6" s="1595">
        <f>IF(M6=0,"",('XM.FILE GOC'!$G$78-M6)*15517/1000)</f>
        <v>31.033999999999999</v>
      </c>
      <c r="P6" s="910" t="s">
        <v>9</v>
      </c>
      <c r="Q6" s="2225">
        <f>'XM.FILE GOC'!P78</f>
        <v>48.675000000000004</v>
      </c>
      <c r="R6" s="972" t="s">
        <v>8</v>
      </c>
      <c r="S6" s="973">
        <f>'XM.FILE GOC'!S78</f>
        <v>20.560024999999932</v>
      </c>
      <c r="T6" s="974" t="s">
        <v>9</v>
      </c>
      <c r="U6" s="1580">
        <f>'3.XT-C KH'!U6</f>
        <v>52</v>
      </c>
      <c r="V6" s="909" t="s">
        <v>8</v>
      </c>
      <c r="W6" s="1595">
        <f>IF(U6=0,"",('XM.FILE GOC'!$G$78-U6)*15517/1000)</f>
        <v>-31.033999999999999</v>
      </c>
      <c r="X6" s="910" t="s">
        <v>9</v>
      </c>
      <c r="Y6" s="2225">
        <f>'XM.FILE GOC'!W78</f>
        <v>52.244500000000009</v>
      </c>
      <c r="Z6" s="972" t="s">
        <v>8</v>
      </c>
      <c r="AA6" s="973">
        <f>'XM.FILE GOC'!Z78</f>
        <v>0</v>
      </c>
      <c r="AB6" s="974" t="s">
        <v>9</v>
      </c>
      <c r="AC6" s="1580">
        <f>'3.XT-C KH'!AC6</f>
        <v>0</v>
      </c>
      <c r="AD6" s="909" t="s">
        <v>8</v>
      </c>
      <c r="AE6" s="1595" t="str">
        <f>IF(AC6=0,"",('XM.FILE GOC'!$G$78-AC6)*15517/1000)</f>
        <v/>
      </c>
      <c r="AF6" s="910" t="s">
        <v>9</v>
      </c>
      <c r="AG6" s="2411" t="s">
        <v>39</v>
      </c>
    </row>
    <row r="7" spans="1:35" ht="46.5" customHeight="1">
      <c r="A7" s="3222"/>
      <c r="B7" s="3225"/>
      <c r="C7" s="3226"/>
      <c r="D7" s="3093" t="s">
        <v>231</v>
      </c>
      <c r="E7" s="3094"/>
      <c r="F7" s="897"/>
      <c r="G7" s="898" t="s">
        <v>1271</v>
      </c>
      <c r="H7" s="2222"/>
      <c r="I7" s="2211"/>
      <c r="J7" s="59"/>
      <c r="K7" s="954">
        <f>K6/25*8.5</f>
        <v>12.126380330000025</v>
      </c>
      <c r="L7" s="588" t="s">
        <v>10</v>
      </c>
      <c r="M7" s="1580">
        <f>'3.XT-C KH'!M7</f>
        <v>0</v>
      </c>
      <c r="N7" s="911" t="s">
        <v>8</v>
      </c>
      <c r="O7" s="1593">
        <f>IF(M6=0,"",O6/25*8.5)</f>
        <v>10.55156</v>
      </c>
      <c r="P7" s="912" t="s">
        <v>10</v>
      </c>
      <c r="Q7" s="2211"/>
      <c r="R7" s="59"/>
      <c r="S7" s="954">
        <f>S6/25*8.5</f>
        <v>6.9904084999999769</v>
      </c>
      <c r="T7" s="588" t="s">
        <v>10</v>
      </c>
      <c r="U7" s="1580">
        <f>'3.XT-C KH'!U7</f>
        <v>0</v>
      </c>
      <c r="V7" s="911" t="s">
        <v>8</v>
      </c>
      <c r="W7" s="1593">
        <f>IF(U6=0,"",W6/25*8.5)</f>
        <v>-10.55156</v>
      </c>
      <c r="X7" s="912" t="s">
        <v>10</v>
      </c>
      <c r="Y7" s="2211"/>
      <c r="Z7" s="59"/>
      <c r="AA7" s="954">
        <f>AA6/25*8.5</f>
        <v>0</v>
      </c>
      <c r="AB7" s="588" t="s">
        <v>10</v>
      </c>
      <c r="AC7" s="1580">
        <f>'3.XT-C KH'!AC7</f>
        <v>0</v>
      </c>
      <c r="AD7" s="911" t="s">
        <v>8</v>
      </c>
      <c r="AE7" s="1593" t="str">
        <f>IF(AC6=0,"",AE6/25*8.5)</f>
        <v/>
      </c>
      <c r="AF7" s="912" t="s">
        <v>10</v>
      </c>
      <c r="AG7" s="2411"/>
    </row>
    <row r="8" spans="1:35" ht="46.5" customHeight="1">
      <c r="A8" s="3206">
        <v>2</v>
      </c>
      <c r="B8" s="3223" t="s">
        <v>951</v>
      </c>
      <c r="C8" s="3224"/>
      <c r="D8" s="3093" t="s">
        <v>230</v>
      </c>
      <c r="E8" s="3094"/>
      <c r="F8" s="2426" t="s">
        <v>4</v>
      </c>
      <c r="G8" s="898" t="str">
        <f>'XM.FILE GOC'!$E$80</f>
        <v>40~60</v>
      </c>
      <c r="H8" s="2222" t="str">
        <f>'XM.FILE GOC'!$F$80</f>
        <v>(50±5)</v>
      </c>
      <c r="I8" s="2225">
        <f>'XM.FILE GOC'!I80</f>
        <v>46.403500000000001</v>
      </c>
      <c r="J8" s="972" t="s">
        <v>8</v>
      </c>
      <c r="K8" s="973">
        <f>'XM.FILE GOC'!L80</f>
        <v>41.269837499999987</v>
      </c>
      <c r="L8" s="974" t="s">
        <v>9</v>
      </c>
      <c r="M8" s="1580">
        <f>'3.XT-C KH'!M8</f>
        <v>47</v>
      </c>
      <c r="N8" s="909" t="s">
        <v>8</v>
      </c>
      <c r="O8" s="1595">
        <f>IF(M8=0,"",('XM.FILE GOC'!$G$80-M8)*11475/1000)</f>
        <v>34.424999999999997</v>
      </c>
      <c r="P8" s="910" t="s">
        <v>9</v>
      </c>
      <c r="Q8" s="2225">
        <f>'XM.FILE GOC'!P80</f>
        <v>47.701499999999996</v>
      </c>
      <c r="R8" s="972" t="s">
        <v>8</v>
      </c>
      <c r="S8" s="973">
        <f>'XM.FILE GOC'!S80</f>
        <v>26.375287500000049</v>
      </c>
      <c r="T8" s="974" t="s">
        <v>9</v>
      </c>
      <c r="U8" s="1580">
        <f>'3.XT-C KH'!U8</f>
        <v>50</v>
      </c>
      <c r="V8" s="909" t="s">
        <v>8</v>
      </c>
      <c r="W8" s="1595">
        <f>IF(U8=0,"",('XM.FILE GOC'!$G$80-U8)*11475/1000)</f>
        <v>0</v>
      </c>
      <c r="X8" s="910" t="s">
        <v>9</v>
      </c>
      <c r="Y8" s="2225">
        <f>'XM.FILE GOC'!W80</f>
        <v>49.973000000000006</v>
      </c>
      <c r="Z8" s="972" t="s">
        <v>8</v>
      </c>
      <c r="AA8" s="973">
        <f>'XM.FILE GOC'!Z80</f>
        <v>0.30982499999993018</v>
      </c>
      <c r="AB8" s="974" t="s">
        <v>9</v>
      </c>
      <c r="AC8" s="1580">
        <f>'3.XT-C KH'!AC8</f>
        <v>0</v>
      </c>
      <c r="AD8" s="909" t="s">
        <v>8</v>
      </c>
      <c r="AE8" s="1595" t="str">
        <f>IF(AC8=0,"",('XM.FILE GOC'!$G$80-AC8)*11475/1000)</f>
        <v/>
      </c>
      <c r="AF8" s="910" t="s">
        <v>9</v>
      </c>
      <c r="AG8" s="2411" t="s">
        <v>39</v>
      </c>
    </row>
    <row r="9" spans="1:35" ht="46.5" customHeight="1">
      <c r="A9" s="3222"/>
      <c r="B9" s="3225"/>
      <c r="C9" s="3226"/>
      <c r="D9" s="3093" t="s">
        <v>231</v>
      </c>
      <c r="E9" s="3094"/>
      <c r="F9" s="897"/>
      <c r="G9" s="898" t="s">
        <v>1271</v>
      </c>
      <c r="H9" s="2222"/>
      <c r="I9" s="2211"/>
      <c r="J9" s="59"/>
      <c r="K9" s="954">
        <f>K8/25*8.5</f>
        <v>14.031744749999996</v>
      </c>
      <c r="L9" s="588" t="s">
        <v>10</v>
      </c>
      <c r="M9" s="1580">
        <f>'3.XT-C KH'!M9</f>
        <v>0</v>
      </c>
      <c r="N9" s="911" t="s">
        <v>8</v>
      </c>
      <c r="O9" s="1593">
        <f>IF(M8=0,"",O8/25*8.5)</f>
        <v>11.704499999999998</v>
      </c>
      <c r="P9" s="912" t="s">
        <v>10</v>
      </c>
      <c r="Q9" s="2211"/>
      <c r="R9" s="59"/>
      <c r="S9" s="954">
        <f>S8/25*8.5</f>
        <v>8.9675977500000172</v>
      </c>
      <c r="T9" s="588" t="s">
        <v>10</v>
      </c>
      <c r="U9" s="1580">
        <f>'3.XT-C KH'!U9</f>
        <v>0</v>
      </c>
      <c r="V9" s="911" t="s">
        <v>8</v>
      </c>
      <c r="W9" s="1593">
        <f>IF(U8=0,"",W8/25*8.5)</f>
        <v>0</v>
      </c>
      <c r="X9" s="912" t="s">
        <v>10</v>
      </c>
      <c r="Y9" s="2211"/>
      <c r="Z9" s="59"/>
      <c r="AA9" s="954">
        <f>AA8/25*8.5</f>
        <v>0.10534049999997626</v>
      </c>
      <c r="AB9" s="588" t="s">
        <v>10</v>
      </c>
      <c r="AC9" s="1580">
        <f>'3.XT-C KH'!AC9</f>
        <v>0</v>
      </c>
      <c r="AD9" s="911" t="s">
        <v>8</v>
      </c>
      <c r="AE9" s="1593" t="str">
        <f>IF(AC8=0,"",AE8/25*8.5)</f>
        <v/>
      </c>
      <c r="AF9" s="912" t="s">
        <v>10</v>
      </c>
      <c r="AG9" s="2411"/>
    </row>
    <row r="10" spans="1:35" ht="46.5" customHeight="1">
      <c r="A10" s="3206">
        <v>3</v>
      </c>
      <c r="B10" s="3091" t="s">
        <v>952</v>
      </c>
      <c r="C10" s="3092"/>
      <c r="D10" s="3095" t="s">
        <v>232</v>
      </c>
      <c r="E10" s="3096" t="s">
        <v>232</v>
      </c>
      <c r="F10" s="2426" t="s">
        <v>4</v>
      </c>
      <c r="G10" s="898" t="str">
        <f>'XM.FILE GOC'!$E$82</f>
        <v>50~70</v>
      </c>
      <c r="H10" s="2222" t="str">
        <f>'XM.FILE GOC'!$F$82</f>
        <v>(60±5)</v>
      </c>
      <c r="I10" s="2225">
        <f>'XM.FILE GOC'!I82</f>
        <v>58.443000000000005</v>
      </c>
      <c r="J10" s="59" t="s">
        <v>8</v>
      </c>
      <c r="K10" s="587">
        <f>'XM.FILE GOC'!L82</f>
        <v>12.767399999999959</v>
      </c>
      <c r="L10" s="588" t="s">
        <v>9</v>
      </c>
      <c r="M10" s="1580">
        <f>'3.XT-C KH'!M10</f>
        <v>58.2</v>
      </c>
      <c r="N10" s="909" t="s">
        <v>8</v>
      </c>
      <c r="O10" s="1595">
        <f>IF(M10=0,"",('XM.FILE GOC'!$G$82-M10)*8200/1000)</f>
        <v>14.759999999999977</v>
      </c>
      <c r="P10" s="910" t="s">
        <v>9</v>
      </c>
      <c r="Q10" s="2225">
        <f>'XM.FILE GOC'!P82</f>
        <v>58.211999999999996</v>
      </c>
      <c r="R10" s="59" t="s">
        <v>8</v>
      </c>
      <c r="S10" s="587">
        <f>'XM.FILE GOC'!S82</f>
        <v>14.661600000000032</v>
      </c>
      <c r="T10" s="588" t="s">
        <v>9</v>
      </c>
      <c r="U10" s="1580">
        <f>'3.XT-C KH'!U10</f>
        <v>63.2</v>
      </c>
      <c r="V10" s="909" t="s">
        <v>8</v>
      </c>
      <c r="W10" s="1595">
        <f>IF(U10=0,"",('XM.FILE GOC'!$G$82-U10)*8200/1000)</f>
        <v>-26.240000000000023</v>
      </c>
      <c r="X10" s="910" t="s">
        <v>9</v>
      </c>
      <c r="Y10" s="2225">
        <f>'XM.FILE GOC'!W82</f>
        <v>64.680000000000007</v>
      </c>
      <c r="Z10" s="59" t="s">
        <v>8</v>
      </c>
      <c r="AA10" s="587">
        <f>'XM.FILE GOC'!Z82</f>
        <v>0</v>
      </c>
      <c r="AB10" s="974" t="s">
        <v>9</v>
      </c>
      <c r="AC10" s="1580">
        <f>'3.XT-C KH'!AC10</f>
        <v>0</v>
      </c>
      <c r="AD10" s="909" t="s">
        <v>8</v>
      </c>
      <c r="AE10" s="1595" t="str">
        <f>IF(AC10=0,"",('XM.FILE GOC'!$G$82-AC10)*8200/1000)</f>
        <v/>
      </c>
      <c r="AF10" s="910" t="s">
        <v>9</v>
      </c>
      <c r="AG10" s="2411" t="s">
        <v>39</v>
      </c>
    </row>
    <row r="11" spans="1:35" ht="46.5" customHeight="1">
      <c r="A11" s="3207"/>
      <c r="B11" s="3092"/>
      <c r="C11" s="3092"/>
      <c r="D11" s="3095" t="s">
        <v>233</v>
      </c>
      <c r="E11" s="3096" t="s">
        <v>233</v>
      </c>
      <c r="F11" s="897"/>
      <c r="G11" s="898" t="s">
        <v>1272</v>
      </c>
      <c r="H11" s="2222"/>
      <c r="I11" s="2211"/>
      <c r="J11" s="59"/>
      <c r="K11" s="954">
        <f>K10/25*8</f>
        <v>4.085567999999987</v>
      </c>
      <c r="L11" s="588" t="s">
        <v>10</v>
      </c>
      <c r="M11" s="1580">
        <f>'3.XT-C KH'!M11</f>
        <v>0</v>
      </c>
      <c r="N11" s="911" t="s">
        <v>8</v>
      </c>
      <c r="O11" s="1593">
        <f>IF(M10=0,"",O10/25*8)</f>
        <v>4.7231999999999923</v>
      </c>
      <c r="P11" s="912" t="s">
        <v>10</v>
      </c>
      <c r="Q11" s="2211"/>
      <c r="R11" s="59"/>
      <c r="S11" s="954">
        <f>S10/25*8</f>
        <v>4.6917120000000105</v>
      </c>
      <c r="T11" s="588" t="s">
        <v>10</v>
      </c>
      <c r="U11" s="1580">
        <f>'3.XT-C KH'!U11</f>
        <v>0</v>
      </c>
      <c r="V11" s="911" t="s">
        <v>8</v>
      </c>
      <c r="W11" s="1593">
        <f>IF(U10=0,"",W10/25*8)</f>
        <v>-8.3968000000000078</v>
      </c>
      <c r="X11" s="912" t="s">
        <v>10</v>
      </c>
      <c r="Y11" s="2211"/>
      <c r="Z11" s="59"/>
      <c r="AA11" s="954">
        <f>AA10/25*8</f>
        <v>0</v>
      </c>
      <c r="AB11" s="588" t="s">
        <v>10</v>
      </c>
      <c r="AC11" s="1580">
        <f>'3.XT-C KH'!AC11</f>
        <v>0</v>
      </c>
      <c r="AD11" s="911" t="s">
        <v>8</v>
      </c>
      <c r="AE11" s="1593" t="str">
        <f>IF(AC10=0,"",AE10/25*8)</f>
        <v/>
      </c>
      <c r="AF11" s="912" t="s">
        <v>10</v>
      </c>
      <c r="AG11" s="2411"/>
    </row>
    <row r="12" spans="1:35" ht="46.5" customHeight="1">
      <c r="A12" s="3206">
        <v>4</v>
      </c>
      <c r="B12" s="3091" t="s">
        <v>953</v>
      </c>
      <c r="C12" s="3092"/>
      <c r="D12" s="3095" t="s">
        <v>232</v>
      </c>
      <c r="E12" s="3096" t="s">
        <v>232</v>
      </c>
      <c r="F12" s="2426" t="s">
        <v>4</v>
      </c>
      <c r="G12" s="898" t="str">
        <f>'XM.FILE GOC'!$E$84</f>
        <v>50~70</v>
      </c>
      <c r="H12" s="2222" t="str">
        <f>'XM.FILE GOC'!$F$84</f>
        <v>(60±5)</v>
      </c>
      <c r="I12" s="2225">
        <f>'XM.FILE GOC'!I84</f>
        <v>60.06</v>
      </c>
      <c r="J12" s="972" t="s">
        <v>8</v>
      </c>
      <c r="K12" s="973">
        <f>'XM.FILE GOC'!L84</f>
        <v>0</v>
      </c>
      <c r="L12" s="974" t="s">
        <v>9</v>
      </c>
      <c r="M12" s="1580">
        <f>'3.XT-C KH'!M12</f>
        <v>0</v>
      </c>
      <c r="N12" s="909" t="s">
        <v>8</v>
      </c>
      <c r="O12" s="1596" t="str">
        <f>IF(M12=0,"",('XM.FILE GOC'!$G$84-M12)*8668/1000)</f>
        <v/>
      </c>
      <c r="P12" s="910" t="s">
        <v>9</v>
      </c>
      <c r="Q12" s="2225">
        <f>'XM.FILE GOC'!P84</f>
        <v>59.598000000000006</v>
      </c>
      <c r="R12" s="972" t="s">
        <v>8</v>
      </c>
      <c r="S12" s="973">
        <f>'XM.FILE GOC'!S84</f>
        <v>3.4845359999999475</v>
      </c>
      <c r="T12" s="974" t="s">
        <v>9</v>
      </c>
      <c r="U12" s="1580">
        <f>'3.XT-C KH'!U12</f>
        <v>60.5</v>
      </c>
      <c r="V12" s="909" t="s">
        <v>8</v>
      </c>
      <c r="W12" s="1596">
        <f>IF(U12=0,"",('XM.FILE GOC'!$G$84-U12)*8668/1000)</f>
        <v>-4.3339999999999996</v>
      </c>
      <c r="X12" s="910" t="s">
        <v>9</v>
      </c>
      <c r="Y12" s="2225">
        <f>'XM.FILE GOC'!W84</f>
        <v>60.983999999999995</v>
      </c>
      <c r="Z12" s="972" t="s">
        <v>8</v>
      </c>
      <c r="AA12" s="973">
        <f>'XM.FILE GOC'!Z84</f>
        <v>0</v>
      </c>
      <c r="AB12" s="974" t="s">
        <v>9</v>
      </c>
      <c r="AC12" s="1580">
        <f>'3.XT-C KH'!AC12</f>
        <v>0</v>
      </c>
      <c r="AD12" s="909" t="s">
        <v>8</v>
      </c>
      <c r="AE12" s="1596" t="str">
        <f>IF(AC12=0,"",('XM.FILE GOC'!$G$84-AC12)*8668/1000)</f>
        <v/>
      </c>
      <c r="AF12" s="910" t="s">
        <v>9</v>
      </c>
      <c r="AG12" s="2411" t="s">
        <v>39</v>
      </c>
    </row>
    <row r="13" spans="1:35" ht="46.5" customHeight="1">
      <c r="A13" s="3207"/>
      <c r="B13" s="3092"/>
      <c r="C13" s="3092"/>
      <c r="D13" s="3095" t="s">
        <v>233</v>
      </c>
      <c r="E13" s="3096" t="s">
        <v>233</v>
      </c>
      <c r="F13" s="897"/>
      <c r="G13" s="898" t="s">
        <v>1272</v>
      </c>
      <c r="H13" s="2222"/>
      <c r="I13" s="2211"/>
      <c r="J13" s="59"/>
      <c r="K13" s="954">
        <f>K12/25*8</f>
        <v>0</v>
      </c>
      <c r="L13" s="588" t="s">
        <v>10</v>
      </c>
      <c r="M13" s="1580">
        <f>'3.XT-C KH'!M13</f>
        <v>0</v>
      </c>
      <c r="N13" s="911" t="s">
        <v>8</v>
      </c>
      <c r="O13" s="1593" t="str">
        <f>IF(M12=0,"",O12/25*8)</f>
        <v/>
      </c>
      <c r="P13" s="912" t="s">
        <v>10</v>
      </c>
      <c r="Q13" s="2211"/>
      <c r="R13" s="59"/>
      <c r="S13" s="954">
        <f>S12/25*8</f>
        <v>1.1150515199999831</v>
      </c>
      <c r="T13" s="588" t="s">
        <v>10</v>
      </c>
      <c r="U13" s="1580">
        <f>'3.XT-C KH'!U13</f>
        <v>0</v>
      </c>
      <c r="V13" s="911" t="s">
        <v>8</v>
      </c>
      <c r="W13" s="1593">
        <f>IF(U12=0,"",W12/25*8)</f>
        <v>-1.3868799999999999</v>
      </c>
      <c r="X13" s="912" t="s">
        <v>10</v>
      </c>
      <c r="Y13" s="2211"/>
      <c r="Z13" s="59"/>
      <c r="AA13" s="954">
        <f>AA12/25*8</f>
        <v>0</v>
      </c>
      <c r="AB13" s="588" t="s">
        <v>10</v>
      </c>
      <c r="AC13" s="1580">
        <f>'3.XT-C KH'!AC13</f>
        <v>0</v>
      </c>
      <c r="AD13" s="911" t="s">
        <v>8</v>
      </c>
      <c r="AE13" s="1593" t="str">
        <f>IF(AC12=0,"",AE12/25*8)</f>
        <v/>
      </c>
      <c r="AF13" s="912" t="s">
        <v>10</v>
      </c>
      <c r="AG13" s="2411"/>
    </row>
    <row r="14" spans="1:35" ht="46.5" customHeight="1">
      <c r="A14" s="3206">
        <v>5</v>
      </c>
      <c r="B14" s="3208" t="s">
        <v>954</v>
      </c>
      <c r="C14" s="3210" t="s">
        <v>955</v>
      </c>
      <c r="D14" s="3211"/>
      <c r="E14" s="3212"/>
      <c r="F14" s="633" t="s">
        <v>4</v>
      </c>
      <c r="G14" s="898" t="str">
        <f>'XM.FILE GOC'!$E$86</f>
        <v>135~ 145</v>
      </c>
      <c r="H14" s="2222" t="str">
        <f>'XM.FILE GOC'!$F$86</f>
        <v>(140±5)</v>
      </c>
      <c r="I14" s="2227">
        <f>'XM.FILE GOC'!I86</f>
        <v>138</v>
      </c>
      <c r="J14" s="972" t="s">
        <v>8</v>
      </c>
      <c r="K14" s="973">
        <f>'XM.FILE GOC'!L86</f>
        <v>106.13200000000001</v>
      </c>
      <c r="L14" s="974" t="s">
        <v>9</v>
      </c>
      <c r="M14" s="1580">
        <f>'3.XT-C KH'!M14</f>
        <v>140</v>
      </c>
      <c r="N14" s="909" t="s">
        <v>8</v>
      </c>
      <c r="O14" s="1596">
        <f>IF(M14=0,"",('XM.FILE GOC'!$G$86-M14)*53066/1000)</f>
        <v>0</v>
      </c>
      <c r="P14" s="910" t="s">
        <v>9</v>
      </c>
      <c r="Q14" s="2227">
        <f>'XM.FILE GOC'!P86</f>
        <v>140</v>
      </c>
      <c r="R14" s="972" t="s">
        <v>8</v>
      </c>
      <c r="S14" s="973">
        <f>'XM.FILE GOC'!S86</f>
        <v>0</v>
      </c>
      <c r="T14" s="974" t="s">
        <v>9</v>
      </c>
      <c r="U14" s="1580">
        <f>'3.XT-C KH'!U14</f>
        <v>0</v>
      </c>
      <c r="V14" s="909" t="s">
        <v>8</v>
      </c>
      <c r="W14" s="1596" t="str">
        <f>IF(U14=0,"",('XM.FILE GOC'!$G$86-U14)*53066/1000)</f>
        <v/>
      </c>
      <c r="X14" s="910" t="s">
        <v>9</v>
      </c>
      <c r="Y14" s="2227">
        <f>'XM.FILE GOC'!W86</f>
        <v>140</v>
      </c>
      <c r="Z14" s="972" t="s">
        <v>8</v>
      </c>
      <c r="AA14" s="973">
        <f>'XM.FILE GOC'!Z86</f>
        <v>0</v>
      </c>
      <c r="AB14" s="974" t="s">
        <v>9</v>
      </c>
      <c r="AC14" s="1580">
        <f>'3.XT-C KH'!AC14</f>
        <v>0</v>
      </c>
      <c r="AD14" s="909" t="s">
        <v>8</v>
      </c>
      <c r="AE14" s="1596" t="str">
        <f>IF(AC14=0,"",('XM.FILE GOC'!$G$86-AC14)*53066/1000)</f>
        <v/>
      </c>
      <c r="AF14" s="910" t="s">
        <v>9</v>
      </c>
      <c r="AG14" s="2411" t="s">
        <v>40</v>
      </c>
    </row>
    <row r="15" spans="1:35" ht="46.5" customHeight="1">
      <c r="A15" s="3207"/>
      <c r="B15" s="3815"/>
      <c r="C15" s="3816" t="s">
        <v>956</v>
      </c>
      <c r="D15" s="3817"/>
      <c r="E15" s="3818"/>
      <c r="F15" s="2424" t="s">
        <v>4</v>
      </c>
      <c r="G15" s="1584" t="str">
        <f>'XM.FILE GOC'!$E$87</f>
        <v>7~10</v>
      </c>
      <c r="H15" s="2236" t="str">
        <f>'XM.FILE GOC'!$F$87</f>
        <v>(8.5±1)</v>
      </c>
      <c r="I15" s="2296">
        <f>'XM.FILE GOC'!I87</f>
        <v>8.4500000000000011</v>
      </c>
      <c r="J15" s="2297" t="s">
        <v>8</v>
      </c>
      <c r="K15" s="2298">
        <f>'XM.FILE GOC'!L87</f>
        <v>2.6532999999999434</v>
      </c>
      <c r="L15" s="2299" t="s">
        <v>9</v>
      </c>
      <c r="M15" s="2117">
        <f>'3.XT-C KH'!M15</f>
        <v>8.5</v>
      </c>
      <c r="N15" s="2300" t="s">
        <v>8</v>
      </c>
      <c r="O15" s="2301">
        <f>IF(M15=0,"",('XM.FILE GOC'!$G$87-M15)*53066/1000)</f>
        <v>0</v>
      </c>
      <c r="P15" s="2302" t="s">
        <v>9</v>
      </c>
      <c r="Q15" s="2296">
        <f>'XM.FILE GOC'!P87</f>
        <v>8.4500000000000011</v>
      </c>
      <c r="R15" s="2297" t="s">
        <v>8</v>
      </c>
      <c r="S15" s="2298">
        <f>'XM.FILE GOC'!S87</f>
        <v>2.6532999999999434</v>
      </c>
      <c r="T15" s="2299" t="s">
        <v>9</v>
      </c>
      <c r="U15" s="2117">
        <f>'3.XT-C KH'!U15</f>
        <v>8.5</v>
      </c>
      <c r="V15" s="2300" t="s">
        <v>8</v>
      </c>
      <c r="W15" s="2301">
        <f>IF(U15=0,"",('XM.FILE GOC'!$G$87-U15)*53066/1000)</f>
        <v>0</v>
      </c>
      <c r="X15" s="2302" t="s">
        <v>9</v>
      </c>
      <c r="Y15" s="2296">
        <f>'XM.FILE GOC'!W87</f>
        <v>8.3849999999999998</v>
      </c>
      <c r="Z15" s="2297" t="s">
        <v>8</v>
      </c>
      <c r="AA15" s="2298">
        <f>'XM.FILE GOC'!Z87</f>
        <v>6.1025900000000108</v>
      </c>
      <c r="AB15" s="2302" t="s">
        <v>9</v>
      </c>
      <c r="AC15" s="2117">
        <f>'3.XT-C KH'!AC15</f>
        <v>8.6</v>
      </c>
      <c r="AD15" s="2300" t="s">
        <v>8</v>
      </c>
      <c r="AE15" s="2301">
        <f>IF(AC15=0,"",('XM.FILE GOC'!$G$87-AC15)*53066/1000)</f>
        <v>-5.3065999999999809</v>
      </c>
      <c r="AF15" s="2302" t="s">
        <v>9</v>
      </c>
      <c r="AG15" s="2410" t="s">
        <v>41</v>
      </c>
    </row>
    <row r="16" spans="1:35" s="7" customFormat="1" ht="46.5" customHeight="1">
      <c r="A16" s="3808">
        <v>6</v>
      </c>
      <c r="B16" s="3216" t="s">
        <v>37</v>
      </c>
      <c r="C16" s="3217"/>
      <c r="D16" s="3217"/>
      <c r="E16" s="3220"/>
      <c r="F16" s="633" t="s">
        <v>3</v>
      </c>
      <c r="G16" s="898" t="str">
        <f>'XM.FILE GOC'!$E$88</f>
        <v>5~8</v>
      </c>
      <c r="H16" s="2222" t="str">
        <f>'XM.FILE GOC'!$F$88</f>
        <v>(6±1)</v>
      </c>
      <c r="I16" s="2229">
        <f>'XM.FILE GOC'!I88</f>
        <v>6.4957600000000006</v>
      </c>
      <c r="J16" s="972"/>
      <c r="K16" s="973">
        <f>'XM.FILE GOC'!L88</f>
        <v>0</v>
      </c>
      <c r="L16" s="974" t="s">
        <v>10</v>
      </c>
      <c r="M16" s="1580">
        <f>'3.XT-C KH'!M16</f>
        <v>0</v>
      </c>
      <c r="N16" s="911" t="s">
        <v>8</v>
      </c>
      <c r="O16" s="1595" t="str">
        <f>IF(M16=0,"",('XM.FILE GOC'!$G$88-M16)*3360/85)</f>
        <v/>
      </c>
      <c r="P16" s="912" t="s">
        <v>10</v>
      </c>
      <c r="Q16" s="595">
        <f>'XM.FILE GOC'!P88</f>
        <v>6.4745750000000006</v>
      </c>
      <c r="R16" s="972"/>
      <c r="S16" s="973">
        <f>'XM.FILE GOC'!S88</f>
        <v>0</v>
      </c>
      <c r="T16" s="974" t="s">
        <v>10</v>
      </c>
      <c r="U16" s="1580">
        <f>'3.XT-C KH'!U16</f>
        <v>0</v>
      </c>
      <c r="V16" s="911" t="s">
        <v>8</v>
      </c>
      <c r="W16" s="1595" t="str">
        <f>IF(U16=0,"",('XM.FILE GOC'!$G$88-U16)*3360/85)</f>
        <v/>
      </c>
      <c r="X16" s="912" t="s">
        <v>10</v>
      </c>
      <c r="Y16" s="595">
        <f>'XM.FILE GOC'!W88</f>
        <v>6.1568000000000005</v>
      </c>
      <c r="Z16" s="972"/>
      <c r="AA16" s="973">
        <f>'XM.FILE GOC'!Z88</f>
        <v>0</v>
      </c>
      <c r="AB16" s="974" t="s">
        <v>10</v>
      </c>
      <c r="AC16" s="908">
        <f>'3.XT-C KH'!AC16</f>
        <v>0</v>
      </c>
      <c r="AD16" s="911" t="s">
        <v>8</v>
      </c>
      <c r="AE16" s="1595" t="str">
        <f>IF(AC16=0,"",('XM.FILE GOC'!$G$88-AC16)*3360/85)</f>
        <v/>
      </c>
      <c r="AF16" s="912" t="s">
        <v>10</v>
      </c>
      <c r="AG16" s="2317" t="s">
        <v>42</v>
      </c>
      <c r="AI16" s="1578"/>
    </row>
    <row r="17" spans="1:35" ht="46.5" customHeight="1">
      <c r="A17" s="3809"/>
      <c r="B17" s="3819"/>
      <c r="C17" s="3820"/>
      <c r="D17" s="3820"/>
      <c r="E17" s="3821"/>
      <c r="F17" s="633" t="s">
        <v>5</v>
      </c>
      <c r="G17" s="898" t="str">
        <f>'XM.FILE GOC'!$E$89</f>
        <v>2.0~2.4</v>
      </c>
      <c r="H17" s="2222" t="str">
        <f>'XM.FILE GOC'!$F$89</f>
        <v>(2.2±0.1)</v>
      </c>
      <c r="I17" s="2250">
        <f>'XM.FILE GOC'!I89</f>
        <v>2.2000000000000002</v>
      </c>
      <c r="J17" s="1375"/>
      <c r="K17" s="1376"/>
      <c r="L17" s="1377"/>
      <c r="M17" s="1580"/>
      <c r="N17" s="913"/>
      <c r="O17" s="937"/>
      <c r="P17" s="914"/>
      <c r="Q17" s="2248">
        <f>'XM.FILE GOC'!P89</f>
        <v>2.1800000000000002</v>
      </c>
      <c r="R17" s="1375"/>
      <c r="S17" s="1376"/>
      <c r="T17" s="1377"/>
      <c r="U17" s="1580"/>
      <c r="V17" s="913"/>
      <c r="W17" s="937"/>
      <c r="X17" s="914"/>
      <c r="Y17" s="2248">
        <f>'XM.FILE GOC'!W89</f>
        <v>2.2000000000000002</v>
      </c>
      <c r="Z17" s="972"/>
      <c r="AA17" s="973"/>
      <c r="AB17" s="974"/>
      <c r="AC17" s="908"/>
      <c r="AD17" s="913"/>
      <c r="AE17" s="937"/>
      <c r="AF17" s="914"/>
      <c r="AG17" s="2333"/>
    </row>
    <row r="18" spans="1:35" ht="46.5" customHeight="1">
      <c r="A18" s="2477"/>
      <c r="B18" s="3200" t="s">
        <v>82</v>
      </c>
      <c r="C18" s="3201"/>
      <c r="D18" s="3201"/>
      <c r="E18" s="3202"/>
      <c r="F18" s="633" t="s">
        <v>6</v>
      </c>
      <c r="G18" s="898" t="str">
        <f>'XM.FILE GOC'!$E$90</f>
        <v>40~50</v>
      </c>
      <c r="H18" s="2222" t="str">
        <f>'XM.FILE GOC'!$F$90</f>
        <v>(45±5)</v>
      </c>
      <c r="I18" s="1754">
        <f>'XM.FILE GOC'!I90</f>
        <v>0.435</v>
      </c>
      <c r="J18" s="972" t="s">
        <v>8</v>
      </c>
      <c r="K18" s="973">
        <f>'XM.FILE GOC'!L90</f>
        <v>48.510000000000041</v>
      </c>
      <c r="L18" s="974" t="s">
        <v>10</v>
      </c>
      <c r="M18" s="915">
        <f>IF(I18&gt;44.99%,"",'3.XT-C KH'!M18)</f>
        <v>0.44500000000000001</v>
      </c>
      <c r="N18" s="909" t="s">
        <v>8</v>
      </c>
      <c r="O18" s="937">
        <f>IF(M18="","",('XM.FILE GOC'!$G$90-M18)*3234)</f>
        <v>16.170000000000016</v>
      </c>
      <c r="P18" s="910" t="s">
        <v>10</v>
      </c>
      <c r="Q18" s="1754">
        <f>'XM.FILE GOC'!P90</f>
        <v>0.44800000000000001</v>
      </c>
      <c r="R18" s="972" t="s">
        <v>8</v>
      </c>
      <c r="S18" s="973">
        <f>'XM.FILE GOC'!S91</f>
        <v>604.98</v>
      </c>
      <c r="T18" s="974" t="s">
        <v>10</v>
      </c>
      <c r="U18" s="915">
        <f>IF(Q18&gt;44.99%,"",'3.XT-C KH'!U18)</f>
        <v>0.46</v>
      </c>
      <c r="V18" s="909" t="s">
        <v>8</v>
      </c>
      <c r="W18" s="937">
        <f>IF(U18="","",('XM.FILE GOC'!$G$90-U18)*3234)</f>
        <v>-32.340000000000032</v>
      </c>
      <c r="X18" s="910" t="s">
        <v>10</v>
      </c>
      <c r="Y18" s="1754">
        <f>'XM.FILE GOC'!W90</f>
        <v>0.46500000000000002</v>
      </c>
      <c r="Z18" s="972" t="s">
        <v>8</v>
      </c>
      <c r="AA18" s="973">
        <f>'XM.FILE GOC'!Z91</f>
        <v>604.98</v>
      </c>
      <c r="AB18" s="974" t="s">
        <v>10</v>
      </c>
      <c r="AC18" s="915" t="str">
        <f>IF(Y18&gt;44.99%,"",'3.XT-C KH'!AC18)</f>
        <v/>
      </c>
      <c r="AD18" s="909" t="s">
        <v>8</v>
      </c>
      <c r="AE18" s="937" t="str">
        <f>IF(AC18="","",('XM.FILE GOC'!$G$90-AC18)*3234)</f>
        <v/>
      </c>
      <c r="AF18" s="910" t="s">
        <v>10</v>
      </c>
      <c r="AG18" s="2479"/>
    </row>
    <row r="19" spans="1:35" ht="46.5" customHeight="1">
      <c r="A19" s="2418">
        <v>7</v>
      </c>
      <c r="B19" s="3213" t="s">
        <v>1612</v>
      </c>
      <c r="C19" s="3214"/>
      <c r="D19" s="3214"/>
      <c r="E19" s="3215"/>
      <c r="F19" s="633" t="s">
        <v>6</v>
      </c>
      <c r="G19" s="898" t="str">
        <f>'XM.FILE GOC'!$E$91</f>
        <v>15~25</v>
      </c>
      <c r="H19" s="2222" t="str">
        <f>'XM.FILE GOC'!$F$91</f>
        <v>(18±2)</v>
      </c>
      <c r="I19" s="2747">
        <f>'XM.FILE GOC'!I91</f>
        <v>0</v>
      </c>
      <c r="J19" s="972" t="s">
        <v>8</v>
      </c>
      <c r="K19" s="973">
        <f>'XM.FILE GOC'!L91</f>
        <v>604.98</v>
      </c>
      <c r="L19" s="974" t="s">
        <v>10</v>
      </c>
      <c r="M19" s="915">
        <f>IF(I19&gt;7.99%,"",'3.XT-C KH'!M19)</f>
        <v>0</v>
      </c>
      <c r="N19" s="909" t="s">
        <v>8</v>
      </c>
      <c r="O19" s="1595">
        <f>IF(M19="","",('XM.FILE GOC'!$G$91-M19)*3361)</f>
        <v>604.98</v>
      </c>
      <c r="P19" s="910" t="s">
        <v>10</v>
      </c>
      <c r="Q19" s="2747">
        <f>'XM.FILE GOC'!P91</f>
        <v>0</v>
      </c>
      <c r="R19" s="972" t="s">
        <v>8</v>
      </c>
      <c r="S19" s="973">
        <f>'XM.FILE GOC'!S91</f>
        <v>604.98</v>
      </c>
      <c r="T19" s="974" t="s">
        <v>10</v>
      </c>
      <c r="U19" s="915">
        <f>IF(Q19&gt;7.99%,"",'3.XT-C KH'!U19)</f>
        <v>0</v>
      </c>
      <c r="V19" s="909" t="s">
        <v>8</v>
      </c>
      <c r="W19" s="1595">
        <f>IF(U19="","",('XM.FILE GOC'!$G$91-U19)*3361)</f>
        <v>604.98</v>
      </c>
      <c r="X19" s="910" t="s">
        <v>10</v>
      </c>
      <c r="Y19" s="2747">
        <f>'XM.FILE GOC'!W91</f>
        <v>0</v>
      </c>
      <c r="Z19" s="972" t="s">
        <v>8</v>
      </c>
      <c r="AA19" s="973">
        <f>'XM.FILE GOC'!Z91</f>
        <v>604.98</v>
      </c>
      <c r="AB19" s="974" t="s">
        <v>10</v>
      </c>
      <c r="AC19" s="915">
        <f>IF(Y19&gt;7.99%,"",'3.XT-C KH'!AC19)</f>
        <v>0</v>
      </c>
      <c r="AD19" s="909" t="s">
        <v>8</v>
      </c>
      <c r="AE19" s="1595">
        <f>IF(AC19="","",('XM.FILE GOC'!$G$91-AC19)*3361)</f>
        <v>604.98</v>
      </c>
      <c r="AF19" s="910" t="s">
        <v>10</v>
      </c>
      <c r="AG19" s="2422" t="s">
        <v>43</v>
      </c>
    </row>
    <row r="20" spans="1:35" ht="46.5" customHeight="1">
      <c r="A20" s="2475"/>
      <c r="B20" s="3213" t="s">
        <v>1613</v>
      </c>
      <c r="C20" s="3214"/>
      <c r="D20" s="3214"/>
      <c r="E20" s="3215"/>
      <c r="F20" s="633" t="s">
        <v>6</v>
      </c>
      <c r="G20" s="898" t="str">
        <f>'XM.FILE GOC'!$E$92</f>
        <v>40~50</v>
      </c>
      <c r="H20" s="2222" t="str">
        <f>'XM.FILE GOC'!$F$92</f>
        <v>(45±5)</v>
      </c>
      <c r="I20" s="1754">
        <f>'XM.FILE GOC'!I92</f>
        <v>0.46081249999999996</v>
      </c>
      <c r="J20" s="972" t="s">
        <v>8</v>
      </c>
      <c r="K20" s="973">
        <f>'XM.FILE GOC'!L92</f>
        <v>0</v>
      </c>
      <c r="L20" s="974" t="s">
        <v>10</v>
      </c>
      <c r="M20" s="915" t="str">
        <f>IF(I20&gt;44.99%,"",'3.XT-C KH'!M20)</f>
        <v/>
      </c>
      <c r="N20" s="909" t="s">
        <v>8</v>
      </c>
      <c r="O20" s="1595" t="str">
        <f>IF(M20="","",('XM.FILE GOC'!$G$92-M20)*3361)</f>
        <v/>
      </c>
      <c r="P20" s="910" t="s">
        <v>10</v>
      </c>
      <c r="Q20" s="1754">
        <f>'XM.FILE GOC'!P92</f>
        <v>0.45624999999999999</v>
      </c>
      <c r="R20" s="972" t="s">
        <v>8</v>
      </c>
      <c r="S20" s="973">
        <f>'XM.FILE GOC'!S92</f>
        <v>0</v>
      </c>
      <c r="T20" s="974" t="s">
        <v>10</v>
      </c>
      <c r="U20" s="915" t="str">
        <f>IF(Q20&gt;44.99%,"",'3.XT-C KH'!U20)</f>
        <v/>
      </c>
      <c r="V20" s="909" t="s">
        <v>8</v>
      </c>
      <c r="W20" s="1595" t="str">
        <f>IF(U20="","",('XM.FILE GOC'!$G$92-U20)*3361)</f>
        <v/>
      </c>
      <c r="X20" s="910" t="s">
        <v>10</v>
      </c>
      <c r="Y20" s="1754">
        <f>'XM.FILE GOC'!W92</f>
        <v>0.46993750000000001</v>
      </c>
      <c r="Z20" s="972" t="s">
        <v>8</v>
      </c>
      <c r="AA20" s="973">
        <f>'XM.FILE GOC'!Z92</f>
        <v>0</v>
      </c>
      <c r="AB20" s="974" t="s">
        <v>10</v>
      </c>
      <c r="AC20" s="915" t="str">
        <f>IF(Y20&gt;44.99%,"",'3.XT-C KH'!AC20)</f>
        <v/>
      </c>
      <c r="AD20" s="909" t="s">
        <v>8</v>
      </c>
      <c r="AE20" s="1595" t="str">
        <f>IF(AC20="","",('XM.FILE GOC'!$G$92-AC20)*3361)</f>
        <v/>
      </c>
      <c r="AF20" s="910" t="s">
        <v>10</v>
      </c>
      <c r="AG20" s="2480"/>
    </row>
    <row r="21" spans="1:35" ht="46.5" customHeight="1">
      <c r="A21" s="2418">
        <v>8</v>
      </c>
      <c r="B21" s="3203" t="s">
        <v>1614</v>
      </c>
      <c r="C21" s="3204"/>
      <c r="D21" s="3204"/>
      <c r="E21" s="3205"/>
      <c r="F21" s="633" t="s">
        <v>6</v>
      </c>
      <c r="G21" s="898" t="str">
        <f>'XM.FILE GOC'!$E$93</f>
        <v>40~50</v>
      </c>
      <c r="H21" s="2222" t="str">
        <f>'XM.FILE GOC'!$F$93</f>
        <v>(45±5)</v>
      </c>
      <c r="I21" s="1754">
        <f>'XM.FILE GOC'!I93</f>
        <v>0.46993750000000001</v>
      </c>
      <c r="J21" s="972" t="s">
        <v>8</v>
      </c>
      <c r="K21" s="973">
        <f>'XM.FILE GOC'!L93</f>
        <v>0</v>
      </c>
      <c r="L21" s="974" t="s">
        <v>10</v>
      </c>
      <c r="M21" s="915" t="str">
        <f>IF(I21&gt;44.99%,"",'3.XT-C KH'!M21)</f>
        <v/>
      </c>
      <c r="N21" s="911" t="s">
        <v>8</v>
      </c>
      <c r="O21" s="1595" t="str">
        <f>IF(M21="","",('XM.FILE GOC'!$G$93-M21)*10509)</f>
        <v/>
      </c>
      <c r="P21" s="912" t="s">
        <v>10</v>
      </c>
      <c r="Q21" s="1754">
        <f>'XM.FILE GOC'!P93</f>
        <v>0.46993750000000001</v>
      </c>
      <c r="R21" s="972" t="s">
        <v>8</v>
      </c>
      <c r="S21" s="973">
        <f>'XM.FILE GOC'!S93</f>
        <v>0</v>
      </c>
      <c r="T21" s="974" t="s">
        <v>10</v>
      </c>
      <c r="U21" s="915" t="str">
        <f>IF(Q21&gt;44.99%,"",'3.XT-C KH'!U21)</f>
        <v/>
      </c>
      <c r="V21" s="911" t="s">
        <v>8</v>
      </c>
      <c r="W21" s="1595" t="str">
        <f>IF(U21="","",('XM.FILE GOC'!$G$93-U21)*10509)</f>
        <v/>
      </c>
      <c r="X21" s="912" t="s">
        <v>10</v>
      </c>
      <c r="Y21" s="1754">
        <f>'XM.FILE GOC'!W93</f>
        <v>0.47906250000000006</v>
      </c>
      <c r="Z21" s="972" t="s">
        <v>8</v>
      </c>
      <c r="AA21" s="973">
        <f>'XM.FILE GOC'!Z93</f>
        <v>0</v>
      </c>
      <c r="AB21" s="974" t="s">
        <v>10</v>
      </c>
      <c r="AC21" s="915" t="str">
        <f>IF(Y21&gt;44.99%,"",'3.XT-C KH'!AC21)</f>
        <v/>
      </c>
      <c r="AD21" s="911" t="s">
        <v>8</v>
      </c>
      <c r="AE21" s="1595" t="str">
        <f>IF(AC21="","",('XM.FILE GOC'!$G$93-AC21)*10509)</f>
        <v/>
      </c>
      <c r="AF21" s="912" t="s">
        <v>10</v>
      </c>
      <c r="AG21" s="69" t="s">
        <v>43</v>
      </c>
    </row>
    <row r="22" spans="1:35" ht="46.5" customHeight="1">
      <c r="A22" s="2418">
        <v>10</v>
      </c>
      <c r="B22" s="3200" t="s">
        <v>957</v>
      </c>
      <c r="C22" s="3201" t="s">
        <v>957</v>
      </c>
      <c r="D22" s="3201" t="s">
        <v>957</v>
      </c>
      <c r="E22" s="3202" t="s">
        <v>957</v>
      </c>
      <c r="F22" s="633" t="s">
        <v>6</v>
      </c>
      <c r="G22" s="898" t="str">
        <f>'XM.FILE GOC'!$E$94</f>
        <v>(1±0.4)=0.6~1.4</v>
      </c>
      <c r="H22" s="2222" t="str">
        <f>'XM.FILE GOC'!$F$94</f>
        <v>(1±0.4)</v>
      </c>
      <c r="I22" s="2230">
        <f>'XM.FILE GOC'!I94</f>
        <v>9.7999999999999997E-3</v>
      </c>
      <c r="J22" s="972" t="s">
        <v>8</v>
      </c>
      <c r="K22" s="976">
        <f>'XM.FILE GOC'!L94</f>
        <v>0.57218543046357762</v>
      </c>
      <c r="L22" s="977" t="s">
        <v>10</v>
      </c>
      <c r="M22" s="2427">
        <f>IF(I22&gt;0.99%,"",'3.XT-C KH'!M22)</f>
        <v>0.01</v>
      </c>
      <c r="N22" s="2300" t="s">
        <v>8</v>
      </c>
      <c r="O22" s="2428">
        <f>IF(M22="","",('XM.FILE GOC'!$G$94-M22)*2808)</f>
        <v>0</v>
      </c>
      <c r="P22" s="2302" t="s">
        <v>10</v>
      </c>
      <c r="Q22" s="2230">
        <f>'XM.FILE GOC'!P94</f>
        <v>0.01</v>
      </c>
      <c r="R22" s="972" t="s">
        <v>8</v>
      </c>
      <c r="S22" s="976">
        <f>'XM.FILE GOC'!S94</f>
        <v>0</v>
      </c>
      <c r="T22" s="977" t="s">
        <v>10</v>
      </c>
      <c r="U22" s="2427" t="str">
        <f>IF(Q22&gt;0.99%,"",'3.XT-C KH'!U22)</f>
        <v/>
      </c>
      <c r="V22" s="2300" t="s">
        <v>8</v>
      </c>
      <c r="W22" s="2428" t="str">
        <f>IF(U22="","",('XM.FILE GOC'!$G$94-U22)*2808)</f>
        <v/>
      </c>
      <c r="X22" s="2302" t="s">
        <v>10</v>
      </c>
      <c r="Y22" s="2230">
        <f>'XM.FILE GOC'!W94</f>
        <v>1.0200000000000001E-2</v>
      </c>
      <c r="Z22" s="972" t="s">
        <v>8</v>
      </c>
      <c r="AA22" s="976">
        <f>'XM.FILE GOC'!Z94</f>
        <v>0</v>
      </c>
      <c r="AB22" s="977" t="s">
        <v>10</v>
      </c>
      <c r="AC22" s="2427" t="str">
        <f>IF(Y22&gt;0.99%,"",'3.XT-C KH'!AC22)</f>
        <v/>
      </c>
      <c r="AD22" s="2300" t="s">
        <v>8</v>
      </c>
      <c r="AE22" s="2428" t="str">
        <f>IF(AC22="","",('XM.FILE GOC'!$G$94-AC22)*2808)</f>
        <v/>
      </c>
      <c r="AF22" s="2302" t="s">
        <v>10</v>
      </c>
      <c r="AG22" s="2411" t="s">
        <v>44</v>
      </c>
    </row>
    <row r="23" spans="1:35" ht="46.5" customHeight="1">
      <c r="A23" s="2418">
        <v>11</v>
      </c>
      <c r="B23" s="3083" t="s">
        <v>74</v>
      </c>
      <c r="C23" s="3084"/>
      <c r="D23" s="3084"/>
      <c r="E23" s="3085"/>
      <c r="F23" s="2" t="s">
        <v>3</v>
      </c>
      <c r="G23" s="898" t="str">
        <f>'XM.GUI MAIL'!$E$95</f>
        <v>5~8</v>
      </c>
      <c r="H23" s="2222" t="str">
        <f>'XM.GUI MAIL'!$F$95</f>
        <v>(6±0.5)</v>
      </c>
      <c r="I23" s="1840">
        <f>'XM.FILE GOC'!I95</f>
        <v>5.76</v>
      </c>
      <c r="J23" s="972" t="s">
        <v>8</v>
      </c>
      <c r="K23" s="973">
        <f>'XM.FILE GOC'!L95</f>
        <v>8.9860042105263229</v>
      </c>
      <c r="L23" s="977" t="s">
        <v>10</v>
      </c>
      <c r="M23" s="2258">
        <f>IF(I23&gt;5.99,"",'3.XT-C KH'!M23)</f>
        <v>5.9</v>
      </c>
      <c r="N23" s="909" t="s">
        <v>8</v>
      </c>
      <c r="O23" s="937">
        <f>IF(M23="","",('XM.FILE GOC'!$G$95-M23)*4042/95*1.028)</f>
        <v>4.373869473684195</v>
      </c>
      <c r="P23" s="910" t="s">
        <v>10</v>
      </c>
      <c r="Q23" s="1840">
        <f>'XM.FILE GOC'!P95</f>
        <v>5.9</v>
      </c>
      <c r="R23" s="972" t="s">
        <v>8</v>
      </c>
      <c r="S23" s="973">
        <f>'XM.FILE GOC'!S95</f>
        <v>3.7441684210526183</v>
      </c>
      <c r="T23" s="977" t="s">
        <v>10</v>
      </c>
      <c r="U23" s="2258">
        <f>IF(Q23&gt;5.99,"",'3.XT-C KH'!U23)</f>
        <v>6</v>
      </c>
      <c r="V23" s="909" t="s">
        <v>8</v>
      </c>
      <c r="W23" s="937">
        <f>IF(U23="","",('XM.FILE GOC'!$G$95-U23)*4042/95*1.028)</f>
        <v>0</v>
      </c>
      <c r="X23" s="910" t="s">
        <v>10</v>
      </c>
      <c r="Y23" s="1840">
        <f>'XM.FILE GOC'!W95</f>
        <v>6.1</v>
      </c>
      <c r="Z23" s="972" t="s">
        <v>8</v>
      </c>
      <c r="AA23" s="973">
        <f>'XM.FILE GOC'!Z95</f>
        <v>0</v>
      </c>
      <c r="AB23" s="977" t="s">
        <v>10</v>
      </c>
      <c r="AC23" s="2258" t="str">
        <f>IF(Y23&gt;5.99,"",'3.XT-C KH'!AC23)</f>
        <v/>
      </c>
      <c r="AD23" s="909" t="s">
        <v>8</v>
      </c>
      <c r="AE23" s="937" t="str">
        <f>IF(AC23="","",('XM.FILE GOC'!$G$95-AC23)*4042/95*1.028)</f>
        <v/>
      </c>
      <c r="AF23" s="910" t="s">
        <v>10</v>
      </c>
      <c r="AG23" s="2409"/>
    </row>
    <row r="24" spans="1:35" ht="46.5" customHeight="1">
      <c r="A24" s="2418">
        <v>12</v>
      </c>
      <c r="B24" s="3086"/>
      <c r="C24" s="3087"/>
      <c r="D24" s="3087"/>
      <c r="E24" s="3088"/>
      <c r="F24" s="2" t="s">
        <v>5</v>
      </c>
      <c r="G24" s="898" t="str">
        <f>'XM.GUI MAIL'!$E$96</f>
        <v>1.8~2.4</v>
      </c>
      <c r="H24" s="2222" t="str">
        <f>'XM.GUI MAIL'!$F$96</f>
        <v>(2.1±0.1)</v>
      </c>
      <c r="I24" s="1768">
        <f>'XM.FILE GOC'!I96</f>
        <v>2.2000000000000002</v>
      </c>
      <c r="J24" s="972" t="s">
        <v>8</v>
      </c>
      <c r="K24" s="976">
        <f>'XM.FILE GOC'!L96</f>
        <v>0</v>
      </c>
      <c r="L24" s="977" t="s">
        <v>10</v>
      </c>
      <c r="M24" s="916"/>
      <c r="N24" s="948"/>
      <c r="O24" s="1597"/>
      <c r="P24" s="918"/>
      <c r="Q24" s="1768">
        <f>'XM.FILE GOC'!P96</f>
        <v>2.1800000000000002</v>
      </c>
      <c r="R24" s="972" t="s">
        <v>8</v>
      </c>
      <c r="S24" s="976">
        <f>'XM.FILE GOC'!S96</f>
        <v>0</v>
      </c>
      <c r="T24" s="977" t="s">
        <v>10</v>
      </c>
      <c r="U24" s="916"/>
      <c r="V24" s="948"/>
      <c r="W24" s="1597"/>
      <c r="X24" s="918"/>
      <c r="Y24" s="1768">
        <f>'XM.FILE GOC'!W96</f>
        <v>2.12</v>
      </c>
      <c r="Z24" s="972" t="s">
        <v>8</v>
      </c>
      <c r="AA24" s="976">
        <f>'XM.FILE GOC'!Z96</f>
        <v>0</v>
      </c>
      <c r="AB24" s="977" t="s">
        <v>10</v>
      </c>
      <c r="AC24" s="916"/>
      <c r="AD24" s="948"/>
      <c r="AE24" s="1597"/>
      <c r="AF24" s="918"/>
      <c r="AG24" s="2409"/>
    </row>
    <row r="25" spans="1:35" ht="36" customHeight="1">
      <c r="A25" s="2418"/>
      <c r="B25" s="2449" t="s">
        <v>2</v>
      </c>
      <c r="C25" s="2450"/>
      <c r="D25" s="2450"/>
      <c r="E25" s="2450"/>
      <c r="F25" s="2450"/>
      <c r="G25" s="2450"/>
      <c r="H25" s="2450"/>
      <c r="I25" s="2450"/>
      <c r="J25" s="2450"/>
      <c r="K25" s="2450"/>
      <c r="L25" s="2450"/>
      <c r="M25" s="2450"/>
      <c r="N25" s="2450"/>
      <c r="O25" s="2450"/>
      <c r="P25" s="2450"/>
      <c r="Q25" s="2450"/>
      <c r="R25" s="2450"/>
      <c r="S25" s="2450"/>
      <c r="T25" s="2450"/>
      <c r="U25" s="2450"/>
      <c r="V25" s="2450"/>
      <c r="W25" s="2450"/>
      <c r="X25" s="2450"/>
      <c r="Y25" s="2450"/>
      <c r="Z25" s="2450"/>
      <c r="AA25" s="2450"/>
      <c r="AB25" s="2450"/>
      <c r="AC25" s="2450"/>
      <c r="AD25" s="2450"/>
      <c r="AE25" s="2450"/>
      <c r="AF25" s="2450"/>
      <c r="AG25" s="2451"/>
    </row>
    <row r="26" spans="1:35" ht="54" customHeight="1">
      <c r="A26" s="2418" t="s">
        <v>7</v>
      </c>
      <c r="B26" s="3167" t="s">
        <v>958</v>
      </c>
      <c r="C26" s="3168"/>
      <c r="D26" s="3168"/>
      <c r="E26" s="3169"/>
      <c r="F26" s="2414" t="s">
        <v>959</v>
      </c>
      <c r="G26" s="2414" t="s">
        <v>1310</v>
      </c>
      <c r="H26" s="2224" t="s">
        <v>1302</v>
      </c>
      <c r="I26" s="3158" t="s">
        <v>960</v>
      </c>
      <c r="J26" s="3159"/>
      <c r="K26" s="3160" t="s">
        <v>961</v>
      </c>
      <c r="L26" s="3159"/>
      <c r="M26" s="919"/>
      <c r="N26" s="920"/>
      <c r="O26" s="920"/>
      <c r="P26" s="921"/>
      <c r="Q26" s="3160" t="s">
        <v>960</v>
      </c>
      <c r="R26" s="3159"/>
      <c r="S26" s="3160" t="s">
        <v>961</v>
      </c>
      <c r="T26" s="3159"/>
      <c r="U26" s="919"/>
      <c r="V26" s="920"/>
      <c r="W26" s="920"/>
      <c r="X26" s="921"/>
      <c r="Y26" s="3160" t="s">
        <v>960</v>
      </c>
      <c r="Z26" s="3159"/>
      <c r="AA26" s="3160" t="s">
        <v>961</v>
      </c>
      <c r="AB26" s="3159"/>
      <c r="AC26" s="919"/>
      <c r="AD26" s="920"/>
      <c r="AE26" s="920"/>
      <c r="AF26" s="921"/>
      <c r="AG26" s="10"/>
    </row>
    <row r="27" spans="1:35" ht="44.25" customHeight="1">
      <c r="A27" s="2418">
        <v>1</v>
      </c>
      <c r="B27" s="3167" t="s">
        <v>962</v>
      </c>
      <c r="C27" s="3168"/>
      <c r="D27" s="3168"/>
      <c r="E27" s="3169"/>
      <c r="F27" s="979" t="s">
        <v>963</v>
      </c>
      <c r="G27" s="898" t="str">
        <f>'XM.FILE GOC'!$E$105</f>
        <v>50~70</v>
      </c>
      <c r="H27" s="2222" t="str">
        <f>'XM.FILE GOC'!$F$105</f>
        <v>(60±5)</v>
      </c>
      <c r="I27" s="3113">
        <f>'3.XT-C KH'!I27:J27</f>
        <v>60</v>
      </c>
      <c r="J27" s="3112"/>
      <c r="K27" s="3112">
        <f>'3.XT-C KH'!K27:L27</f>
        <v>60</v>
      </c>
      <c r="L27" s="3112"/>
      <c r="M27" s="922"/>
      <c r="N27" s="923"/>
      <c r="O27" s="923"/>
      <c r="P27" s="924"/>
      <c r="Q27" s="3112">
        <f>'3.XT-C KH'!Q27:R27</f>
        <v>60</v>
      </c>
      <c r="R27" s="3112"/>
      <c r="S27" s="3112">
        <f>'3.XT-C KH'!S27:T27</f>
        <v>60</v>
      </c>
      <c r="T27" s="3112"/>
      <c r="U27" s="922"/>
      <c r="V27" s="923"/>
      <c r="W27" s="923"/>
      <c r="X27" s="924"/>
      <c r="Y27" s="3112">
        <f>'3.XT-C KH'!Y27:Z27</f>
        <v>60</v>
      </c>
      <c r="Z27" s="3112"/>
      <c r="AA27" s="3112">
        <f>'3.XT-C KH'!AA27:AB27</f>
        <v>60</v>
      </c>
      <c r="AB27" s="3112"/>
      <c r="AC27" s="922"/>
      <c r="AD27" s="923"/>
      <c r="AE27" s="923"/>
      <c r="AF27" s="924"/>
      <c r="AG27" s="2421"/>
    </row>
    <row r="28" spans="1:35" ht="44.25" customHeight="1">
      <c r="A28" s="2418">
        <v>2</v>
      </c>
      <c r="B28" s="3167" t="s">
        <v>964</v>
      </c>
      <c r="C28" s="3168"/>
      <c r="D28" s="3168"/>
      <c r="E28" s="3169"/>
      <c r="F28" s="979" t="s">
        <v>963</v>
      </c>
      <c r="G28" s="898" t="str">
        <f>'XM.FILE GOC'!$E$106</f>
        <v>50~70</v>
      </c>
      <c r="H28" s="2222" t="str">
        <f>'XM.FILE GOC'!$F$106</f>
        <v>(60±5)</v>
      </c>
      <c r="I28" s="3113">
        <f>'3.XT-C KH'!I28:J28</f>
        <v>61</v>
      </c>
      <c r="J28" s="3112"/>
      <c r="K28" s="3112">
        <f>'3.XT-C KH'!K28:L28</f>
        <v>60</v>
      </c>
      <c r="L28" s="3112"/>
      <c r="M28" s="922"/>
      <c r="N28" s="923"/>
      <c r="O28" s="923"/>
      <c r="P28" s="924"/>
      <c r="Q28" s="3112">
        <f>'3.XT-C KH'!Q28:R28</f>
        <v>60</v>
      </c>
      <c r="R28" s="3112"/>
      <c r="S28" s="3112">
        <f>'3.XT-C KH'!S28:T28</f>
        <v>60</v>
      </c>
      <c r="T28" s="3112"/>
      <c r="U28" s="922"/>
      <c r="V28" s="923"/>
      <c r="W28" s="923"/>
      <c r="X28" s="924"/>
      <c r="Y28" s="3112">
        <f>'3.XT-C KH'!Y28:Z28</f>
        <v>62</v>
      </c>
      <c r="Z28" s="3112"/>
      <c r="AA28" s="3112">
        <f>'3.XT-C KH'!AA28:AB28</f>
        <v>61</v>
      </c>
      <c r="AB28" s="3112"/>
      <c r="AC28" s="922"/>
      <c r="AD28" s="923"/>
      <c r="AE28" s="923"/>
      <c r="AF28" s="924"/>
      <c r="AG28" s="2421"/>
    </row>
    <row r="29" spans="1:35" ht="44.25" customHeight="1">
      <c r="A29" s="2418">
        <v>3</v>
      </c>
      <c r="B29" s="3167" t="s">
        <v>965</v>
      </c>
      <c r="C29" s="3168"/>
      <c r="D29" s="3168"/>
      <c r="E29" s="3169"/>
      <c r="F29" s="979" t="s">
        <v>963</v>
      </c>
      <c r="G29" s="898" t="str">
        <f>'XM.FILE GOC'!$E$107</f>
        <v>50~70</v>
      </c>
      <c r="H29" s="2222" t="str">
        <f>'XM.FILE GOC'!$F$107</f>
        <v>(60±5)</v>
      </c>
      <c r="I29" s="3113">
        <f>'3.XT-C KH'!I29:J29</f>
        <v>60</v>
      </c>
      <c r="J29" s="3112"/>
      <c r="K29" s="3112">
        <f>'3.XT-C KH'!K29:L29</f>
        <v>60</v>
      </c>
      <c r="L29" s="3112"/>
      <c r="M29" s="922"/>
      <c r="N29" s="923"/>
      <c r="O29" s="923"/>
      <c r="P29" s="924"/>
      <c r="Q29" s="3112">
        <f>'3.XT-C KH'!Q29:R29</f>
        <v>60</v>
      </c>
      <c r="R29" s="3112"/>
      <c r="S29" s="3112">
        <f>'3.XT-C KH'!S29:T29</f>
        <v>61</v>
      </c>
      <c r="T29" s="3112"/>
      <c r="U29" s="922"/>
      <c r="V29" s="923"/>
      <c r="W29" s="923"/>
      <c r="X29" s="924"/>
      <c r="Y29" s="3112">
        <f>'3.XT-C KH'!Y29:Z29</f>
        <v>60</v>
      </c>
      <c r="Z29" s="3112"/>
      <c r="AA29" s="3112">
        <f>'3.XT-C KH'!AA29:AB29</f>
        <v>60</v>
      </c>
      <c r="AB29" s="3112"/>
      <c r="AC29" s="922"/>
      <c r="AD29" s="923"/>
      <c r="AE29" s="923"/>
      <c r="AF29" s="924"/>
      <c r="AG29" s="2421"/>
    </row>
    <row r="30" spans="1:35" ht="44.25" customHeight="1">
      <c r="A30" s="2418">
        <v>4</v>
      </c>
      <c r="B30" s="3167" t="s">
        <v>966</v>
      </c>
      <c r="C30" s="3168"/>
      <c r="D30" s="3168"/>
      <c r="E30" s="3169"/>
      <c r="F30" s="979" t="s">
        <v>963</v>
      </c>
      <c r="G30" s="898" t="str">
        <f>'XM.FILE GOC'!$E$108</f>
        <v>50~70</v>
      </c>
      <c r="H30" s="2222" t="str">
        <f>'XM.FILE GOC'!$F$108</f>
        <v>(60±5)</v>
      </c>
      <c r="I30" s="3113">
        <f>'3.XT-C KH'!I30:J30</f>
        <v>61</v>
      </c>
      <c r="J30" s="3112"/>
      <c r="K30" s="3112">
        <f>'3.XT-C KH'!K30:L30</f>
        <v>60</v>
      </c>
      <c r="L30" s="3112"/>
      <c r="M30" s="922"/>
      <c r="N30" s="923"/>
      <c r="O30" s="923"/>
      <c r="P30" s="924"/>
      <c r="Q30" s="3112">
        <f>'3.XT-C KH'!Q30:R30</f>
        <v>59</v>
      </c>
      <c r="R30" s="3112"/>
      <c r="S30" s="3112">
        <f>'3.XT-C KH'!S30:T30</f>
        <v>60</v>
      </c>
      <c r="T30" s="3112"/>
      <c r="U30" s="922"/>
      <c r="V30" s="923"/>
      <c r="W30" s="923"/>
      <c r="X30" s="924"/>
      <c r="Y30" s="3112">
        <f>'3.XT-C KH'!Y30:Z30</f>
        <v>60</v>
      </c>
      <c r="Z30" s="3112"/>
      <c r="AA30" s="3112">
        <f>'3.XT-C KH'!AA30:AB30</f>
        <v>60</v>
      </c>
      <c r="AB30" s="3112"/>
      <c r="AC30" s="922"/>
      <c r="AD30" s="923"/>
      <c r="AE30" s="923"/>
      <c r="AF30" s="924"/>
      <c r="AG30" s="2421"/>
    </row>
    <row r="31" spans="1:35" ht="44.25" customHeight="1">
      <c r="A31" s="1589">
        <v>5</v>
      </c>
      <c r="B31" s="3810" t="s">
        <v>967</v>
      </c>
      <c r="C31" s="3811"/>
      <c r="D31" s="3811"/>
      <c r="E31" s="3812"/>
      <c r="F31" s="1583" t="s">
        <v>963</v>
      </c>
      <c r="G31" s="1584" t="str">
        <f>'XM.FILE GOC'!$E$109</f>
        <v>22~28</v>
      </c>
      <c r="H31" s="2236" t="str">
        <f>'XM.FILE GOC'!$F$109</f>
        <v>(25±3)</v>
      </c>
      <c r="I31" s="3813">
        <f>'3.XT-C KH'!I31:J31</f>
        <v>26</v>
      </c>
      <c r="J31" s="3814"/>
      <c r="K31" s="3814">
        <f>'3.XT-C KH'!K31:L31</f>
        <v>26</v>
      </c>
      <c r="L31" s="3814"/>
      <c r="M31" s="922"/>
      <c r="N31" s="923"/>
      <c r="O31" s="923"/>
      <c r="P31" s="924"/>
      <c r="Q31" s="3814">
        <f>'3.XT-C KH'!Q31:R31</f>
        <v>26</v>
      </c>
      <c r="R31" s="3814"/>
      <c r="S31" s="3814">
        <f>'3.XT-C KH'!S31:T31</f>
        <v>26</v>
      </c>
      <c r="T31" s="3814"/>
      <c r="U31" s="922"/>
      <c r="V31" s="923"/>
      <c r="W31" s="923"/>
      <c r="X31" s="924"/>
      <c r="Y31" s="3814">
        <f>'3.XT-C KH'!Y31:Z31</f>
        <v>26</v>
      </c>
      <c r="Z31" s="3814"/>
      <c r="AA31" s="3814">
        <f>'3.XT-C KH'!AA31:AB31</f>
        <v>26</v>
      </c>
      <c r="AB31" s="3814"/>
      <c r="AC31" s="922"/>
      <c r="AD31" s="923"/>
      <c r="AE31" s="923"/>
      <c r="AF31" s="924"/>
      <c r="AG31" s="74"/>
    </row>
    <row r="32" spans="1:35" ht="44.25" customHeight="1">
      <c r="A32" s="1582">
        <v>6</v>
      </c>
      <c r="B32" s="3167" t="s">
        <v>968</v>
      </c>
      <c r="C32" s="3168"/>
      <c r="D32" s="3168"/>
      <c r="E32" s="3169"/>
      <c r="F32" s="979" t="s">
        <v>963</v>
      </c>
      <c r="G32" s="898" t="str">
        <f>'XM.FILE GOC'!$E$110</f>
        <v>30~40</v>
      </c>
      <c r="H32" s="2222" t="str">
        <f>'XM.FILE GOC'!$F$110</f>
        <v>(34±3)</v>
      </c>
      <c r="I32" s="3113">
        <f>'3.XT-C KH'!I32:J32</f>
        <v>32</v>
      </c>
      <c r="J32" s="3112"/>
      <c r="K32" s="3112">
        <f>'3.XT-C KH'!K32:L32</f>
        <v>33</v>
      </c>
      <c r="L32" s="3112"/>
      <c r="M32" s="922"/>
      <c r="N32" s="923"/>
      <c r="O32" s="923"/>
      <c r="P32" s="924"/>
      <c r="Q32" s="3112">
        <f>'3.XT-C KH'!Q32:R32</f>
        <v>33</v>
      </c>
      <c r="R32" s="3112"/>
      <c r="S32" s="3112">
        <f>'3.XT-C KH'!S32:T32</f>
        <v>33</v>
      </c>
      <c r="T32" s="3112"/>
      <c r="U32" s="922"/>
      <c r="V32" s="923"/>
      <c r="W32" s="923"/>
      <c r="X32" s="924"/>
      <c r="Y32" s="3112">
        <f>'3.XT-C KH'!Y32:Z32</f>
        <v>33</v>
      </c>
      <c r="Z32" s="3112"/>
      <c r="AA32" s="3112">
        <f>'3.XT-C KH'!AA32:AB32</f>
        <v>32</v>
      </c>
      <c r="AB32" s="3112"/>
      <c r="AC32" s="923"/>
      <c r="AD32" s="923"/>
      <c r="AE32" s="923"/>
      <c r="AF32" s="924"/>
      <c r="AG32" s="1588"/>
      <c r="AI32" s="1578"/>
    </row>
    <row r="33" spans="1:55" ht="44.25" customHeight="1">
      <c r="A33" s="1590">
        <v>7</v>
      </c>
      <c r="B33" s="3803" t="s">
        <v>969</v>
      </c>
      <c r="C33" s="3804"/>
      <c r="D33" s="3804"/>
      <c r="E33" s="3805"/>
      <c r="F33" s="1585" t="s">
        <v>963</v>
      </c>
      <c r="G33" s="1586" t="str">
        <f>'XM.FILE GOC'!$E$111</f>
        <v>55~65</v>
      </c>
      <c r="H33" s="2238" t="str">
        <f>'XM.FILE GOC'!$F$111</f>
        <v>(60±5)</v>
      </c>
      <c r="I33" s="3806">
        <f>'3.XT-C KH'!I33</f>
        <v>55</v>
      </c>
      <c r="J33" s="3807"/>
      <c r="K33" s="3807">
        <f>'3.XT-C KH'!K33</f>
        <v>56</v>
      </c>
      <c r="L33" s="3807"/>
      <c r="M33" s="922"/>
      <c r="N33" s="923"/>
      <c r="O33" s="923"/>
      <c r="P33" s="924"/>
      <c r="Q33" s="3807">
        <f>'3.XT-C KH'!Q33</f>
        <v>55</v>
      </c>
      <c r="R33" s="3807"/>
      <c r="S33" s="3807">
        <f>'3.XT-C KH'!S33</f>
        <v>56</v>
      </c>
      <c r="T33" s="3807"/>
      <c r="U33" s="922"/>
      <c r="V33" s="923"/>
      <c r="W33" s="923"/>
      <c r="X33" s="924"/>
      <c r="Y33" s="3807">
        <f>'3.XT-C KH'!Y33</f>
        <v>56</v>
      </c>
      <c r="Z33" s="3807"/>
      <c r="AA33" s="3807">
        <f>'3.XT-C KH'!AA33</f>
        <v>55</v>
      </c>
      <c r="AB33" s="3807"/>
      <c r="AC33" s="922"/>
      <c r="AD33" s="923"/>
      <c r="AE33" s="923"/>
      <c r="AF33" s="924"/>
      <c r="AG33" s="1587"/>
    </row>
    <row r="34" spans="1:55" ht="44.25" customHeight="1">
      <c r="A34" s="2418">
        <v>8</v>
      </c>
      <c r="B34" s="3167" t="s">
        <v>970</v>
      </c>
      <c r="C34" s="3168"/>
      <c r="D34" s="3168"/>
      <c r="E34" s="3169"/>
      <c r="F34" s="979" t="s">
        <v>963</v>
      </c>
      <c r="G34" s="898" t="str">
        <f>'XM.FILE GOC'!$E$112</f>
        <v>80~100</v>
      </c>
      <c r="H34" s="2222" t="str">
        <f>'XM.FILE GOC'!$F$112</f>
        <v>(90±5)</v>
      </c>
      <c r="I34" s="3159" t="str">
        <f>'3.XT-C KH'!I34</f>
        <v>\</v>
      </c>
      <c r="J34" s="3191"/>
      <c r="K34" s="3112">
        <f>'3.XT-C KH'!K34</f>
        <v>90</v>
      </c>
      <c r="L34" s="3112"/>
      <c r="M34" s="922"/>
      <c r="N34" s="923"/>
      <c r="O34" s="923"/>
      <c r="P34" s="924"/>
      <c r="Q34" s="3191" t="str">
        <f>'3.XT-C KH'!Q34</f>
        <v>\</v>
      </c>
      <c r="R34" s="3191"/>
      <c r="S34" s="3112">
        <f>'3.XT-C KH'!S34</f>
        <v>91</v>
      </c>
      <c r="T34" s="3112"/>
      <c r="U34" s="922"/>
      <c r="V34" s="923"/>
      <c r="W34" s="923"/>
      <c r="X34" s="924"/>
      <c r="Y34" s="3191" t="str">
        <f>'3.XT-C KH'!Y34</f>
        <v>\</v>
      </c>
      <c r="Z34" s="3191"/>
      <c r="AA34" s="3112">
        <f>'3.XT-C KH'!AA34</f>
        <v>90</v>
      </c>
      <c r="AB34" s="3112"/>
      <c r="AC34" s="922"/>
      <c r="AD34" s="923"/>
      <c r="AE34" s="923"/>
      <c r="AF34" s="924"/>
      <c r="AG34" s="2423"/>
      <c r="AH34" s="62"/>
      <c r="AI34" s="62"/>
      <c r="AJ34" s="62"/>
      <c r="AK34" s="62"/>
      <c r="AL34" s="62"/>
      <c r="AM34" s="62"/>
      <c r="AN34" s="62"/>
      <c r="AO34" s="62"/>
      <c r="AP34" s="62"/>
      <c r="AQ34" s="62"/>
      <c r="AR34" s="62"/>
      <c r="AS34" s="62"/>
      <c r="AT34" s="62"/>
      <c r="AU34" s="62"/>
      <c r="AV34" s="62"/>
      <c r="AW34" s="62"/>
      <c r="AX34" s="62"/>
      <c r="AY34" s="62"/>
      <c r="AZ34" s="62"/>
      <c r="BA34" s="62"/>
      <c r="BB34" s="62"/>
      <c r="BC34" s="62"/>
    </row>
    <row r="35" spans="1:55" ht="44.25" customHeight="1">
      <c r="A35" s="2418">
        <v>9</v>
      </c>
      <c r="B35" s="3192" t="s">
        <v>1287</v>
      </c>
      <c r="C35" s="3193"/>
      <c r="D35" s="3193"/>
      <c r="E35" s="3194"/>
      <c r="F35" s="979" t="s">
        <v>963</v>
      </c>
      <c r="G35" s="898" t="str">
        <f>'XM.FILE GOC'!$E$113</f>
        <v>40~60</v>
      </c>
      <c r="H35" s="2222" t="str">
        <f>'XM.FILE GOC'!$F$113</f>
        <v>(50±10)</v>
      </c>
      <c r="I35" s="3190">
        <f>'3.XT-C KH'!I35</f>
        <v>58</v>
      </c>
      <c r="J35" s="3188"/>
      <c r="K35" s="3188">
        <f>'3.XT-C KH'!K35</f>
        <v>58</v>
      </c>
      <c r="L35" s="3188"/>
      <c r="M35" s="922"/>
      <c r="N35" s="923"/>
      <c r="O35" s="923"/>
      <c r="P35" s="924"/>
      <c r="Q35" s="3188">
        <f>'3.XT-C KH'!Q35</f>
        <v>60</v>
      </c>
      <c r="R35" s="3188"/>
      <c r="S35" s="3188">
        <f>'3.XT-C KH'!S35</f>
        <v>59</v>
      </c>
      <c r="T35" s="3188"/>
      <c r="U35" s="922"/>
      <c r="V35" s="923"/>
      <c r="W35" s="923"/>
      <c r="X35" s="924"/>
      <c r="Y35" s="3188">
        <f>'3.XT-C KH'!Y35</f>
        <v>59</v>
      </c>
      <c r="Z35" s="3188"/>
      <c r="AA35" s="3188">
        <f>'3.XT-C KH'!AA35</f>
        <v>60</v>
      </c>
      <c r="AB35" s="3188"/>
      <c r="AC35" s="922"/>
      <c r="AD35" s="923"/>
      <c r="AE35" s="923"/>
      <c r="AF35" s="924"/>
      <c r="AG35" s="2423"/>
      <c r="AH35" s="923"/>
      <c r="AI35" s="3822"/>
      <c r="AJ35" s="3822"/>
      <c r="AK35" s="3822"/>
      <c r="AL35" s="3822"/>
      <c r="AM35" s="923"/>
      <c r="AN35" s="923"/>
      <c r="AO35" s="923"/>
      <c r="AP35" s="923"/>
      <c r="AQ35" s="3822"/>
      <c r="AR35" s="3822"/>
      <c r="AS35" s="3822"/>
      <c r="AT35" s="3822"/>
      <c r="AU35" s="923"/>
      <c r="AV35" s="923"/>
      <c r="AW35" s="923"/>
      <c r="AX35" s="923"/>
      <c r="AY35" s="3822"/>
      <c r="AZ35" s="3822"/>
      <c r="BA35" s="3822"/>
      <c r="BB35" s="3822"/>
      <c r="BC35" s="62"/>
    </row>
    <row r="36" spans="1:55" ht="44.25" customHeight="1">
      <c r="A36" s="2418">
        <v>10</v>
      </c>
      <c r="B36" s="3192" t="s">
        <v>1290</v>
      </c>
      <c r="C36" s="3193"/>
      <c r="D36" s="3193"/>
      <c r="E36" s="3194"/>
      <c r="F36" s="979" t="s">
        <v>963</v>
      </c>
      <c r="G36" s="898" t="str">
        <f>'XM.FILE GOC'!$E$114</f>
        <v>50~70</v>
      </c>
      <c r="H36" s="2222" t="str">
        <f>'XM.FILE GOC'!$F$114</f>
        <v>(60±10)</v>
      </c>
      <c r="I36" s="3190">
        <f>'3.XT-C KH'!I36</f>
        <v>57</v>
      </c>
      <c r="J36" s="3188"/>
      <c r="K36" s="3188">
        <f>'3.XT-C KH'!K36</f>
        <v>58</v>
      </c>
      <c r="L36" s="3188"/>
      <c r="M36" s="922"/>
      <c r="N36" s="923"/>
      <c r="O36" s="923"/>
      <c r="P36" s="924"/>
      <c r="Q36" s="3188">
        <f>'3.XT-C KH'!Q36</f>
        <v>58</v>
      </c>
      <c r="R36" s="3188"/>
      <c r="S36" s="3188">
        <f>'3.XT-C KH'!S36</f>
        <v>58</v>
      </c>
      <c r="T36" s="3188"/>
      <c r="U36" s="922"/>
      <c r="V36" s="923"/>
      <c r="W36" s="923"/>
      <c r="X36" s="924"/>
      <c r="Y36" s="3188">
        <f>'3.XT-C KH'!Y36</f>
        <v>59</v>
      </c>
      <c r="Z36" s="3188"/>
      <c r="AA36" s="3188">
        <f>'3.XT-C KH'!AA36</f>
        <v>59</v>
      </c>
      <c r="AB36" s="3188"/>
      <c r="AC36" s="922"/>
      <c r="AD36" s="923"/>
      <c r="AE36" s="923"/>
      <c r="AF36" s="924"/>
      <c r="AG36" s="2423"/>
      <c r="AH36" s="923"/>
      <c r="AI36" s="3822"/>
      <c r="AJ36" s="3822"/>
      <c r="AK36" s="3822"/>
      <c r="AL36" s="3822"/>
      <c r="AM36" s="923"/>
      <c r="AN36" s="923"/>
      <c r="AO36" s="923"/>
      <c r="AP36" s="923"/>
      <c r="AQ36" s="3822"/>
      <c r="AR36" s="3822"/>
      <c r="AS36" s="3822"/>
      <c r="AT36" s="3822"/>
      <c r="AU36" s="923"/>
      <c r="AV36" s="923"/>
      <c r="AW36" s="923"/>
      <c r="AX36" s="923"/>
      <c r="AY36" s="3822"/>
      <c r="AZ36" s="3822"/>
      <c r="BA36" s="3822"/>
      <c r="BB36" s="3822"/>
      <c r="BC36" s="62"/>
    </row>
    <row r="37" spans="1:55" ht="44.25" hidden="1" customHeight="1">
      <c r="A37" s="2418"/>
      <c r="B37" s="2415"/>
      <c r="C37" s="2416"/>
      <c r="D37" s="2416"/>
      <c r="E37" s="2417"/>
      <c r="F37" s="979"/>
      <c r="G37" s="898"/>
      <c r="H37" s="2275"/>
      <c r="I37" s="2413"/>
      <c r="J37" s="2412"/>
      <c r="K37" s="2412"/>
      <c r="L37" s="2412"/>
      <c r="M37" s="922"/>
      <c r="N37" s="923"/>
      <c r="O37" s="923"/>
      <c r="P37" s="924"/>
      <c r="Q37" s="2412"/>
      <c r="R37" s="2412"/>
      <c r="S37" s="2412"/>
      <c r="T37" s="2412"/>
      <c r="U37" s="922"/>
      <c r="V37" s="923"/>
      <c r="W37" s="923"/>
      <c r="X37" s="924"/>
      <c r="Y37" s="2412"/>
      <c r="Z37" s="2412"/>
      <c r="AA37" s="2412"/>
      <c r="AB37" s="2412"/>
      <c r="AC37" s="922"/>
      <c r="AD37" s="923"/>
      <c r="AE37" s="923"/>
      <c r="AF37" s="924"/>
      <c r="AG37" s="2423"/>
      <c r="AH37" s="923"/>
      <c r="AI37" s="2419"/>
      <c r="AJ37" s="2419"/>
      <c r="AK37" s="2419"/>
      <c r="AL37" s="2419"/>
      <c r="AM37" s="923"/>
      <c r="AN37" s="923"/>
      <c r="AO37" s="923"/>
      <c r="AP37" s="923"/>
      <c r="AQ37" s="2419"/>
      <c r="AR37" s="2419"/>
      <c r="AS37" s="2419"/>
      <c r="AT37" s="2419"/>
      <c r="AU37" s="923"/>
      <c r="AV37" s="923"/>
      <c r="AW37" s="923"/>
      <c r="AX37" s="923"/>
      <c r="AY37" s="2419"/>
      <c r="AZ37" s="2419"/>
      <c r="BA37" s="2419"/>
      <c r="BB37" s="2419"/>
      <c r="BC37" s="62"/>
    </row>
    <row r="38" spans="1:55" ht="42" customHeight="1">
      <c r="A38" s="2418"/>
      <c r="B38" s="2449" t="s">
        <v>1311</v>
      </c>
      <c r="C38" s="2450"/>
      <c r="D38" s="2450"/>
      <c r="E38" s="2450"/>
      <c r="F38" s="2450"/>
      <c r="G38" s="2450"/>
      <c r="H38" s="2450"/>
      <c r="I38" s="2450"/>
      <c r="J38" s="2450"/>
      <c r="K38" s="2450"/>
      <c r="L38" s="2450"/>
      <c r="M38" s="2450"/>
      <c r="N38" s="2450"/>
      <c r="O38" s="2450"/>
      <c r="P38" s="2450"/>
      <c r="Q38" s="2450"/>
      <c r="R38" s="2450"/>
      <c r="S38" s="2450"/>
      <c r="T38" s="2450"/>
      <c r="U38" s="2450"/>
      <c r="V38" s="2450"/>
      <c r="W38" s="2450"/>
      <c r="X38" s="2450"/>
      <c r="Y38" s="2450"/>
      <c r="Z38" s="2450"/>
      <c r="AA38" s="2450"/>
      <c r="AB38" s="2450"/>
      <c r="AC38" s="2450"/>
      <c r="AD38" s="2450"/>
      <c r="AE38" s="2450"/>
      <c r="AF38" s="2450"/>
      <c r="AG38" s="2451"/>
      <c r="AH38" s="62"/>
      <c r="AI38" s="62"/>
      <c r="AJ38" s="62"/>
      <c r="AK38" s="62"/>
      <c r="AL38" s="62"/>
      <c r="AM38" s="62"/>
      <c r="AN38" s="62"/>
      <c r="AO38" s="62"/>
      <c r="AP38" s="62"/>
      <c r="AQ38" s="62"/>
      <c r="AR38" s="62"/>
      <c r="AS38" s="62"/>
      <c r="AT38" s="62"/>
      <c r="AU38" s="62"/>
      <c r="AV38" s="62"/>
      <c r="AW38" s="62"/>
      <c r="AX38" s="62"/>
      <c r="AY38" s="62"/>
      <c r="AZ38" s="62"/>
      <c r="BA38" s="62"/>
      <c r="BB38" s="62"/>
      <c r="BC38" s="62"/>
    </row>
    <row r="39" spans="1:55" ht="56.25" customHeight="1">
      <c r="A39" s="2418" t="s">
        <v>7</v>
      </c>
      <c r="B39" s="3167" t="s">
        <v>971</v>
      </c>
      <c r="C39" s="3168"/>
      <c r="D39" s="3168"/>
      <c r="E39" s="3169"/>
      <c r="F39" s="2414" t="s">
        <v>737</v>
      </c>
      <c r="G39" s="2414" t="s">
        <v>1310</v>
      </c>
      <c r="H39" s="2224" t="s">
        <v>1302</v>
      </c>
      <c r="I39" s="3160" t="s">
        <v>972</v>
      </c>
      <c r="J39" s="3158"/>
      <c r="K39" s="3158"/>
      <c r="L39" s="3159"/>
      <c r="M39" s="1301"/>
      <c r="N39" s="1302"/>
      <c r="O39" s="1302"/>
      <c r="P39" s="1303"/>
      <c r="Q39" s="3160" t="s">
        <v>972</v>
      </c>
      <c r="R39" s="3158"/>
      <c r="S39" s="3158"/>
      <c r="T39" s="3159"/>
      <c r="U39" s="1301"/>
      <c r="V39" s="1302"/>
      <c r="W39" s="1302"/>
      <c r="X39" s="1303"/>
      <c r="Y39" s="3160" t="s">
        <v>972</v>
      </c>
      <c r="Z39" s="3158"/>
      <c r="AA39" s="3158"/>
      <c r="AB39" s="3159"/>
      <c r="AC39" s="919"/>
      <c r="AD39" s="920"/>
      <c r="AE39" s="920"/>
      <c r="AF39" s="921"/>
      <c r="AG39" s="10"/>
    </row>
    <row r="40" spans="1:55" ht="51" customHeight="1">
      <c r="A40" s="2418">
        <v>1</v>
      </c>
      <c r="B40" s="3130" t="s">
        <v>1597</v>
      </c>
      <c r="C40" s="3131"/>
      <c r="D40" s="3131"/>
      <c r="E40" s="3132"/>
      <c r="F40" s="633" t="s">
        <v>48</v>
      </c>
      <c r="G40" s="898" t="str">
        <f>'XM.FILE GOC'!$E$120</f>
        <v>30~50 
(40)</v>
      </c>
      <c r="H40" s="2222" t="str">
        <f>'XM.FILE GOC'!$F$120</f>
        <v>30~50 
(40)</v>
      </c>
      <c r="I40" s="3046">
        <f>'3.XT-C KH'!I40:L40</f>
        <v>42</v>
      </c>
      <c r="J40" s="3047"/>
      <c r="K40" s="3047"/>
      <c r="L40" s="3047"/>
      <c r="M40" s="1307"/>
      <c r="N40" s="1308"/>
      <c r="O40" s="1308"/>
      <c r="P40" s="1309"/>
      <c r="Q40" s="3046">
        <f>'3.XT-C KH'!Q40:T40</f>
        <v>40</v>
      </c>
      <c r="R40" s="3047"/>
      <c r="S40" s="3047"/>
      <c r="T40" s="3047"/>
      <c r="U40" s="1307"/>
      <c r="V40" s="1308"/>
      <c r="W40" s="1308"/>
      <c r="X40" s="1309"/>
      <c r="Y40" s="3046">
        <f>'3.XT-C KH'!Y40:AB40</f>
        <v>42</v>
      </c>
      <c r="Z40" s="3047"/>
      <c r="AA40" s="3047"/>
      <c r="AB40" s="3048"/>
      <c r="AC40" s="928"/>
      <c r="AD40" s="905"/>
      <c r="AE40" s="905"/>
      <c r="AF40" s="929"/>
      <c r="AG40" s="2421"/>
    </row>
    <row r="41" spans="1:55" ht="51" customHeight="1">
      <c r="A41" s="2418">
        <v>2</v>
      </c>
      <c r="B41" s="3130" t="s">
        <v>1598</v>
      </c>
      <c r="C41" s="3131"/>
      <c r="D41" s="3131"/>
      <c r="E41" s="3132"/>
      <c r="F41" s="633" t="s">
        <v>48</v>
      </c>
      <c r="G41" s="898" t="str">
        <f>'XM.FILE GOC'!$E$121</f>
        <v>160~220
(180)</v>
      </c>
      <c r="H41" s="2222" t="str">
        <f>'XM.FILE GOC'!$F$121</f>
        <v>160~220
(180)</v>
      </c>
      <c r="I41" s="3046">
        <f>'3.XT-C KH'!I41:L41</f>
        <v>170</v>
      </c>
      <c r="J41" s="3047"/>
      <c r="K41" s="3047"/>
      <c r="L41" s="3047"/>
      <c r="M41" s="1304"/>
      <c r="N41" s="1305"/>
      <c r="O41" s="1305"/>
      <c r="P41" s="1306"/>
      <c r="Q41" s="3046">
        <f>'3.XT-C KH'!Q41:T41</f>
        <v>172</v>
      </c>
      <c r="R41" s="3047"/>
      <c r="S41" s="3047"/>
      <c r="T41" s="3047"/>
      <c r="U41" s="1304"/>
      <c r="V41" s="1305"/>
      <c r="W41" s="1305"/>
      <c r="X41" s="1306"/>
      <c r="Y41" s="3046">
        <f>'3.XT-C KH'!Y41:AB41</f>
        <v>172</v>
      </c>
      <c r="Z41" s="3047"/>
      <c r="AA41" s="3047"/>
      <c r="AB41" s="3048"/>
      <c r="AC41" s="930"/>
      <c r="AD41" s="931"/>
      <c r="AE41" s="931"/>
      <c r="AF41" s="932"/>
      <c r="AG41" s="2421"/>
    </row>
    <row r="42" spans="1:55" ht="15.75" customHeight="1">
      <c r="A42" s="980"/>
      <c r="B42" s="899"/>
      <c r="C42" s="899"/>
      <c r="D42" s="899"/>
      <c r="E42" s="899"/>
      <c r="F42" s="981"/>
      <c r="G42" s="981"/>
      <c r="H42" s="981"/>
      <c r="I42" s="981"/>
      <c r="J42" s="981"/>
      <c r="K42" s="981"/>
      <c r="L42" s="981"/>
      <c r="M42" s="945"/>
      <c r="N42" s="945"/>
      <c r="O42" s="945"/>
      <c r="P42" s="945"/>
      <c r="Q42" s="981"/>
      <c r="R42" s="981"/>
      <c r="S42" s="981"/>
      <c r="T42" s="981"/>
      <c r="U42" s="945"/>
      <c r="V42" s="945"/>
      <c r="W42" s="945"/>
      <c r="X42" s="945"/>
      <c r="Y42" s="981"/>
      <c r="Z42" s="981"/>
      <c r="AA42" s="981"/>
      <c r="AB42" s="981"/>
      <c r="AC42" s="945"/>
      <c r="AD42" s="945"/>
      <c r="AE42" s="945"/>
      <c r="AF42" s="945"/>
      <c r="AG42" s="62"/>
    </row>
    <row r="43" spans="1:55" ht="42" customHeight="1">
      <c r="B43" s="1546" t="s">
        <v>135</v>
      </c>
      <c r="C43" s="1546"/>
      <c r="D43" s="1546"/>
      <c r="E43" s="1546"/>
      <c r="F43" s="1546"/>
      <c r="G43" s="1546"/>
      <c r="H43" s="1546"/>
      <c r="I43" s="1546"/>
      <c r="J43" s="1546"/>
      <c r="K43" s="1546"/>
      <c r="L43" s="1546"/>
      <c r="M43" s="1546"/>
      <c r="N43" s="1546"/>
      <c r="O43" s="1546"/>
      <c r="P43" s="1546"/>
      <c r="Q43" s="1546"/>
      <c r="R43" s="1546"/>
      <c r="S43" s="1546"/>
      <c r="T43" s="1546"/>
      <c r="U43" s="1546"/>
      <c r="V43" s="1546"/>
      <c r="W43" s="1546"/>
      <c r="X43" s="1546"/>
      <c r="Y43" s="1546"/>
      <c r="Z43" s="1546"/>
      <c r="AA43" s="2446"/>
      <c r="AB43" s="2446"/>
      <c r="AC43" s="2447"/>
      <c r="AD43" s="947"/>
      <c r="AE43" s="947"/>
      <c r="AF43" s="947"/>
      <c r="AG43" s="61"/>
    </row>
    <row r="44" spans="1:55" ht="51" customHeight="1">
      <c r="B44" s="2448" t="s">
        <v>136</v>
      </c>
      <c r="C44" s="2448"/>
      <c r="D44" s="2448"/>
      <c r="E44" s="2448"/>
      <c r="F44" s="2448"/>
      <c r="G44" s="2448"/>
      <c r="H44" s="2448"/>
      <c r="I44" s="2448"/>
      <c r="J44" s="2448"/>
      <c r="K44" s="2448"/>
      <c r="L44" s="2448"/>
      <c r="M44" s="2448"/>
      <c r="N44" s="2448"/>
      <c r="O44" s="2448"/>
      <c r="P44" s="2448"/>
      <c r="Q44" s="2448"/>
      <c r="R44" s="2448"/>
      <c r="S44" s="2448"/>
      <c r="T44" s="2448"/>
      <c r="U44" s="2448"/>
      <c r="V44" s="2448"/>
      <c r="W44" s="2448"/>
      <c r="X44" s="2448"/>
      <c r="Y44" s="2448"/>
      <c r="Z44" s="2448"/>
      <c r="AA44" s="2440"/>
      <c r="AB44" s="2440"/>
      <c r="AC44" s="2441"/>
      <c r="AD44" s="3121" t="s">
        <v>88</v>
      </c>
      <c r="AE44" s="3121"/>
      <c r="AF44" s="3122" t="s">
        <v>89</v>
      </c>
      <c r="AG44" s="3123"/>
    </row>
    <row r="45" spans="1:55" ht="40.5" customHeight="1">
      <c r="A45" s="969"/>
      <c r="B45" s="1424" t="s">
        <v>127</v>
      </c>
      <c r="C45" s="1425"/>
      <c r="D45" s="1395"/>
      <c r="E45" s="1396"/>
      <c r="F45" s="1397"/>
      <c r="G45" s="1393"/>
      <c r="H45" s="1819" t="str">
        <f>MENU!$AC$9</f>
        <v>Thứ 4,</v>
      </c>
      <c r="I45" s="3089" t="str">
        <f>MENU!$AD$9</f>
        <v>2024/05/22</v>
      </c>
      <c r="J45" s="3090"/>
      <c r="K45" s="3090"/>
      <c r="L45" s="3090"/>
      <c r="M45" s="944"/>
      <c r="N45" s="944"/>
      <c r="O45" s="944"/>
      <c r="P45" s="944"/>
      <c r="Q45" s="971"/>
      <c r="R45" s="971"/>
      <c r="S45" s="971"/>
      <c r="T45" s="971"/>
      <c r="U45" s="944"/>
      <c r="V45" s="944"/>
      <c r="W45" s="944"/>
      <c r="X45" s="944"/>
      <c r="Y45" s="971"/>
      <c r="Z45" s="971"/>
      <c r="AA45" s="3150"/>
      <c r="AB45" s="3150"/>
      <c r="AC45" s="942"/>
      <c r="AD45" s="3124" t="str">
        <f>MENU!AE7</f>
        <v>L.Yen</v>
      </c>
      <c r="AE45" s="3124"/>
      <c r="AF45" s="3156" t="s">
        <v>11</v>
      </c>
      <c r="AG45" s="3129"/>
    </row>
    <row r="46" spans="1:55" s="62" customFormat="1" ht="36.75" customHeight="1">
      <c r="A46" s="3181" t="s">
        <v>7</v>
      </c>
      <c r="B46" s="3097" t="s">
        <v>76</v>
      </c>
      <c r="C46" s="3098"/>
      <c r="D46" s="3098"/>
      <c r="E46" s="3099"/>
      <c r="F46" s="3133" t="s">
        <v>124</v>
      </c>
      <c r="G46" s="3059" t="s">
        <v>1310</v>
      </c>
      <c r="H46" s="3109" t="s">
        <v>1302</v>
      </c>
      <c r="I46" s="3155">
        <v>0.80208333333333337</v>
      </c>
      <c r="J46" s="3065"/>
      <c r="K46" s="3065"/>
      <c r="L46" s="3066"/>
      <c r="M46" s="3073" t="s">
        <v>939</v>
      </c>
      <c r="N46" s="3074"/>
      <c r="O46" s="3074"/>
      <c r="P46" s="3075"/>
      <c r="Q46" s="3064">
        <v>0.96875</v>
      </c>
      <c r="R46" s="3065"/>
      <c r="S46" s="3065"/>
      <c r="T46" s="3066"/>
      <c r="U46" s="3073" t="s">
        <v>939</v>
      </c>
      <c r="V46" s="3074"/>
      <c r="W46" s="3074"/>
      <c r="X46" s="3075"/>
      <c r="Y46" s="3151">
        <v>0.13541666666666666</v>
      </c>
      <c r="Z46" s="3133"/>
      <c r="AA46" s="3133"/>
      <c r="AB46" s="3133"/>
      <c r="AC46" s="3073" t="s">
        <v>939</v>
      </c>
      <c r="AD46" s="3074"/>
      <c r="AE46" s="3074"/>
      <c r="AF46" s="3075"/>
      <c r="AG46" s="3148" t="s">
        <v>38</v>
      </c>
    </row>
    <row r="47" spans="1:55" s="62" customFormat="1" ht="48.75" customHeight="1">
      <c r="A47" s="3181"/>
      <c r="B47" s="3100"/>
      <c r="C47" s="3101"/>
      <c r="D47" s="3101"/>
      <c r="E47" s="3102"/>
      <c r="F47" s="3134"/>
      <c r="G47" s="3060"/>
      <c r="H47" s="3110"/>
      <c r="I47" s="2209" t="s">
        <v>129</v>
      </c>
      <c r="J47" s="3070" t="s">
        <v>1</v>
      </c>
      <c r="K47" s="3071"/>
      <c r="L47" s="3072"/>
      <c r="M47" s="907" t="s">
        <v>129</v>
      </c>
      <c r="N47" s="3076" t="s">
        <v>1</v>
      </c>
      <c r="O47" s="3076"/>
      <c r="P47" s="3077"/>
      <c r="Q47" s="950" t="s">
        <v>129</v>
      </c>
      <c r="R47" s="3070" t="s">
        <v>1</v>
      </c>
      <c r="S47" s="3071"/>
      <c r="T47" s="3072"/>
      <c r="U47" s="907" t="s">
        <v>129</v>
      </c>
      <c r="V47" s="3076" t="s">
        <v>1</v>
      </c>
      <c r="W47" s="3076"/>
      <c r="X47" s="3077"/>
      <c r="Y47" s="950" t="s">
        <v>129</v>
      </c>
      <c r="Z47" s="3070" t="s">
        <v>1</v>
      </c>
      <c r="AA47" s="3071"/>
      <c r="AB47" s="3072"/>
      <c r="AC47" s="907" t="s">
        <v>129</v>
      </c>
      <c r="AD47" s="3076" t="s">
        <v>1</v>
      </c>
      <c r="AE47" s="3076"/>
      <c r="AF47" s="3077"/>
      <c r="AG47" s="3149"/>
    </row>
    <row r="48" spans="1:55" ht="42.75" customHeight="1">
      <c r="A48" s="3206">
        <v>1</v>
      </c>
      <c r="B48" s="3223" t="s">
        <v>950</v>
      </c>
      <c r="C48" s="3224"/>
      <c r="D48" s="3093" t="s">
        <v>230</v>
      </c>
      <c r="E48" s="3094"/>
      <c r="F48" s="2426" t="s">
        <v>4</v>
      </c>
      <c r="G48" s="898" t="str">
        <f>'XM.FILE GOC'!$E$78</f>
        <v>40~60</v>
      </c>
      <c r="H48" s="2222" t="str">
        <f>'XM.FILE GOC'!$F$78</f>
        <v>(50±5)</v>
      </c>
      <c r="I48" s="2225">
        <f>'XM.FILE GOC'!AD78</f>
        <v>51.3</v>
      </c>
      <c r="J48" s="972" t="s">
        <v>8</v>
      </c>
      <c r="K48" s="973">
        <f>'XM.FILE GOC'!AG78</f>
        <v>0</v>
      </c>
      <c r="L48" s="974" t="s">
        <v>9</v>
      </c>
      <c r="M48" s="1580">
        <f>'3.XT-C KH'!M48</f>
        <v>0</v>
      </c>
      <c r="N48" s="909" t="s">
        <v>8</v>
      </c>
      <c r="O48" s="1595" t="str">
        <f>IF(M48=0,"",('XM.FILE GOC'!$G$78-M48)*15517/1000)</f>
        <v/>
      </c>
      <c r="P48" s="910" t="s">
        <v>9</v>
      </c>
      <c r="Q48" s="2225">
        <f>'XM.FILE GOC'!AK78</f>
        <v>50.5</v>
      </c>
      <c r="R48" s="972" t="s">
        <v>8</v>
      </c>
      <c r="S48" s="973">
        <f>'XM.FILE GOC'!AN78</f>
        <v>0</v>
      </c>
      <c r="T48" s="974" t="s">
        <v>9</v>
      </c>
      <c r="U48" s="1580">
        <f>'3.XT-C KH'!U48</f>
        <v>0</v>
      </c>
      <c r="V48" s="909" t="s">
        <v>8</v>
      </c>
      <c r="W48" s="1595" t="str">
        <f>IF(U48=0,"",('XM.FILE GOC'!$G$78-U48)*15517/1000)</f>
        <v/>
      </c>
      <c r="X48" s="910" t="s">
        <v>9</v>
      </c>
      <c r="Y48" s="2225">
        <f>'XM.FILE GOC'!AR78</f>
        <v>50.2</v>
      </c>
      <c r="Z48" s="972" t="s">
        <v>8</v>
      </c>
      <c r="AA48" s="973">
        <f>'XM.FILE GOC'!AU78</f>
        <v>0</v>
      </c>
      <c r="AB48" s="974" t="s">
        <v>9</v>
      </c>
      <c r="AC48" s="1580">
        <f>'3.XT-C KH'!AC48</f>
        <v>0</v>
      </c>
      <c r="AD48" s="909" t="s">
        <v>8</v>
      </c>
      <c r="AE48" s="1595" t="str">
        <f>IF(AC48=0,"",('XM.FILE GOC'!$G$78-AC48)*15517/1000)</f>
        <v/>
      </c>
      <c r="AF48" s="910" t="s">
        <v>9</v>
      </c>
      <c r="AG48" s="2411" t="s">
        <v>39</v>
      </c>
    </row>
    <row r="49" spans="1:38" ht="42.75" customHeight="1">
      <c r="A49" s="3222"/>
      <c r="B49" s="3225"/>
      <c r="C49" s="3226"/>
      <c r="D49" s="3093" t="s">
        <v>231</v>
      </c>
      <c r="E49" s="3094"/>
      <c r="F49" s="897"/>
      <c r="G49" s="898" t="s">
        <v>1271</v>
      </c>
      <c r="H49" s="2222"/>
      <c r="I49" s="2211"/>
      <c r="J49" s="59"/>
      <c r="K49" s="954">
        <f>K48/25*8.5</f>
        <v>0</v>
      </c>
      <c r="L49" s="588" t="s">
        <v>10</v>
      </c>
      <c r="M49" s="1580">
        <f>'3.XT-C KH'!M49</f>
        <v>0</v>
      </c>
      <c r="N49" s="911" t="s">
        <v>8</v>
      </c>
      <c r="O49" s="1593" t="str">
        <f>IF(M48=0,"",O48/25*8.5)</f>
        <v/>
      </c>
      <c r="P49" s="912" t="s">
        <v>10</v>
      </c>
      <c r="Q49" s="2211"/>
      <c r="R49" s="59"/>
      <c r="S49" s="954">
        <f>S48/25*8.5</f>
        <v>0</v>
      </c>
      <c r="T49" s="588" t="s">
        <v>10</v>
      </c>
      <c r="U49" s="1580">
        <f>'3.XT-C KH'!U49</f>
        <v>0</v>
      </c>
      <c r="V49" s="911" t="s">
        <v>8</v>
      </c>
      <c r="W49" s="1593" t="str">
        <f>IF(U48=0,"",W48/25*8.5)</f>
        <v/>
      </c>
      <c r="X49" s="912" t="s">
        <v>10</v>
      </c>
      <c r="Y49" s="2211"/>
      <c r="Z49" s="59"/>
      <c r="AA49" s="954">
        <f>AA48/25*8.5</f>
        <v>0</v>
      </c>
      <c r="AB49" s="588" t="s">
        <v>10</v>
      </c>
      <c r="AC49" s="1580">
        <f>'3.XT-C KH'!AC49</f>
        <v>0</v>
      </c>
      <c r="AD49" s="911" t="s">
        <v>8</v>
      </c>
      <c r="AE49" s="1593" t="str">
        <f>IF(AC48=0,"",AE48/25*8.5)</f>
        <v/>
      </c>
      <c r="AF49" s="912" t="s">
        <v>10</v>
      </c>
      <c r="AG49" s="2411"/>
    </row>
    <row r="50" spans="1:38" ht="42.75" customHeight="1">
      <c r="A50" s="3206">
        <v>2</v>
      </c>
      <c r="B50" s="3223" t="s">
        <v>951</v>
      </c>
      <c r="C50" s="3224"/>
      <c r="D50" s="3093" t="s">
        <v>230</v>
      </c>
      <c r="E50" s="3094"/>
      <c r="F50" s="2426" t="s">
        <v>4</v>
      </c>
      <c r="G50" s="898" t="str">
        <f>'XM.FILE GOC'!$E$80</f>
        <v>40~60</v>
      </c>
      <c r="H50" s="2222" t="str">
        <f>'XM.FILE GOC'!$F$80</f>
        <v>(50±5)</v>
      </c>
      <c r="I50" s="2225">
        <f>'XM.FILE GOC'!AD80</f>
        <v>49.2</v>
      </c>
      <c r="J50" s="972" t="s">
        <v>8</v>
      </c>
      <c r="K50" s="973">
        <f>'XM.FILE GOC'!AG80</f>
        <v>9.1799999999999677</v>
      </c>
      <c r="L50" s="974" t="s">
        <v>9</v>
      </c>
      <c r="M50" s="1580">
        <f>'3.XT-C KH'!M50</f>
        <v>52.3</v>
      </c>
      <c r="N50" s="909" t="s">
        <v>8</v>
      </c>
      <c r="O50" s="1595">
        <f>IF(M50=0,"",('XM.FILE GOC'!$G$80-M50)*11475/1000)</f>
        <v>-26.392499999999966</v>
      </c>
      <c r="P50" s="910" t="s">
        <v>9</v>
      </c>
      <c r="Q50" s="2225">
        <f>'XM.FILE GOC'!AK80</f>
        <v>51.3</v>
      </c>
      <c r="R50" s="972" t="s">
        <v>8</v>
      </c>
      <c r="S50" s="973">
        <f>'XM.FILE GOC'!AN80</f>
        <v>0</v>
      </c>
      <c r="T50" s="974" t="s">
        <v>9</v>
      </c>
      <c r="U50" s="1580">
        <f>'3.XT-C KH'!U50</f>
        <v>0</v>
      </c>
      <c r="V50" s="909" t="s">
        <v>8</v>
      </c>
      <c r="W50" s="1595" t="str">
        <f>IF(U50=0,"",('XM.FILE GOC'!$G$80-U50)*11475/1000)</f>
        <v/>
      </c>
      <c r="X50" s="910" t="s">
        <v>9</v>
      </c>
      <c r="Y50" s="2225">
        <f>'XM.FILE GOC'!AR80</f>
        <v>51</v>
      </c>
      <c r="Z50" s="972" t="s">
        <v>8</v>
      </c>
      <c r="AA50" s="973">
        <f>'XM.FILE GOC'!AU80</f>
        <v>0</v>
      </c>
      <c r="AB50" s="974" t="s">
        <v>9</v>
      </c>
      <c r="AC50" s="1580">
        <f>'3.XT-C KH'!AC50</f>
        <v>0</v>
      </c>
      <c r="AD50" s="909" t="s">
        <v>8</v>
      </c>
      <c r="AE50" s="1595" t="str">
        <f>IF(AC50=0,"",('XM.FILE GOC'!$G$80-AC50)*11475/1000)</f>
        <v/>
      </c>
      <c r="AF50" s="910" t="s">
        <v>9</v>
      </c>
      <c r="AG50" s="2411" t="s">
        <v>39</v>
      </c>
    </row>
    <row r="51" spans="1:38" ht="42.75" customHeight="1">
      <c r="A51" s="3222"/>
      <c r="B51" s="3225"/>
      <c r="C51" s="3226"/>
      <c r="D51" s="3093" t="s">
        <v>231</v>
      </c>
      <c r="E51" s="3094"/>
      <c r="F51" s="897"/>
      <c r="G51" s="898" t="s">
        <v>1271</v>
      </c>
      <c r="H51" s="2222"/>
      <c r="I51" s="2211"/>
      <c r="J51" s="59"/>
      <c r="K51" s="954">
        <f>K50/25*8.5</f>
        <v>3.1211999999999889</v>
      </c>
      <c r="L51" s="588" t="s">
        <v>10</v>
      </c>
      <c r="M51" s="1580">
        <f>'3.XT-C KH'!M51</f>
        <v>0</v>
      </c>
      <c r="N51" s="911" t="s">
        <v>8</v>
      </c>
      <c r="O51" s="1593">
        <f>IF(M50=0,"",O50/25*8.5)</f>
        <v>-8.973449999999989</v>
      </c>
      <c r="P51" s="912" t="s">
        <v>10</v>
      </c>
      <c r="Q51" s="2211"/>
      <c r="R51" s="59"/>
      <c r="S51" s="954">
        <f>S50/25*8.5</f>
        <v>0</v>
      </c>
      <c r="T51" s="588" t="s">
        <v>10</v>
      </c>
      <c r="U51" s="1580">
        <f>'3.XT-C KH'!U51</f>
        <v>0</v>
      </c>
      <c r="V51" s="911" t="s">
        <v>8</v>
      </c>
      <c r="W51" s="1593" t="str">
        <f>IF(U50=0,"",W50/25*8.5)</f>
        <v/>
      </c>
      <c r="X51" s="912" t="s">
        <v>10</v>
      </c>
      <c r="Y51" s="2211"/>
      <c r="Z51" s="59"/>
      <c r="AA51" s="954">
        <f>AA50/25*8.5</f>
        <v>0</v>
      </c>
      <c r="AB51" s="588" t="s">
        <v>10</v>
      </c>
      <c r="AC51" s="1580">
        <f>'3.XT-C KH'!AC51</f>
        <v>0</v>
      </c>
      <c r="AD51" s="911" t="s">
        <v>8</v>
      </c>
      <c r="AE51" s="1593" t="str">
        <f>IF(AC50=0,"",AE50/25*8.5)</f>
        <v/>
      </c>
      <c r="AF51" s="912" t="s">
        <v>10</v>
      </c>
      <c r="AG51" s="2411"/>
    </row>
    <row r="52" spans="1:38" ht="42.75" customHeight="1">
      <c r="A52" s="3206">
        <v>3</v>
      </c>
      <c r="B52" s="3091" t="s">
        <v>952</v>
      </c>
      <c r="C52" s="3092"/>
      <c r="D52" s="3095" t="s">
        <v>232</v>
      </c>
      <c r="E52" s="3096" t="s">
        <v>232</v>
      </c>
      <c r="F52" s="2426" t="s">
        <v>4</v>
      </c>
      <c r="G52" s="898" t="str">
        <f>'XM.FILE GOC'!$E$82</f>
        <v>50~70</v>
      </c>
      <c r="H52" s="2222" t="str">
        <f>'XM.FILE GOC'!$F$82</f>
        <v>(60±5)</v>
      </c>
      <c r="I52" s="2225">
        <f>'XM.FILE GOC'!AD82</f>
        <v>63.2</v>
      </c>
      <c r="J52" s="59" t="s">
        <v>8</v>
      </c>
      <c r="K52" s="587">
        <f>'XM.FILE GOC'!AG82</f>
        <v>0</v>
      </c>
      <c r="L52" s="588" t="s">
        <v>9</v>
      </c>
      <c r="M52" s="1580">
        <f>'3.XT-C KH'!M52</f>
        <v>0</v>
      </c>
      <c r="N52" s="909" t="s">
        <v>8</v>
      </c>
      <c r="O52" s="1595" t="str">
        <f>IF(M52=0,"",('XM.FILE GOC'!$G$82-M52)*8200/1000)</f>
        <v/>
      </c>
      <c r="P52" s="910" t="s">
        <v>9</v>
      </c>
      <c r="Q52" s="2225">
        <f>'XM.FILE GOC'!AK82</f>
        <v>62.2</v>
      </c>
      <c r="R52" s="59" t="s">
        <v>8</v>
      </c>
      <c r="S52" s="587">
        <f>'XM.FILE GOC'!AN82</f>
        <v>0</v>
      </c>
      <c r="T52" s="588" t="s">
        <v>9</v>
      </c>
      <c r="U52" s="1580">
        <f>'3.XT-C KH'!U52</f>
        <v>0</v>
      </c>
      <c r="V52" s="909" t="s">
        <v>8</v>
      </c>
      <c r="W52" s="1595" t="str">
        <f>IF(U52=0,"",('XM.FILE GOC'!$G$82-U52)*8200/1000)</f>
        <v/>
      </c>
      <c r="X52" s="910" t="s">
        <v>9</v>
      </c>
      <c r="Y52" s="2225">
        <f>'XM.FILE GOC'!AR82</f>
        <v>61.5</v>
      </c>
      <c r="Z52" s="59" t="s">
        <v>8</v>
      </c>
      <c r="AA52" s="587">
        <f>'XM.FILE GOC'!AU82</f>
        <v>0</v>
      </c>
      <c r="AB52" s="974" t="s">
        <v>9</v>
      </c>
      <c r="AC52" s="1580">
        <f>'3.XT-C KH'!AC52</f>
        <v>0</v>
      </c>
      <c r="AD52" s="909" t="s">
        <v>8</v>
      </c>
      <c r="AE52" s="1595" t="str">
        <f>IF(AC52=0,"",('XM.FILE GOC'!$G$82-AC52)*8200/1000)</f>
        <v/>
      </c>
      <c r="AF52" s="910" t="s">
        <v>9</v>
      </c>
      <c r="AG52" s="2411" t="s">
        <v>39</v>
      </c>
    </row>
    <row r="53" spans="1:38" ht="42.75" customHeight="1">
      <c r="A53" s="3207"/>
      <c r="B53" s="3092"/>
      <c r="C53" s="3092"/>
      <c r="D53" s="3095" t="s">
        <v>233</v>
      </c>
      <c r="E53" s="3096" t="s">
        <v>233</v>
      </c>
      <c r="F53" s="897"/>
      <c r="G53" s="898" t="s">
        <v>1272</v>
      </c>
      <c r="H53" s="2222"/>
      <c r="I53" s="2211"/>
      <c r="J53" s="59"/>
      <c r="K53" s="954">
        <f>K52/25*8</f>
        <v>0</v>
      </c>
      <c r="L53" s="588" t="s">
        <v>10</v>
      </c>
      <c r="M53" s="1580">
        <f>'3.XT-C KH'!M53</f>
        <v>0</v>
      </c>
      <c r="N53" s="911" t="s">
        <v>8</v>
      </c>
      <c r="O53" s="1593" t="str">
        <f>IF(M52=0,"",O52/25*8)</f>
        <v/>
      </c>
      <c r="P53" s="912" t="s">
        <v>10</v>
      </c>
      <c r="Q53" s="2211"/>
      <c r="R53" s="59"/>
      <c r="S53" s="954">
        <f>S52/25*8</f>
        <v>0</v>
      </c>
      <c r="T53" s="588" t="s">
        <v>10</v>
      </c>
      <c r="U53" s="1580">
        <f>'3.XT-C KH'!U53</f>
        <v>0</v>
      </c>
      <c r="V53" s="911" t="s">
        <v>8</v>
      </c>
      <c r="W53" s="1593" t="str">
        <f>IF(U52=0,"",W52/25*8)</f>
        <v/>
      </c>
      <c r="X53" s="912" t="s">
        <v>10</v>
      </c>
      <c r="Y53" s="2211"/>
      <c r="Z53" s="59"/>
      <c r="AA53" s="954">
        <f>AA52/25*8</f>
        <v>0</v>
      </c>
      <c r="AB53" s="588" t="s">
        <v>10</v>
      </c>
      <c r="AC53" s="1580">
        <f>'3.XT-C KH'!AC53</f>
        <v>0</v>
      </c>
      <c r="AD53" s="911" t="s">
        <v>8</v>
      </c>
      <c r="AE53" s="1593" t="str">
        <f>IF(AC52=0,"",AE52/25*8)</f>
        <v/>
      </c>
      <c r="AF53" s="912" t="s">
        <v>10</v>
      </c>
      <c r="AG53" s="2411"/>
    </row>
    <row r="54" spans="1:38" ht="42.75" customHeight="1">
      <c r="A54" s="3206">
        <v>4</v>
      </c>
      <c r="B54" s="3091" t="s">
        <v>953</v>
      </c>
      <c r="C54" s="3092"/>
      <c r="D54" s="3095" t="s">
        <v>232</v>
      </c>
      <c r="E54" s="3096" t="s">
        <v>232</v>
      </c>
      <c r="F54" s="2426" t="s">
        <v>4</v>
      </c>
      <c r="G54" s="898" t="str">
        <f>'XM.FILE GOC'!$E$84</f>
        <v>50~70</v>
      </c>
      <c r="H54" s="2222" t="str">
        <f>'XM.FILE GOC'!$F$84</f>
        <v>(60±5)</v>
      </c>
      <c r="I54" s="2225">
        <f>'XM.FILE GOC'!AD84</f>
        <v>60.06</v>
      </c>
      <c r="J54" s="972" t="s">
        <v>8</v>
      </c>
      <c r="K54" s="973">
        <f>'XM.FILE GOC'!AG84</f>
        <v>0</v>
      </c>
      <c r="L54" s="974" t="s">
        <v>9</v>
      </c>
      <c r="M54" s="1580">
        <f>'3.XT-C KH'!M54</f>
        <v>0</v>
      </c>
      <c r="N54" s="909" t="s">
        <v>8</v>
      </c>
      <c r="O54" s="1596" t="str">
        <f>IF(M54=0,"",('XM.FILE GOC'!$G$84-M54)*8668/1000)</f>
        <v/>
      </c>
      <c r="P54" s="910" t="s">
        <v>9</v>
      </c>
      <c r="Q54" s="2225">
        <f>'XM.FILE GOC'!AK84</f>
        <v>59.4</v>
      </c>
      <c r="R54" s="972" t="s">
        <v>8</v>
      </c>
      <c r="S54" s="973">
        <f>'XM.FILE GOC'!AN84</f>
        <v>5.2008000000000116</v>
      </c>
      <c r="T54" s="974" t="s">
        <v>9</v>
      </c>
      <c r="U54" s="1580">
        <f>'3.XT-C KH'!U54</f>
        <v>62.3</v>
      </c>
      <c r="V54" s="909" t="s">
        <v>8</v>
      </c>
      <c r="W54" s="1596">
        <f>IF(U54=0,"",('XM.FILE GOC'!$G$84-U54)*8668/1000)</f>
        <v>-19.936399999999978</v>
      </c>
      <c r="X54" s="910" t="s">
        <v>9</v>
      </c>
      <c r="Y54" s="2225">
        <f>'XM.FILE GOC'!AR84</f>
        <v>61.6</v>
      </c>
      <c r="Z54" s="972" t="s">
        <v>8</v>
      </c>
      <c r="AA54" s="973">
        <f>'XM.FILE GOC'!AU84</f>
        <v>0</v>
      </c>
      <c r="AB54" s="974" t="s">
        <v>9</v>
      </c>
      <c r="AC54" s="1580">
        <f>'3.XT-C KH'!AC54</f>
        <v>0</v>
      </c>
      <c r="AD54" s="909" t="s">
        <v>8</v>
      </c>
      <c r="AE54" s="1596" t="str">
        <f>IF(AC54=0,"",('XM.FILE GOC'!$G$84-AC54)*8668/1000)</f>
        <v/>
      </c>
      <c r="AF54" s="910" t="s">
        <v>9</v>
      </c>
      <c r="AG54" s="2411" t="s">
        <v>39</v>
      </c>
    </row>
    <row r="55" spans="1:38" ht="42.75" customHeight="1">
      <c r="A55" s="3207"/>
      <c r="B55" s="3092"/>
      <c r="C55" s="3092"/>
      <c r="D55" s="3095" t="s">
        <v>233</v>
      </c>
      <c r="E55" s="3096" t="s">
        <v>233</v>
      </c>
      <c r="F55" s="897"/>
      <c r="G55" s="898" t="s">
        <v>1272</v>
      </c>
      <c r="H55" s="2222"/>
      <c r="I55" s="2211"/>
      <c r="J55" s="59"/>
      <c r="K55" s="954">
        <f>K54/25*8</f>
        <v>0</v>
      </c>
      <c r="L55" s="588" t="s">
        <v>10</v>
      </c>
      <c r="M55" s="1580">
        <f>'3.XT-C KH'!M55</f>
        <v>0</v>
      </c>
      <c r="N55" s="911" t="s">
        <v>8</v>
      </c>
      <c r="O55" s="1593" t="str">
        <f>IF(M54=0,"",O54/25*8)</f>
        <v/>
      </c>
      <c r="P55" s="912" t="s">
        <v>10</v>
      </c>
      <c r="Q55" s="2211"/>
      <c r="R55" s="59"/>
      <c r="S55" s="954">
        <f>S54/25*8</f>
        <v>1.6642560000000037</v>
      </c>
      <c r="T55" s="588" t="s">
        <v>10</v>
      </c>
      <c r="U55" s="1580">
        <f>'3.XT-C KH'!U55</f>
        <v>0</v>
      </c>
      <c r="V55" s="911" t="s">
        <v>8</v>
      </c>
      <c r="W55" s="1593">
        <f>IF(U54=0,"",W54/25*8)</f>
        <v>-6.3796479999999924</v>
      </c>
      <c r="X55" s="912" t="s">
        <v>10</v>
      </c>
      <c r="Y55" s="2211"/>
      <c r="Z55" s="59"/>
      <c r="AA55" s="954">
        <f>AA54/25*8</f>
        <v>0</v>
      </c>
      <c r="AB55" s="588" t="s">
        <v>10</v>
      </c>
      <c r="AC55" s="1580">
        <f>'3.XT-C KH'!AC55</f>
        <v>0</v>
      </c>
      <c r="AD55" s="911" t="s">
        <v>8</v>
      </c>
      <c r="AE55" s="1593" t="str">
        <f>IF(AC54=0,"",AE54/25*8)</f>
        <v/>
      </c>
      <c r="AF55" s="912" t="s">
        <v>10</v>
      </c>
      <c r="AG55" s="2411"/>
    </row>
    <row r="56" spans="1:38" ht="42.75" customHeight="1">
      <c r="A56" s="3206">
        <v>5</v>
      </c>
      <c r="B56" s="3208" t="s">
        <v>954</v>
      </c>
      <c r="C56" s="3210" t="s">
        <v>955</v>
      </c>
      <c r="D56" s="3211"/>
      <c r="E56" s="3212"/>
      <c r="F56" s="633" t="s">
        <v>4</v>
      </c>
      <c r="G56" s="898" t="str">
        <f>'XM.FILE GOC'!$E$86</f>
        <v>135~ 145</v>
      </c>
      <c r="H56" s="2222" t="str">
        <f>'XM.FILE GOC'!$F$86</f>
        <v>(140±5)</v>
      </c>
      <c r="I56" s="2227">
        <f>'XM.FILE GOC'!AD86</f>
        <v>139.19999999999999</v>
      </c>
      <c r="J56" s="972" t="s">
        <v>8</v>
      </c>
      <c r="K56" s="973">
        <f>'XM.FILE GOC'!AG86</f>
        <v>42.452800000000607</v>
      </c>
      <c r="L56" s="974" t="s">
        <v>9</v>
      </c>
      <c r="M56" s="1580">
        <f>'3.XT-C KH'!M56</f>
        <v>140</v>
      </c>
      <c r="N56" s="909" t="s">
        <v>8</v>
      </c>
      <c r="O56" s="1596">
        <f>IF(M56=0,"",('XM.FILE GOC'!$G$86-M56)*53066/1000)</f>
        <v>0</v>
      </c>
      <c r="P56" s="910" t="s">
        <v>9</v>
      </c>
      <c r="Q56" s="2227">
        <f>'XM.FILE GOC'!AK86</f>
        <v>140</v>
      </c>
      <c r="R56" s="972" t="s">
        <v>8</v>
      </c>
      <c r="S56" s="973">
        <f>'XM.FILE GOC'!AN86</f>
        <v>0</v>
      </c>
      <c r="T56" s="974" t="s">
        <v>9</v>
      </c>
      <c r="U56" s="1580">
        <f>'3.XT-C KH'!U56</f>
        <v>0</v>
      </c>
      <c r="V56" s="909" t="s">
        <v>8</v>
      </c>
      <c r="W56" s="1596" t="str">
        <f>IF(U56=0,"",('XM.FILE GOC'!$G$86-U56)*53066/1000)</f>
        <v/>
      </c>
      <c r="X56" s="910" t="s">
        <v>9</v>
      </c>
      <c r="Y56" s="2227">
        <f>'XM.FILE GOC'!AR86</f>
        <v>139.19999999999999</v>
      </c>
      <c r="Z56" s="972" t="s">
        <v>8</v>
      </c>
      <c r="AA56" s="973">
        <f>'XM.FILE GOC'!AU86</f>
        <v>42.452800000000607</v>
      </c>
      <c r="AB56" s="974" t="s">
        <v>9</v>
      </c>
      <c r="AC56" s="1580">
        <f>'3.XT-C KH'!AC56</f>
        <v>140</v>
      </c>
      <c r="AD56" s="909" t="s">
        <v>8</v>
      </c>
      <c r="AE56" s="1596">
        <f>IF(AC56=0,"",('XM.FILE GOC'!$G$86-AC56)*53066/1000)</f>
        <v>0</v>
      </c>
      <c r="AF56" s="910" t="s">
        <v>9</v>
      </c>
      <c r="AG56" s="2411" t="s">
        <v>40</v>
      </c>
    </row>
    <row r="57" spans="1:38" ht="42.75" customHeight="1">
      <c r="A57" s="3207"/>
      <c r="B57" s="3815"/>
      <c r="C57" s="3816" t="s">
        <v>956</v>
      </c>
      <c r="D57" s="3817"/>
      <c r="E57" s="3818"/>
      <c r="F57" s="2424" t="s">
        <v>4</v>
      </c>
      <c r="G57" s="1584" t="str">
        <f>'XM.FILE GOC'!$E$87</f>
        <v>7~10</v>
      </c>
      <c r="H57" s="2236" t="str">
        <f>'XM.FILE GOC'!$F$87</f>
        <v>(8.5±1)</v>
      </c>
      <c r="I57" s="2296">
        <f>'XM.FILE GOC'!AD87</f>
        <v>8.5150000000000006</v>
      </c>
      <c r="J57" s="2297" t="s">
        <v>8</v>
      </c>
      <c r="K57" s="2298">
        <f>'XM.FILE GOC'!AG87</f>
        <v>0</v>
      </c>
      <c r="L57" s="2299" t="s">
        <v>9</v>
      </c>
      <c r="M57" s="2117">
        <f>'3.XT-C KH'!M57</f>
        <v>0</v>
      </c>
      <c r="N57" s="2300" t="s">
        <v>8</v>
      </c>
      <c r="O57" s="2301" t="str">
        <f>IF(M57=0,"",('XM.FILE GOC'!$G$87-M57)*53066/1000)</f>
        <v/>
      </c>
      <c r="P57" s="2302" t="s">
        <v>9</v>
      </c>
      <c r="Q57" s="2296">
        <f>'XM.FILE GOC'!AK87</f>
        <v>8.4500000000000011</v>
      </c>
      <c r="R57" s="2297" t="s">
        <v>8</v>
      </c>
      <c r="S57" s="2298">
        <f>'XM.FILE GOC'!AN87</f>
        <v>2.6532999999999434</v>
      </c>
      <c r="T57" s="2299" t="s">
        <v>9</v>
      </c>
      <c r="U57" s="2117">
        <f>'3.XT-C KH'!U57</f>
        <v>8.6</v>
      </c>
      <c r="V57" s="2300" t="s">
        <v>8</v>
      </c>
      <c r="W57" s="2301">
        <f>IF(U57=0,"",('XM.FILE GOC'!$G$87-U57)*53066/1000)</f>
        <v>-5.3065999999999809</v>
      </c>
      <c r="X57" s="2302" t="s">
        <v>9</v>
      </c>
      <c r="Y57" s="2296">
        <f>'XM.FILE GOC'!AR87</f>
        <v>8.6</v>
      </c>
      <c r="Z57" s="2297" t="s">
        <v>8</v>
      </c>
      <c r="AA57" s="2298">
        <f>'XM.FILE GOC'!AU87</f>
        <v>0</v>
      </c>
      <c r="AB57" s="2302" t="s">
        <v>9</v>
      </c>
      <c r="AC57" s="2117">
        <f>'3.XT-C KH'!AC57</f>
        <v>0</v>
      </c>
      <c r="AD57" s="2300" t="s">
        <v>8</v>
      </c>
      <c r="AE57" s="2301" t="str">
        <f>IF(AC57=0,"",('XM.FILE GOC'!$G$87-AC57)*53066/1000)</f>
        <v/>
      </c>
      <c r="AF57" s="2302" t="s">
        <v>9</v>
      </c>
      <c r="AG57" s="2410" t="s">
        <v>41</v>
      </c>
    </row>
    <row r="58" spans="1:38" s="7" customFormat="1" ht="42.75" customHeight="1">
      <c r="A58" s="3808">
        <v>6</v>
      </c>
      <c r="B58" s="3216" t="s">
        <v>37</v>
      </c>
      <c r="C58" s="3217"/>
      <c r="D58" s="3217"/>
      <c r="E58" s="3220"/>
      <c r="F58" s="633" t="s">
        <v>3</v>
      </c>
      <c r="G58" s="898" t="str">
        <f>'XM.FILE GOC'!$E$88</f>
        <v>5~8</v>
      </c>
      <c r="H58" s="2222" t="str">
        <f>'XM.FILE GOC'!$F$88</f>
        <v>(6±1)</v>
      </c>
      <c r="I58" s="2229">
        <f>'XM.FILE GOC'!AD88</f>
        <v>6.1</v>
      </c>
      <c r="J58" s="972"/>
      <c r="K58" s="973">
        <f>'XM.FILE GOC'!AG88</f>
        <v>0</v>
      </c>
      <c r="L58" s="974" t="s">
        <v>10</v>
      </c>
      <c r="M58" s="1580">
        <f>'3.XT-C KH'!M58</f>
        <v>0</v>
      </c>
      <c r="N58" s="911" t="s">
        <v>8</v>
      </c>
      <c r="O58" s="1595" t="str">
        <f>IF(M58=0,"",('XM.FILE GOC'!$G$88-M58)*3360/85)</f>
        <v/>
      </c>
      <c r="P58" s="912" t="s">
        <v>10</v>
      </c>
      <c r="Q58" s="595">
        <f>'XM.FILE GOC'!AK88</f>
        <v>6</v>
      </c>
      <c r="R58" s="972"/>
      <c r="S58" s="973">
        <f>'XM.FILE GOC'!AN88</f>
        <v>0</v>
      </c>
      <c r="T58" s="974" t="s">
        <v>10</v>
      </c>
      <c r="U58" s="1580">
        <f>'3.XT-C KH'!U58</f>
        <v>0</v>
      </c>
      <c r="V58" s="911" t="s">
        <v>8</v>
      </c>
      <c r="W58" s="1595" t="str">
        <f>IF(U58=0,"",('XM.FILE GOC'!$G$88-U58)*3360/85)</f>
        <v/>
      </c>
      <c r="X58" s="912" t="s">
        <v>10</v>
      </c>
      <c r="Y58" s="595">
        <f>'XM.FILE GOC'!AR88</f>
        <v>6</v>
      </c>
      <c r="Z58" s="972"/>
      <c r="AA58" s="973">
        <f>'XM.FILE GOC'!AU88</f>
        <v>0</v>
      </c>
      <c r="AB58" s="974" t="s">
        <v>10</v>
      </c>
      <c r="AC58" s="908">
        <f>'3.XT-C KH'!AC58</f>
        <v>0</v>
      </c>
      <c r="AD58" s="911" t="s">
        <v>8</v>
      </c>
      <c r="AE58" s="1595" t="str">
        <f>IF(AC58=0,"",('XM.FILE GOC'!$G$88-AC58)*3360/85)</f>
        <v/>
      </c>
      <c r="AF58" s="912" t="s">
        <v>10</v>
      </c>
      <c r="AG58" s="2317" t="s">
        <v>42</v>
      </c>
      <c r="AI58" s="1578"/>
      <c r="AL58" s="946"/>
    </row>
    <row r="59" spans="1:38" ht="42.75" customHeight="1">
      <c r="A59" s="3809"/>
      <c r="B59" s="3819"/>
      <c r="C59" s="3820"/>
      <c r="D59" s="3820"/>
      <c r="E59" s="3821"/>
      <c r="F59" s="633" t="s">
        <v>5</v>
      </c>
      <c r="G59" s="898" t="str">
        <f>'XM.FILE GOC'!$E$89</f>
        <v>2.0~2.4</v>
      </c>
      <c r="H59" s="2222" t="str">
        <f>'XM.FILE GOC'!$F$89</f>
        <v>(2.2±0.1)</v>
      </c>
      <c r="I59" s="2250">
        <f>'XM.FILE GOC'!AD89</f>
        <v>2.1800000000000002</v>
      </c>
      <c r="J59" s="1375"/>
      <c r="K59" s="1376"/>
      <c r="L59" s="1377"/>
      <c r="M59" s="1580"/>
      <c r="N59" s="913"/>
      <c r="O59" s="937"/>
      <c r="P59" s="914"/>
      <c r="Q59" s="2248">
        <f>'XM.FILE GOC'!AK89</f>
        <v>2.15</v>
      </c>
      <c r="R59" s="1375"/>
      <c r="S59" s="1376"/>
      <c r="T59" s="1377"/>
      <c r="U59" s="1580"/>
      <c r="V59" s="913"/>
      <c r="W59" s="937"/>
      <c r="X59" s="914"/>
      <c r="Y59" s="2248">
        <f>'XM.FILE GOC'!AR89</f>
        <v>2.1800000000000002</v>
      </c>
      <c r="Z59" s="972"/>
      <c r="AA59" s="973"/>
      <c r="AB59" s="974"/>
      <c r="AC59" s="908"/>
      <c r="AD59" s="913"/>
      <c r="AE59" s="937"/>
      <c r="AF59" s="914"/>
      <c r="AG59" s="2333"/>
    </row>
    <row r="60" spans="1:38" ht="42.75" customHeight="1">
      <c r="A60" s="2477">
        <v>7</v>
      </c>
      <c r="B60" s="3200" t="s">
        <v>82</v>
      </c>
      <c r="C60" s="3201"/>
      <c r="D60" s="3201"/>
      <c r="E60" s="3202"/>
      <c r="F60" s="633" t="s">
        <v>6</v>
      </c>
      <c r="G60" s="898" t="str">
        <f>'XM.FILE GOC'!$E$90</f>
        <v>40~50</v>
      </c>
      <c r="H60" s="2222" t="str">
        <f>'XM.FILE GOC'!$F$90</f>
        <v>(45±5)</v>
      </c>
      <c r="I60" s="1754">
        <f>'XM.FILE GOC'!AD90</f>
        <v>0.46</v>
      </c>
      <c r="J60" s="972"/>
      <c r="K60" s="973">
        <f>'XM.FILE GOC'!AG90</f>
        <v>0</v>
      </c>
      <c r="L60" s="974" t="s">
        <v>10</v>
      </c>
      <c r="M60" s="915" t="str">
        <f>IF(I60&gt;44.99%,"",'3.XT-C KH'!M60)</f>
        <v/>
      </c>
      <c r="N60" s="909" t="s">
        <v>8</v>
      </c>
      <c r="O60" s="937" t="str">
        <f>IF(M60="","",('XM.FILE GOC'!$G$90-M60)*3234)</f>
        <v/>
      </c>
      <c r="P60" s="910" t="s">
        <v>10</v>
      </c>
      <c r="Q60" s="1754">
        <f>'XM.FILE GOC'!AK90</f>
        <v>0.45600000000000002</v>
      </c>
      <c r="R60" s="972"/>
      <c r="S60" s="973">
        <f>'XM.FILE GOC'!AN90</f>
        <v>0</v>
      </c>
      <c r="T60" s="974" t="s">
        <v>10</v>
      </c>
      <c r="U60" s="915" t="str">
        <f>IF(Q60&gt;44.99%,"",'3.XT-C KH'!U60)</f>
        <v/>
      </c>
      <c r="V60" s="909" t="s">
        <v>8</v>
      </c>
      <c r="W60" s="937" t="str">
        <f>IF(U60="","",('XM.FILE GOC'!$G$90-U60)*3234)</f>
        <v/>
      </c>
      <c r="X60" s="910" t="s">
        <v>10</v>
      </c>
      <c r="Y60" s="1754">
        <f>'XM.FILE GOC'!AR90</f>
        <v>0.45200000000000001</v>
      </c>
      <c r="Z60" s="972"/>
      <c r="AA60" s="973">
        <f>'XM.FILE GOC'!AU90</f>
        <v>0</v>
      </c>
      <c r="AB60" s="974" t="s">
        <v>10</v>
      </c>
      <c r="AC60" s="915" t="str">
        <f>IF(Y60&gt;44.99%,"",'3.XT-C KH'!AC60)</f>
        <v/>
      </c>
      <c r="AD60" s="909" t="s">
        <v>8</v>
      </c>
      <c r="AE60" s="937" t="str">
        <f>IF(AC60="","",('XM.FILE GOC'!$G$90-AC60)*3234)</f>
        <v/>
      </c>
      <c r="AF60" s="910" t="s">
        <v>10</v>
      </c>
      <c r="AG60" s="2479"/>
    </row>
    <row r="61" spans="1:38" ht="42.75" customHeight="1">
      <c r="A61" s="2418">
        <v>8</v>
      </c>
      <c r="B61" s="3213" t="s">
        <v>1612</v>
      </c>
      <c r="C61" s="3214"/>
      <c r="D61" s="3214"/>
      <c r="E61" s="3215"/>
      <c r="F61" s="633" t="s">
        <v>6</v>
      </c>
      <c r="G61" s="898" t="str">
        <f>'XM.FILE GOC'!$E$91</f>
        <v>15~25</v>
      </c>
      <c r="H61" s="2222" t="str">
        <f>'XM.FILE GOC'!$F$91</f>
        <v>(18±2)</v>
      </c>
      <c r="I61" s="2747">
        <f>'XM.FILE GOC'!AD91</f>
        <v>0</v>
      </c>
      <c r="J61" s="972"/>
      <c r="K61" s="973">
        <f>'XM.FILE GOC'!AG91</f>
        <v>604.98</v>
      </c>
      <c r="L61" s="974" t="s">
        <v>10</v>
      </c>
      <c r="M61" s="915">
        <f>IF(I61&gt;7.99%,"",'3.XT-C KH'!M61)</f>
        <v>0</v>
      </c>
      <c r="N61" s="909" t="s">
        <v>8</v>
      </c>
      <c r="O61" s="1595">
        <f>IF(M61="","",('XM.FILE GOC'!$G$91-M61)*3361)</f>
        <v>604.98</v>
      </c>
      <c r="P61" s="910" t="s">
        <v>10</v>
      </c>
      <c r="Q61" s="2747">
        <f>'XM.FILE GOC'!AK91</f>
        <v>0</v>
      </c>
      <c r="R61" s="972"/>
      <c r="S61" s="973">
        <f>'XM.FILE GOC'!AN91</f>
        <v>604.98</v>
      </c>
      <c r="T61" s="974" t="s">
        <v>10</v>
      </c>
      <c r="U61" s="915">
        <f>IF(Q61&gt;7.99%,"",'3.XT-C KH'!U61)</f>
        <v>0</v>
      </c>
      <c r="V61" s="909" t="s">
        <v>8</v>
      </c>
      <c r="W61" s="1595">
        <f>IF(U61="","",('XM.FILE GOC'!$G$91-U61)*3361)</f>
        <v>604.98</v>
      </c>
      <c r="X61" s="910" t="s">
        <v>10</v>
      </c>
      <c r="Y61" s="2747">
        <f>'XM.FILE GOC'!AR91</f>
        <v>0</v>
      </c>
      <c r="Z61" s="972"/>
      <c r="AA61" s="973">
        <f>'XM.FILE GOC'!AU91</f>
        <v>604.98</v>
      </c>
      <c r="AB61" s="974" t="s">
        <v>10</v>
      </c>
      <c r="AC61" s="915">
        <f>IF(Y61&gt;7.99%,"",'3.XT-C KH'!AC61)</f>
        <v>0</v>
      </c>
      <c r="AD61" s="909" t="s">
        <v>8</v>
      </c>
      <c r="AE61" s="1595">
        <f>IF(AC61="","",('XM.FILE GOC'!$G$91-AC61)*3361)</f>
        <v>604.98</v>
      </c>
      <c r="AF61" s="910" t="s">
        <v>10</v>
      </c>
      <c r="AG61" s="2422" t="s">
        <v>43</v>
      </c>
    </row>
    <row r="62" spans="1:38" ht="42.75" customHeight="1">
      <c r="A62" s="2713">
        <v>9</v>
      </c>
      <c r="B62" s="3213" t="s">
        <v>1613</v>
      </c>
      <c r="C62" s="3214"/>
      <c r="D62" s="3214"/>
      <c r="E62" s="3215"/>
      <c r="F62" s="633" t="s">
        <v>6</v>
      </c>
      <c r="G62" s="898" t="str">
        <f>'XM.FILE GOC'!$E$92</f>
        <v>40~50</v>
      </c>
      <c r="H62" s="2222" t="str">
        <f>'XM.FILE GOC'!$F$92</f>
        <v>(45±5)</v>
      </c>
      <c r="I62" s="1754">
        <f>'XM.FILE GOC'!AD92</f>
        <v>0.46600000000000003</v>
      </c>
      <c r="J62" s="972"/>
      <c r="K62" s="973">
        <f>'XM.FILE GOC'!AG92</f>
        <v>0</v>
      </c>
      <c r="L62" s="974" t="s">
        <v>10</v>
      </c>
      <c r="M62" s="915" t="str">
        <f>IF(I62&gt;44.99%,"",'3.XT-C KH'!M62)</f>
        <v/>
      </c>
      <c r="N62" s="909" t="s">
        <v>8</v>
      </c>
      <c r="O62" s="1595" t="str">
        <f>IF(M62="","",('XM.FILE GOC'!$G$92-M62)*3361)</f>
        <v/>
      </c>
      <c r="P62" s="910" t="s">
        <v>10</v>
      </c>
      <c r="Q62" s="1754">
        <f>'XM.FILE GOC'!AK92</f>
        <v>0.46537500000000004</v>
      </c>
      <c r="R62" s="972"/>
      <c r="S62" s="973">
        <f>'XM.FILE GOC'!AN92</f>
        <v>0</v>
      </c>
      <c r="T62" s="974" t="s">
        <v>10</v>
      </c>
      <c r="U62" s="915" t="str">
        <f>IF(Q62&gt;44.99%,"",'3.XT-C KH'!U62)</f>
        <v/>
      </c>
      <c r="V62" s="909" t="s">
        <v>8</v>
      </c>
      <c r="W62" s="1595" t="str">
        <f>IF(U62="","",('XM.FILE GOC'!$G$92-U62)*3361)</f>
        <v/>
      </c>
      <c r="X62" s="910" t="s">
        <v>10</v>
      </c>
      <c r="Y62" s="1754">
        <f>'XM.FILE GOC'!AR92</f>
        <v>0.46081249999999996</v>
      </c>
      <c r="Z62" s="972"/>
      <c r="AA62" s="973">
        <f>'XM.FILE GOC'!AU92</f>
        <v>0</v>
      </c>
      <c r="AB62" s="974" t="s">
        <v>10</v>
      </c>
      <c r="AC62" s="915" t="str">
        <f>IF(Y62&gt;44.99%,"",'3.XT-C KH'!AC62)</f>
        <v/>
      </c>
      <c r="AD62" s="909" t="s">
        <v>8</v>
      </c>
      <c r="AE62" s="1595" t="str">
        <f>IF(AC62="","",('XM.FILE GOC'!$G$92-AC62)*3361)</f>
        <v/>
      </c>
      <c r="AF62" s="910" t="s">
        <v>10</v>
      </c>
      <c r="AG62" s="2480"/>
    </row>
    <row r="63" spans="1:38" ht="42.75" customHeight="1">
      <c r="A63" s="2710">
        <v>10</v>
      </c>
      <c r="B63" s="3203" t="s">
        <v>1614</v>
      </c>
      <c r="C63" s="3204"/>
      <c r="D63" s="3204"/>
      <c r="E63" s="3205"/>
      <c r="F63" s="633" t="s">
        <v>6</v>
      </c>
      <c r="G63" s="898" t="str">
        <f>'XM.FILE GOC'!$E$93</f>
        <v>40~50</v>
      </c>
      <c r="H63" s="2222" t="str">
        <f>'XM.FILE GOC'!$F$93</f>
        <v>(45±5)</v>
      </c>
      <c r="I63" s="1754">
        <f>'XM.FILE GOC'!AD93</f>
        <v>0.47299999999999998</v>
      </c>
      <c r="J63" s="972"/>
      <c r="K63" s="973">
        <f>'XM.FILE GOC'!AG93</f>
        <v>0</v>
      </c>
      <c r="L63" s="974" t="s">
        <v>10</v>
      </c>
      <c r="M63" s="915" t="str">
        <f>IF(I63&gt;44.99%,"",'3.XT-C KH'!M63)</f>
        <v/>
      </c>
      <c r="N63" s="911" t="s">
        <v>8</v>
      </c>
      <c r="O63" s="1595" t="str">
        <f>IF(M63="","",('XM.FILE GOC'!$G$93-M63)*10509)</f>
        <v/>
      </c>
      <c r="P63" s="912" t="s">
        <v>10</v>
      </c>
      <c r="Q63" s="1754">
        <f>'XM.FILE GOC'!AK93</f>
        <v>0.47</v>
      </c>
      <c r="R63" s="972"/>
      <c r="S63" s="973">
        <f>'XM.FILE GOC'!AN93</f>
        <v>0</v>
      </c>
      <c r="T63" s="974" t="s">
        <v>10</v>
      </c>
      <c r="U63" s="915" t="str">
        <f>IF(Q63&gt;44.99%,"",'3.XT-C KH'!U63)</f>
        <v/>
      </c>
      <c r="V63" s="911" t="s">
        <v>8</v>
      </c>
      <c r="W63" s="1595" t="str">
        <f>IF(U63="","",('XM.FILE GOC'!$G$93-U63)*10509)</f>
        <v/>
      </c>
      <c r="X63" s="912" t="s">
        <v>10</v>
      </c>
      <c r="Y63" s="1754">
        <f>'XM.FILE GOC'!AR93</f>
        <v>0.46800000000000003</v>
      </c>
      <c r="Z63" s="972"/>
      <c r="AA63" s="973">
        <f>'XM.FILE GOC'!AU93</f>
        <v>0</v>
      </c>
      <c r="AB63" s="974" t="s">
        <v>10</v>
      </c>
      <c r="AC63" s="915" t="str">
        <f>IF(Y63&gt;44.99%,"",'3.XT-C KH'!AC63)</f>
        <v/>
      </c>
      <c r="AD63" s="911" t="s">
        <v>8</v>
      </c>
      <c r="AE63" s="1595" t="str">
        <f>IF(AC63="","",('XM.FILE GOC'!$G$93-AC63)*10509)</f>
        <v/>
      </c>
      <c r="AF63" s="912" t="s">
        <v>10</v>
      </c>
      <c r="AG63" s="69" t="s">
        <v>43</v>
      </c>
    </row>
    <row r="64" spans="1:38" ht="42.75" customHeight="1">
      <c r="A64" s="2713">
        <v>11</v>
      </c>
      <c r="B64" s="3200" t="s">
        <v>957</v>
      </c>
      <c r="C64" s="3201" t="s">
        <v>957</v>
      </c>
      <c r="D64" s="3201" t="s">
        <v>957</v>
      </c>
      <c r="E64" s="3202" t="s">
        <v>957</v>
      </c>
      <c r="F64" s="633" t="s">
        <v>6</v>
      </c>
      <c r="G64" s="898" t="str">
        <f>'XM.FILE GOC'!$E$94</f>
        <v>(1±0.4)=0.6~1.4</v>
      </c>
      <c r="H64" s="2222" t="str">
        <f>'XM.FILE GOC'!$F$94</f>
        <v>(1±0.4)</v>
      </c>
      <c r="I64" s="2230">
        <f>'XM.FILE GOC'!AD94</f>
        <v>7.8120000000000004E-3</v>
      </c>
      <c r="J64" s="972" t="s">
        <v>8</v>
      </c>
      <c r="K64" s="976">
        <f>'XM.FILE GOC'!AG94</f>
        <v>6.2597086092715228</v>
      </c>
      <c r="L64" s="977" t="s">
        <v>10</v>
      </c>
      <c r="M64" s="2427">
        <f>IF(I64&gt;0.99%,"",'3.XT-C KH'!M64)</f>
        <v>0.01</v>
      </c>
      <c r="N64" s="2300" t="s">
        <v>8</v>
      </c>
      <c r="O64" s="2428">
        <f>IF(M64="","",('XM.FILE GOC'!$G$94-M64)*2808)</f>
        <v>0</v>
      </c>
      <c r="P64" s="2302" t="s">
        <v>10</v>
      </c>
      <c r="Q64" s="2230">
        <f>'XM.FILE GOC'!AK94</f>
        <v>0.01</v>
      </c>
      <c r="R64" s="972" t="s">
        <v>8</v>
      </c>
      <c r="S64" s="976">
        <f>'XM.FILE GOC'!AN94</f>
        <v>0</v>
      </c>
      <c r="T64" s="977" t="s">
        <v>10</v>
      </c>
      <c r="U64" s="2427" t="str">
        <f>IF(Q64&gt;0.99%,"",'3.XT-C KH'!U64)</f>
        <v/>
      </c>
      <c r="V64" s="2300" t="s">
        <v>8</v>
      </c>
      <c r="W64" s="2428" t="str">
        <f>IF(U64="","",('XM.FILE GOC'!$G$94-U64)*2808)</f>
        <v/>
      </c>
      <c r="X64" s="2302" t="s">
        <v>10</v>
      </c>
      <c r="Y64" s="2230">
        <f>'XM.FILE GOC'!AR94</f>
        <v>8.064E-3</v>
      </c>
      <c r="Z64" s="972" t="s">
        <v>8</v>
      </c>
      <c r="AA64" s="976">
        <f>'XM.FILE GOC'!AU94</f>
        <v>5.5387549668874172</v>
      </c>
      <c r="AB64" s="977" t="s">
        <v>10</v>
      </c>
      <c r="AC64" s="2427">
        <f>IF(Y64&gt;0.99%,"",'3.XT-C KH'!AC64)</f>
        <v>0.01</v>
      </c>
      <c r="AD64" s="2300" t="s">
        <v>8</v>
      </c>
      <c r="AE64" s="2428">
        <f>IF(AC64="","",('XM.FILE GOC'!$G$94-AC64)*2808)</f>
        <v>0</v>
      </c>
      <c r="AF64" s="2302" t="s">
        <v>10</v>
      </c>
      <c r="AG64" s="2411" t="s">
        <v>44</v>
      </c>
    </row>
    <row r="65" spans="1:38" ht="42.75" customHeight="1">
      <c r="A65" s="2710">
        <v>12</v>
      </c>
      <c r="B65" s="3083" t="s">
        <v>74</v>
      </c>
      <c r="C65" s="3084"/>
      <c r="D65" s="3084"/>
      <c r="E65" s="3085"/>
      <c r="F65" s="2" t="s">
        <v>3</v>
      </c>
      <c r="G65" s="898" t="str">
        <f>'XM.GUI MAIL'!$E$95</f>
        <v>5~8</v>
      </c>
      <c r="H65" s="2222" t="str">
        <f>'XM.GUI MAIL'!$F$95</f>
        <v>(6±0.5)</v>
      </c>
      <c r="I65" s="1840">
        <f>'XM.FILE GOC'!AD95</f>
        <v>6</v>
      </c>
      <c r="J65" s="972" t="s">
        <v>8</v>
      </c>
      <c r="K65" s="973">
        <f>'XM.FILE GOC'!AG95</f>
        <v>0</v>
      </c>
      <c r="L65" s="977" t="s">
        <v>10</v>
      </c>
      <c r="M65" s="2258" t="str">
        <f>IF(I65&gt;5.99,"",'3.XT-C KH'!M65)</f>
        <v/>
      </c>
      <c r="N65" s="909" t="s">
        <v>8</v>
      </c>
      <c r="O65" s="937" t="str">
        <f>IF(M65="","",('XM.FILE GOC'!$G$95-M65)*4042/95*1.028)</f>
        <v/>
      </c>
      <c r="P65" s="910" t="s">
        <v>10</v>
      </c>
      <c r="Q65" s="1840">
        <f>'XM.FILE GOC'!AK95</f>
        <v>5.76</v>
      </c>
      <c r="R65" s="972" t="s">
        <v>8</v>
      </c>
      <c r="S65" s="973">
        <f>'XM.FILE GOC'!AN95</f>
        <v>8.9860042105263229</v>
      </c>
      <c r="T65" s="977" t="s">
        <v>10</v>
      </c>
      <c r="U65" s="2258">
        <f>IF(Q65&gt;5.99,"",'3.XT-C KH'!U65)</f>
        <v>6.2</v>
      </c>
      <c r="V65" s="909" t="s">
        <v>8</v>
      </c>
      <c r="W65" s="937">
        <f>IF(U65="","",('XM.FILE GOC'!$G$95-U65)*4042/95*1.028)</f>
        <v>-8.7477389473684308</v>
      </c>
      <c r="X65" s="910" t="s">
        <v>10</v>
      </c>
      <c r="Y65" s="1840">
        <f>'XM.FILE GOC'!AR95</f>
        <v>6.1</v>
      </c>
      <c r="Z65" s="972" t="s">
        <v>8</v>
      </c>
      <c r="AA65" s="973">
        <f>'XM.FILE GOC'!AU95</f>
        <v>0</v>
      </c>
      <c r="AB65" s="977" t="s">
        <v>10</v>
      </c>
      <c r="AC65" s="2258" t="str">
        <f>IF(Y65&gt;5.99,"",'3.XT-C KH'!AC65)</f>
        <v/>
      </c>
      <c r="AD65" s="909" t="s">
        <v>8</v>
      </c>
      <c r="AE65" s="937" t="str">
        <f>IF(AC65="","",('XM.FILE GOC'!$G$95-AC65)*4042/95*1.028)</f>
        <v/>
      </c>
      <c r="AF65" s="910" t="s">
        <v>10</v>
      </c>
      <c r="AG65" s="2409"/>
    </row>
    <row r="66" spans="1:38" ht="42.75" customHeight="1">
      <c r="A66" s="2713">
        <v>13</v>
      </c>
      <c r="B66" s="3086"/>
      <c r="C66" s="3087"/>
      <c r="D66" s="3087"/>
      <c r="E66" s="3088"/>
      <c r="F66" s="2" t="s">
        <v>5</v>
      </c>
      <c r="G66" s="898" t="str">
        <f>'XM.GUI MAIL'!$E$96</f>
        <v>1.8~2.4</v>
      </c>
      <c r="H66" s="2222" t="str">
        <f>'XM.GUI MAIL'!$F$96</f>
        <v>(2.1±0.1)</v>
      </c>
      <c r="I66" s="1768">
        <f>'XM.FILE GOC'!AD96</f>
        <v>2</v>
      </c>
      <c r="J66" s="972" t="s">
        <v>8</v>
      </c>
      <c r="K66" s="976"/>
      <c r="L66" s="977"/>
      <c r="M66" s="916"/>
      <c r="N66" s="948"/>
      <c r="O66" s="1597"/>
      <c r="P66" s="918"/>
      <c r="Q66" s="1768">
        <f>'XM.FILE GOC'!AK96</f>
        <v>2.0299999999999998</v>
      </c>
      <c r="R66" s="972" t="s">
        <v>8</v>
      </c>
      <c r="S66" s="976">
        <f>'XM.FILE GOC'!AN96</f>
        <v>0</v>
      </c>
      <c r="T66" s="977" t="s">
        <v>10</v>
      </c>
      <c r="U66" s="916"/>
      <c r="V66" s="948"/>
      <c r="W66" s="1597"/>
      <c r="X66" s="918"/>
      <c r="Y66" s="1768">
        <f>'XM.FILE GOC'!AR96</f>
        <v>2.02</v>
      </c>
      <c r="Z66" s="972" t="s">
        <v>8</v>
      </c>
      <c r="AA66" s="976">
        <f>'XM.FILE GOC'!AU96</f>
        <v>0</v>
      </c>
      <c r="AB66" s="977" t="s">
        <v>10</v>
      </c>
      <c r="AC66" s="916"/>
      <c r="AD66" s="948"/>
      <c r="AE66" s="1597"/>
      <c r="AF66" s="918"/>
      <c r="AG66" s="2409"/>
    </row>
    <row r="67" spans="1:38" ht="36.75" customHeight="1">
      <c r="A67" s="2418"/>
      <c r="B67" s="2449" t="s">
        <v>1312</v>
      </c>
      <c r="C67" s="2450"/>
      <c r="D67" s="2450"/>
      <c r="E67" s="2450"/>
      <c r="F67" s="2450"/>
      <c r="G67" s="2450"/>
      <c r="H67" s="2450"/>
      <c r="I67" s="2450"/>
      <c r="J67" s="2450"/>
      <c r="K67" s="2450"/>
      <c r="L67" s="2450"/>
      <c r="M67" s="2450"/>
      <c r="N67" s="2450"/>
      <c r="O67" s="2450"/>
      <c r="P67" s="2450"/>
      <c r="Q67" s="2450"/>
      <c r="R67" s="2450"/>
      <c r="S67" s="2450"/>
      <c r="T67" s="2450"/>
      <c r="U67" s="2450"/>
      <c r="V67" s="2450"/>
      <c r="W67" s="2450"/>
      <c r="X67" s="2450"/>
      <c r="Y67" s="2450"/>
      <c r="Z67" s="2450"/>
      <c r="AA67" s="2450"/>
      <c r="AB67" s="2450"/>
      <c r="AC67" s="2450"/>
      <c r="AD67" s="2450"/>
      <c r="AE67" s="2450"/>
      <c r="AF67" s="2450"/>
      <c r="AG67" s="2451"/>
    </row>
    <row r="68" spans="1:38" ht="53.25" customHeight="1">
      <c r="A68" s="2418" t="s">
        <v>7</v>
      </c>
      <c r="B68" s="3167" t="s">
        <v>958</v>
      </c>
      <c r="C68" s="3168"/>
      <c r="D68" s="3168"/>
      <c r="E68" s="3169"/>
      <c r="F68" s="2414" t="s">
        <v>959</v>
      </c>
      <c r="G68" s="2414" t="s">
        <v>1310</v>
      </c>
      <c r="H68" s="2224" t="s">
        <v>1302</v>
      </c>
      <c r="I68" s="3160" t="s">
        <v>960</v>
      </c>
      <c r="J68" s="3159"/>
      <c r="K68" s="3160" t="s">
        <v>961</v>
      </c>
      <c r="L68" s="3159"/>
      <c r="M68" s="919"/>
      <c r="N68" s="920"/>
      <c r="O68" s="920"/>
      <c r="P68" s="921"/>
      <c r="Q68" s="3160" t="s">
        <v>960</v>
      </c>
      <c r="R68" s="3159"/>
      <c r="S68" s="3160" t="s">
        <v>961</v>
      </c>
      <c r="T68" s="3159"/>
      <c r="U68" s="919"/>
      <c r="V68" s="920"/>
      <c r="W68" s="920"/>
      <c r="X68" s="921"/>
      <c r="Y68" s="3160" t="s">
        <v>960</v>
      </c>
      <c r="Z68" s="3159"/>
      <c r="AA68" s="3160" t="s">
        <v>961</v>
      </c>
      <c r="AB68" s="3159"/>
      <c r="AC68" s="919"/>
      <c r="AD68" s="920"/>
      <c r="AE68" s="920"/>
      <c r="AF68" s="921"/>
      <c r="AG68" s="10"/>
    </row>
    <row r="69" spans="1:38" ht="49.5" customHeight="1">
      <c r="A69" s="2418">
        <v>1</v>
      </c>
      <c r="B69" s="3167" t="s">
        <v>962</v>
      </c>
      <c r="C69" s="3168"/>
      <c r="D69" s="3168"/>
      <c r="E69" s="3169"/>
      <c r="F69" s="979" t="s">
        <v>963</v>
      </c>
      <c r="G69" s="898" t="str">
        <f>'XM.FILE GOC'!$E$105</f>
        <v>50~70</v>
      </c>
      <c r="H69" s="2222" t="str">
        <f>'XM.FILE GOC'!$F$105</f>
        <v>(60±5)</v>
      </c>
      <c r="I69" s="3113">
        <f>'3.XT-C KH'!I69</f>
        <v>61</v>
      </c>
      <c r="J69" s="3112"/>
      <c r="K69" s="3112">
        <f>'3.XT-C KH'!K69</f>
        <v>60</v>
      </c>
      <c r="L69" s="3112"/>
      <c r="M69" s="922"/>
      <c r="N69" s="923"/>
      <c r="O69" s="923"/>
      <c r="P69" s="924"/>
      <c r="Q69" s="3112">
        <f>'3.XT-C KH'!Q69</f>
        <v>61</v>
      </c>
      <c r="R69" s="3112"/>
      <c r="S69" s="3112">
        <f>'3.XT-C KH'!S69:T69</f>
        <v>60</v>
      </c>
      <c r="T69" s="3112"/>
      <c r="U69" s="922"/>
      <c r="V69" s="923"/>
      <c r="W69" s="923"/>
      <c r="X69" s="924"/>
      <c r="Y69" s="3112">
        <f>'3.XT-C KH'!Y69</f>
        <v>61</v>
      </c>
      <c r="Z69" s="3112"/>
      <c r="AA69" s="3112">
        <f>'3.XT-C KH'!AA69</f>
        <v>60</v>
      </c>
      <c r="AB69" s="3112"/>
      <c r="AC69" s="922"/>
      <c r="AD69" s="923"/>
      <c r="AE69" s="923"/>
      <c r="AF69" s="924"/>
      <c r="AG69" s="2421"/>
    </row>
    <row r="70" spans="1:38" ht="49.5" customHeight="1">
      <c r="A70" s="2418">
        <v>2</v>
      </c>
      <c r="B70" s="3167" t="s">
        <v>964</v>
      </c>
      <c r="C70" s="3168"/>
      <c r="D70" s="3168"/>
      <c r="E70" s="3169"/>
      <c r="F70" s="979" t="s">
        <v>963</v>
      </c>
      <c r="G70" s="898" t="str">
        <f>'XM.FILE GOC'!$E$106</f>
        <v>50~70</v>
      </c>
      <c r="H70" s="2222" t="str">
        <f>'XM.FILE GOC'!$F$106</f>
        <v>(60±5)</v>
      </c>
      <c r="I70" s="3113">
        <f>'3.XT-C KH'!I70</f>
        <v>61</v>
      </c>
      <c r="J70" s="3112"/>
      <c r="K70" s="3112">
        <f>'3.XT-C KH'!K70</f>
        <v>60</v>
      </c>
      <c r="L70" s="3112"/>
      <c r="M70" s="922"/>
      <c r="N70" s="923"/>
      <c r="O70" s="923"/>
      <c r="P70" s="924"/>
      <c r="Q70" s="3112">
        <f>'3.XT-C KH'!Q70</f>
        <v>61</v>
      </c>
      <c r="R70" s="3112"/>
      <c r="S70" s="3112">
        <f>'3.XT-C KH'!S70:T70</f>
        <v>60</v>
      </c>
      <c r="T70" s="3112"/>
      <c r="U70" s="922"/>
      <c r="V70" s="923"/>
      <c r="W70" s="923"/>
      <c r="X70" s="924"/>
      <c r="Y70" s="3112">
        <f>'3.XT-C KH'!Y70</f>
        <v>62</v>
      </c>
      <c r="Z70" s="3112"/>
      <c r="AA70" s="3112">
        <f>'3.XT-C KH'!AA70</f>
        <v>61</v>
      </c>
      <c r="AB70" s="3112"/>
      <c r="AC70" s="922"/>
      <c r="AD70" s="923"/>
      <c r="AE70" s="923"/>
      <c r="AF70" s="924"/>
      <c r="AG70" s="2421"/>
    </row>
    <row r="71" spans="1:38" ht="49.5" customHeight="1">
      <c r="A71" s="2418">
        <v>3</v>
      </c>
      <c r="B71" s="3167" t="s">
        <v>965</v>
      </c>
      <c r="C71" s="3168"/>
      <c r="D71" s="3168"/>
      <c r="E71" s="3169"/>
      <c r="F71" s="979" t="s">
        <v>963</v>
      </c>
      <c r="G71" s="898" t="str">
        <f>'XM.FILE GOC'!$E$107</f>
        <v>50~70</v>
      </c>
      <c r="H71" s="2222" t="str">
        <f>'XM.FILE GOC'!$F$107</f>
        <v>(60±5)</v>
      </c>
      <c r="I71" s="3113">
        <f>'3.XT-C KH'!I71</f>
        <v>61</v>
      </c>
      <c r="J71" s="3112"/>
      <c r="K71" s="3112">
        <f>'3.XT-C KH'!K71</f>
        <v>60</v>
      </c>
      <c r="L71" s="3112"/>
      <c r="M71" s="922"/>
      <c r="N71" s="923"/>
      <c r="O71" s="923"/>
      <c r="P71" s="924"/>
      <c r="Q71" s="3112">
        <f>'3.XT-C KH'!Q71</f>
        <v>61</v>
      </c>
      <c r="R71" s="3112"/>
      <c r="S71" s="3112">
        <f>'3.XT-C KH'!S71:T71</f>
        <v>60</v>
      </c>
      <c r="T71" s="3112"/>
      <c r="U71" s="922"/>
      <c r="V71" s="923"/>
      <c r="W71" s="923"/>
      <c r="X71" s="924"/>
      <c r="Y71" s="3112">
        <f>'3.XT-C KH'!Y71</f>
        <v>61</v>
      </c>
      <c r="Z71" s="3112"/>
      <c r="AA71" s="3112">
        <f>'3.XT-C KH'!AA71</f>
        <v>60</v>
      </c>
      <c r="AB71" s="3112"/>
      <c r="AC71" s="922"/>
      <c r="AD71" s="923"/>
      <c r="AE71" s="923"/>
      <c r="AF71" s="924"/>
      <c r="AG71" s="2421"/>
    </row>
    <row r="72" spans="1:38" ht="49.5" customHeight="1">
      <c r="A72" s="2418">
        <v>4</v>
      </c>
      <c r="B72" s="3167" t="s">
        <v>966</v>
      </c>
      <c r="C72" s="3168"/>
      <c r="D72" s="3168"/>
      <c r="E72" s="3169"/>
      <c r="F72" s="979" t="s">
        <v>963</v>
      </c>
      <c r="G72" s="898" t="str">
        <f>'XM.FILE GOC'!$E$108</f>
        <v>50~70</v>
      </c>
      <c r="H72" s="2222" t="str">
        <f>'XM.FILE GOC'!$F$108</f>
        <v>(60±5)</v>
      </c>
      <c r="I72" s="3113">
        <f>'3.XT-C KH'!I72</f>
        <v>60</v>
      </c>
      <c r="J72" s="3112"/>
      <c r="K72" s="3112">
        <f>'3.XT-C KH'!K72</f>
        <v>59</v>
      </c>
      <c r="L72" s="3112"/>
      <c r="M72" s="922"/>
      <c r="N72" s="923"/>
      <c r="O72" s="923"/>
      <c r="P72" s="924"/>
      <c r="Q72" s="3112">
        <f>'3.XT-C KH'!Q72</f>
        <v>60</v>
      </c>
      <c r="R72" s="3112"/>
      <c r="S72" s="3112">
        <f>'3.XT-C KH'!S72:T72</f>
        <v>59</v>
      </c>
      <c r="T72" s="3112"/>
      <c r="U72" s="922"/>
      <c r="V72" s="923"/>
      <c r="W72" s="923"/>
      <c r="X72" s="924"/>
      <c r="Y72" s="3112">
        <f>'3.XT-C KH'!Y72</f>
        <v>60</v>
      </c>
      <c r="Z72" s="3112"/>
      <c r="AA72" s="3112">
        <f>'3.XT-C KH'!AA72</f>
        <v>59</v>
      </c>
      <c r="AB72" s="3112"/>
      <c r="AC72" s="922"/>
      <c r="AD72" s="923"/>
      <c r="AE72" s="923"/>
      <c r="AF72" s="924"/>
      <c r="AG72" s="2421"/>
    </row>
    <row r="73" spans="1:38" ht="49.5" customHeight="1">
      <c r="A73" s="2418">
        <v>5</v>
      </c>
      <c r="B73" s="3810" t="s">
        <v>967</v>
      </c>
      <c r="C73" s="3811"/>
      <c r="D73" s="3811"/>
      <c r="E73" s="3812"/>
      <c r="F73" s="1583" t="s">
        <v>963</v>
      </c>
      <c r="G73" s="1584" t="str">
        <f>'XM.FILE GOC'!$E$109</f>
        <v>22~28</v>
      </c>
      <c r="H73" s="2236" t="str">
        <f>'XM.FILE GOC'!$F$109</f>
        <v>(25±3)</v>
      </c>
      <c r="I73" s="3813">
        <f>'3.XT-C KH'!I73</f>
        <v>25</v>
      </c>
      <c r="J73" s="3814"/>
      <c r="K73" s="3814">
        <f>'3.XT-C KH'!K73</f>
        <v>24</v>
      </c>
      <c r="L73" s="3814"/>
      <c r="M73" s="922"/>
      <c r="N73" s="923"/>
      <c r="O73" s="923"/>
      <c r="P73" s="924"/>
      <c r="Q73" s="3814">
        <f>'3.XT-C KH'!Q73</f>
        <v>25</v>
      </c>
      <c r="R73" s="3814"/>
      <c r="S73" s="3814">
        <f>'3.XT-C KH'!S73:T73</f>
        <v>24</v>
      </c>
      <c r="T73" s="3814"/>
      <c r="U73" s="922"/>
      <c r="V73" s="923"/>
      <c r="W73" s="923"/>
      <c r="X73" s="924"/>
      <c r="Y73" s="3814">
        <f>'3.XT-C KH'!Y73</f>
        <v>26</v>
      </c>
      <c r="Z73" s="3814"/>
      <c r="AA73" s="3814">
        <f>'3.XT-C KH'!AA73</f>
        <v>25</v>
      </c>
      <c r="AB73" s="3814"/>
      <c r="AC73" s="922"/>
      <c r="AD73" s="923"/>
      <c r="AE73" s="923"/>
      <c r="AF73" s="924"/>
      <c r="AG73" s="2421"/>
    </row>
    <row r="74" spans="1:38" ht="49.5" customHeight="1">
      <c r="A74" s="1582">
        <v>6</v>
      </c>
      <c r="B74" s="3167" t="s">
        <v>968</v>
      </c>
      <c r="C74" s="3168"/>
      <c r="D74" s="3168"/>
      <c r="E74" s="3169"/>
      <c r="F74" s="979" t="s">
        <v>963</v>
      </c>
      <c r="G74" s="898" t="str">
        <f>'XM.FILE GOC'!$E$110</f>
        <v>30~40</v>
      </c>
      <c r="H74" s="2222" t="str">
        <f>'XM.FILE GOC'!$F$110</f>
        <v>(34±3)</v>
      </c>
      <c r="I74" s="3113">
        <f>'3.XT-C KH'!I74</f>
        <v>34</v>
      </c>
      <c r="J74" s="3112"/>
      <c r="K74" s="3112">
        <f>'3.XT-C KH'!K74</f>
        <v>33</v>
      </c>
      <c r="L74" s="3112"/>
      <c r="M74" s="922"/>
      <c r="N74" s="923"/>
      <c r="O74" s="923"/>
      <c r="P74" s="924"/>
      <c r="Q74" s="3112">
        <f>'3.XT-C KH'!Q74</f>
        <v>34</v>
      </c>
      <c r="R74" s="3112"/>
      <c r="S74" s="3112">
        <f>'3.XT-C KH'!S74:T74</f>
        <v>33</v>
      </c>
      <c r="T74" s="3112"/>
      <c r="U74" s="922"/>
      <c r="V74" s="923"/>
      <c r="W74" s="923"/>
      <c r="X74" s="924"/>
      <c r="Y74" s="3112">
        <f>'3.XT-C KH'!Y74</f>
        <v>34</v>
      </c>
      <c r="Z74" s="3112"/>
      <c r="AA74" s="3112">
        <f>'3.XT-C KH'!AA74</f>
        <v>33</v>
      </c>
      <c r="AB74" s="3112"/>
      <c r="AC74" s="923"/>
      <c r="AD74" s="923"/>
      <c r="AE74" s="923"/>
      <c r="AF74" s="924"/>
      <c r="AG74" s="2421"/>
      <c r="AI74" s="1578"/>
      <c r="AJ74" s="946"/>
      <c r="AK74" s="946"/>
      <c r="AL74" s="946"/>
    </row>
    <row r="75" spans="1:38" ht="49.5" customHeight="1">
      <c r="A75" s="2418">
        <v>7</v>
      </c>
      <c r="B75" s="3803" t="s">
        <v>969</v>
      </c>
      <c r="C75" s="3804"/>
      <c r="D75" s="3804"/>
      <c r="E75" s="3805"/>
      <c r="F75" s="1585" t="s">
        <v>963</v>
      </c>
      <c r="G75" s="1586" t="str">
        <f>'XM.FILE GOC'!$E$111</f>
        <v>55~65</v>
      </c>
      <c r="H75" s="2238" t="str">
        <f>'XM.FILE GOC'!$F$111</f>
        <v>(60±5)</v>
      </c>
      <c r="I75" s="3806">
        <f>'3.XT-C KH'!I75</f>
        <v>57</v>
      </c>
      <c r="J75" s="3807"/>
      <c r="K75" s="3807">
        <f>'3.XT-C KH'!K75</f>
        <v>56</v>
      </c>
      <c r="L75" s="3807"/>
      <c r="M75" s="922"/>
      <c r="N75" s="923"/>
      <c r="O75" s="923"/>
      <c r="P75" s="924"/>
      <c r="Q75" s="3807">
        <f>'3.XT-C KH'!Q75</f>
        <v>58</v>
      </c>
      <c r="R75" s="3807"/>
      <c r="S75" s="3807">
        <f>'3.XT-C KH'!S75</f>
        <v>57</v>
      </c>
      <c r="T75" s="3807"/>
      <c r="U75" s="922"/>
      <c r="V75" s="923"/>
      <c r="W75" s="923"/>
      <c r="X75" s="924"/>
      <c r="Y75" s="3807">
        <f>'3.XT-C KH'!Y75</f>
        <v>59</v>
      </c>
      <c r="Z75" s="3807"/>
      <c r="AA75" s="3807">
        <f>'3.XT-C KH'!AA75</f>
        <v>58</v>
      </c>
      <c r="AB75" s="3807"/>
      <c r="AC75" s="922"/>
      <c r="AD75" s="923"/>
      <c r="AE75" s="923"/>
      <c r="AF75" s="924"/>
      <c r="AG75" s="2421"/>
    </row>
    <row r="76" spans="1:38" ht="49.5" customHeight="1">
      <c r="A76" s="2418">
        <v>8</v>
      </c>
      <c r="B76" s="3167" t="s">
        <v>970</v>
      </c>
      <c r="C76" s="3168"/>
      <c r="D76" s="3168"/>
      <c r="E76" s="3169"/>
      <c r="F76" s="979" t="s">
        <v>963</v>
      </c>
      <c r="G76" s="898" t="str">
        <f>'XM.FILE GOC'!$E$112</f>
        <v>80~100</v>
      </c>
      <c r="H76" s="2222" t="str">
        <f>'XM.FILE GOC'!$F$112</f>
        <v>(90±5)</v>
      </c>
      <c r="I76" s="3159" t="str">
        <f>'3.XT-C KH'!I76</f>
        <v>\</v>
      </c>
      <c r="J76" s="3191"/>
      <c r="K76" s="3112">
        <f>'3.XT-C KH'!K76</f>
        <v>94</v>
      </c>
      <c r="L76" s="3112"/>
      <c r="M76" s="922"/>
      <c r="N76" s="923"/>
      <c r="O76" s="923"/>
      <c r="P76" s="924"/>
      <c r="Q76" s="3191" t="str">
        <f>'3.XT-C KH'!Q76</f>
        <v>\</v>
      </c>
      <c r="R76" s="3191"/>
      <c r="S76" s="3112">
        <f>'3.XT-C KH'!S76</f>
        <v>92</v>
      </c>
      <c r="T76" s="3112"/>
      <c r="U76" s="922"/>
      <c r="V76" s="923"/>
      <c r="W76" s="923"/>
      <c r="X76" s="924"/>
      <c r="Y76" s="3191" t="str">
        <f>'3.XT-C KH'!Y76</f>
        <v>\</v>
      </c>
      <c r="Z76" s="3191"/>
      <c r="AA76" s="3112">
        <f>'3.XT-C KH'!AA76</f>
        <v>92</v>
      </c>
      <c r="AB76" s="3112"/>
      <c r="AC76" s="922"/>
      <c r="AD76" s="923"/>
      <c r="AE76" s="923"/>
      <c r="AF76" s="924"/>
      <c r="AG76" s="2421"/>
    </row>
    <row r="77" spans="1:38" ht="49.5" customHeight="1">
      <c r="A77" s="2418">
        <v>9</v>
      </c>
      <c r="B77" s="3192" t="s">
        <v>1288</v>
      </c>
      <c r="C77" s="3193"/>
      <c r="D77" s="3193"/>
      <c r="E77" s="3194"/>
      <c r="F77" s="979" t="s">
        <v>963</v>
      </c>
      <c r="G77" s="898" t="str">
        <f>'XM.FILE GOC'!$E$113</f>
        <v>40~60</v>
      </c>
      <c r="H77" s="2222" t="str">
        <f>'XM.FILE GOC'!$F$113</f>
        <v>(50±10)</v>
      </c>
      <c r="I77" s="3190">
        <f>'3.XT-C KH'!I77</f>
        <v>60</v>
      </c>
      <c r="J77" s="3188"/>
      <c r="K77" s="3188">
        <f>'3.XT-C KH'!K77</f>
        <v>59</v>
      </c>
      <c r="L77" s="3188"/>
      <c r="M77" s="922"/>
      <c r="N77" s="923"/>
      <c r="O77" s="923"/>
      <c r="P77" s="924"/>
      <c r="Q77" s="3188">
        <f>'3.XT-C KH'!Q77</f>
        <v>59</v>
      </c>
      <c r="R77" s="3188"/>
      <c r="S77" s="3188">
        <f>'3.XT-C KH'!S77</f>
        <v>58</v>
      </c>
      <c r="T77" s="3188"/>
      <c r="U77" s="922"/>
      <c r="V77" s="923"/>
      <c r="W77" s="923"/>
      <c r="X77" s="924"/>
      <c r="Y77" s="3188">
        <f>'3.XT-C KH'!Y77</f>
        <v>59</v>
      </c>
      <c r="Z77" s="3188"/>
      <c r="AA77" s="3188">
        <f>'3.XT-C KH'!AA77</f>
        <v>58</v>
      </c>
      <c r="AB77" s="3188"/>
      <c r="AC77" s="922"/>
      <c r="AD77" s="923"/>
      <c r="AE77" s="923"/>
      <c r="AF77" s="924"/>
      <c r="AG77" s="896"/>
    </row>
    <row r="78" spans="1:38" ht="49.5" customHeight="1">
      <c r="A78" s="2418">
        <v>10</v>
      </c>
      <c r="B78" s="3192" t="s">
        <v>1290</v>
      </c>
      <c r="C78" s="3193"/>
      <c r="D78" s="3193"/>
      <c r="E78" s="3194"/>
      <c r="F78" s="979" t="s">
        <v>963</v>
      </c>
      <c r="G78" s="898" t="str">
        <f>'XM.FILE GOC'!$E$114</f>
        <v>50~70</v>
      </c>
      <c r="H78" s="2222" t="str">
        <f>'XM.FILE GOC'!$F$114</f>
        <v>(60±10)</v>
      </c>
      <c r="I78" s="3190">
        <f>'3.XT-C KH'!I78</f>
        <v>58</v>
      </c>
      <c r="J78" s="3188"/>
      <c r="K78" s="3188">
        <f>'3.XT-C KH'!K78</f>
        <v>57</v>
      </c>
      <c r="L78" s="3188"/>
      <c r="M78" s="922"/>
      <c r="N78" s="923"/>
      <c r="O78" s="923"/>
      <c r="P78" s="924"/>
      <c r="Q78" s="3188">
        <f>'3.XT-C KH'!Q78</f>
        <v>60</v>
      </c>
      <c r="R78" s="3188"/>
      <c r="S78" s="3188">
        <f>'3.XT-C KH'!S78</f>
        <v>59</v>
      </c>
      <c r="T78" s="3188"/>
      <c r="U78" s="922"/>
      <c r="V78" s="923"/>
      <c r="W78" s="923"/>
      <c r="X78" s="924"/>
      <c r="Y78" s="3188">
        <f>'3.XT-C KH'!Y78</f>
        <v>55</v>
      </c>
      <c r="Z78" s="3188"/>
      <c r="AA78" s="3188">
        <f>'3.XT-C KH'!AA78</f>
        <v>54</v>
      </c>
      <c r="AB78" s="3188"/>
      <c r="AC78" s="922"/>
      <c r="AD78" s="923"/>
      <c r="AE78" s="923"/>
      <c r="AF78" s="924"/>
      <c r="AG78" s="896"/>
    </row>
    <row r="79" spans="1:38" ht="49.5" hidden="1" customHeight="1">
      <c r="A79" s="2418"/>
      <c r="B79" s="2415"/>
      <c r="C79" s="2416"/>
      <c r="D79" s="2416"/>
      <c r="E79" s="2416"/>
      <c r="F79" s="2277"/>
      <c r="G79" s="2276"/>
      <c r="H79" s="2276"/>
      <c r="I79" s="2420"/>
      <c r="J79" s="2420"/>
      <c r="K79" s="2420"/>
      <c r="L79" s="2420"/>
      <c r="M79" s="923"/>
      <c r="N79" s="923"/>
      <c r="O79" s="923"/>
      <c r="P79" s="923"/>
      <c r="Q79" s="2420"/>
      <c r="R79" s="2420"/>
      <c r="S79" s="2420"/>
      <c r="T79" s="2420"/>
      <c r="U79" s="923"/>
      <c r="V79" s="923"/>
      <c r="W79" s="923"/>
      <c r="X79" s="923"/>
      <c r="Y79" s="2420"/>
      <c r="Z79" s="2420"/>
      <c r="AA79" s="2420"/>
      <c r="AB79" s="2420"/>
      <c r="AC79" s="923"/>
      <c r="AD79" s="923"/>
      <c r="AE79" s="923"/>
      <c r="AF79" s="923"/>
      <c r="AG79" s="896"/>
    </row>
    <row r="80" spans="1:38" ht="33" customHeight="1">
      <c r="A80" s="2418"/>
      <c r="B80" s="2449" t="s">
        <v>1311</v>
      </c>
      <c r="C80" s="2450"/>
      <c r="D80" s="2450"/>
      <c r="E80" s="2450"/>
      <c r="F80" s="2450"/>
      <c r="G80" s="2450"/>
      <c r="H80" s="2450"/>
      <c r="I80" s="2450"/>
      <c r="J80" s="2450"/>
      <c r="K80" s="2450"/>
      <c r="L80" s="2450"/>
      <c r="M80" s="2450"/>
      <c r="N80" s="2450"/>
      <c r="O80" s="2450"/>
      <c r="P80" s="2450"/>
      <c r="Q80" s="2450"/>
      <c r="R80" s="2450"/>
      <c r="S80" s="2450"/>
      <c r="T80" s="2450"/>
      <c r="U80" s="2450"/>
      <c r="V80" s="2450"/>
      <c r="W80" s="2450"/>
      <c r="X80" s="2450"/>
      <c r="Y80" s="2450"/>
      <c r="Z80" s="2450"/>
      <c r="AA80" s="2450"/>
      <c r="AB80" s="2450"/>
      <c r="AC80" s="2450"/>
      <c r="AD80" s="2450"/>
      <c r="AE80" s="2450"/>
      <c r="AF80" s="2450"/>
      <c r="AG80" s="2451"/>
    </row>
    <row r="81" spans="1:33" ht="57" customHeight="1">
      <c r="A81" s="2418" t="s">
        <v>7</v>
      </c>
      <c r="B81" s="3167" t="s">
        <v>971</v>
      </c>
      <c r="C81" s="3168"/>
      <c r="D81" s="3168"/>
      <c r="E81" s="3169"/>
      <c r="F81" s="2414" t="s">
        <v>737</v>
      </c>
      <c r="G81" s="2414" t="s">
        <v>1310</v>
      </c>
      <c r="H81" s="2224" t="s">
        <v>1302</v>
      </c>
      <c r="I81" s="3158" t="s">
        <v>972</v>
      </c>
      <c r="J81" s="3158"/>
      <c r="K81" s="3158"/>
      <c r="L81" s="3159"/>
      <c r="M81" s="919"/>
      <c r="N81" s="920"/>
      <c r="O81" s="920"/>
      <c r="P81" s="921"/>
      <c r="Q81" s="3160" t="s">
        <v>972</v>
      </c>
      <c r="R81" s="3158"/>
      <c r="S81" s="3158"/>
      <c r="T81" s="3159"/>
      <c r="U81" s="919"/>
      <c r="V81" s="920"/>
      <c r="W81" s="920"/>
      <c r="X81" s="921"/>
      <c r="Y81" s="3160" t="s">
        <v>972</v>
      </c>
      <c r="Z81" s="3158"/>
      <c r="AA81" s="3158"/>
      <c r="AB81" s="3159"/>
      <c r="AC81" s="919"/>
      <c r="AD81" s="920"/>
      <c r="AE81" s="920"/>
      <c r="AF81" s="921"/>
      <c r="AG81" s="10"/>
    </row>
    <row r="82" spans="1:33" ht="53.25" customHeight="1">
      <c r="A82" s="2418">
        <v>1</v>
      </c>
      <c r="B82" s="3130" t="s">
        <v>1597</v>
      </c>
      <c r="C82" s="3131"/>
      <c r="D82" s="3131"/>
      <c r="E82" s="3132"/>
      <c r="F82" s="633" t="s">
        <v>48</v>
      </c>
      <c r="G82" s="898" t="str">
        <f>'XM.FILE GOC'!$E$120</f>
        <v>30~50 
(40)</v>
      </c>
      <c r="H82" s="2222" t="str">
        <f>'XM.FILE GOC'!$F$120</f>
        <v>30~50 
(40)</v>
      </c>
      <c r="I82" s="3047">
        <f>'3.XT-C KH'!I82:L82</f>
        <v>42</v>
      </c>
      <c r="J82" s="3047"/>
      <c r="K82" s="3047"/>
      <c r="L82" s="3048"/>
      <c r="M82" s="1307"/>
      <c r="N82" s="1308"/>
      <c r="O82" s="1308"/>
      <c r="P82" s="1309"/>
      <c r="Q82" s="3046">
        <f>'3.XT-C KH'!Q82:T82</f>
        <v>43</v>
      </c>
      <c r="R82" s="3047"/>
      <c r="S82" s="3047"/>
      <c r="T82" s="3047"/>
      <c r="U82" s="1307"/>
      <c r="V82" s="1308"/>
      <c r="W82" s="1308"/>
      <c r="X82" s="1309"/>
      <c r="Y82" s="3046">
        <f>'3.XT-C KH'!Y82:AB82</f>
        <v>42</v>
      </c>
      <c r="Z82" s="3047"/>
      <c r="AA82" s="3047"/>
      <c r="AB82" s="3048"/>
      <c r="AC82" s="928"/>
      <c r="AD82" s="905"/>
      <c r="AE82" s="905"/>
      <c r="AF82" s="929"/>
      <c r="AG82" s="2421"/>
    </row>
    <row r="83" spans="1:33" ht="53.25" customHeight="1">
      <c r="A83" s="2418">
        <v>2</v>
      </c>
      <c r="B83" s="3130" t="s">
        <v>1598</v>
      </c>
      <c r="C83" s="3131"/>
      <c r="D83" s="3131"/>
      <c r="E83" s="3132"/>
      <c r="F83" s="633" t="s">
        <v>48</v>
      </c>
      <c r="G83" s="898" t="str">
        <f>'XM.FILE GOC'!$E$121</f>
        <v>160~220
(180)</v>
      </c>
      <c r="H83" s="2222" t="str">
        <f>'XM.FILE GOC'!$F$121</f>
        <v>160~220
(180)</v>
      </c>
      <c r="I83" s="3047">
        <f>'3.XT-C KH'!I83:L83</f>
        <v>170</v>
      </c>
      <c r="J83" s="3047"/>
      <c r="K83" s="3047"/>
      <c r="L83" s="3047"/>
      <c r="M83" s="1304"/>
      <c r="N83" s="1305"/>
      <c r="O83" s="1305"/>
      <c r="P83" s="1306"/>
      <c r="Q83" s="3046">
        <f>'3.XT-C KH'!Q83:T83</f>
        <v>170</v>
      </c>
      <c r="R83" s="3047"/>
      <c r="S83" s="3047"/>
      <c r="T83" s="3047"/>
      <c r="U83" s="1304"/>
      <c r="V83" s="1305"/>
      <c r="W83" s="1305"/>
      <c r="X83" s="1306"/>
      <c r="Y83" s="3046">
        <f>'3.XT-C KH'!Y83:AB83</f>
        <v>175</v>
      </c>
      <c r="Z83" s="3047"/>
      <c r="AA83" s="3047"/>
      <c r="AB83" s="3048"/>
      <c r="AC83" s="930"/>
      <c r="AD83" s="931"/>
      <c r="AE83" s="931"/>
      <c r="AF83" s="932"/>
      <c r="AG83" s="2421"/>
    </row>
  </sheetData>
  <sheetProtection selectLockedCells="1"/>
  <mergeCells count="295">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 ref="A10:A11"/>
    <mergeCell ref="B10:C11"/>
    <mergeCell ref="D10:E10"/>
    <mergeCell ref="D11:E11"/>
    <mergeCell ref="A12:A13"/>
    <mergeCell ref="B12:C13"/>
    <mergeCell ref="D12:E12"/>
    <mergeCell ref="D13:E13"/>
    <mergeCell ref="AD5:AF5"/>
    <mergeCell ref="A6:A7"/>
    <mergeCell ref="B6:C7"/>
    <mergeCell ref="D6:E6"/>
    <mergeCell ref="D7:E7"/>
    <mergeCell ref="A8:A9"/>
    <mergeCell ref="B8:C9"/>
    <mergeCell ref="D8:E8"/>
    <mergeCell ref="D9:E9"/>
    <mergeCell ref="A4:A5"/>
    <mergeCell ref="B4:E5"/>
    <mergeCell ref="F4:F5"/>
    <mergeCell ref="G4:G5"/>
    <mergeCell ref="H4:H5"/>
    <mergeCell ref="I4:L4"/>
    <mergeCell ref="J5:L5"/>
    <mergeCell ref="B19:E19"/>
    <mergeCell ref="B21:E21"/>
    <mergeCell ref="B22:E22"/>
    <mergeCell ref="B23:E24"/>
    <mergeCell ref="A14:A15"/>
    <mergeCell ref="B14:B15"/>
    <mergeCell ref="C14:E14"/>
    <mergeCell ref="C15:E15"/>
    <mergeCell ref="A16:A17"/>
    <mergeCell ref="B16:D17"/>
    <mergeCell ref="E16:E17"/>
    <mergeCell ref="B18:E18"/>
    <mergeCell ref="B20:E20"/>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I35:AJ35"/>
    <mergeCell ref="AK35:AL35"/>
    <mergeCell ref="AQ35:AR35"/>
    <mergeCell ref="AS35:AT35"/>
    <mergeCell ref="AY35:AZ35"/>
    <mergeCell ref="BA35:BB35"/>
    <mergeCell ref="AA34:AB34"/>
    <mergeCell ref="B35:E35"/>
    <mergeCell ref="I35:J35"/>
    <mergeCell ref="K35:L35"/>
    <mergeCell ref="Q35:R35"/>
    <mergeCell ref="S35:T35"/>
    <mergeCell ref="Y35:Z35"/>
    <mergeCell ref="AA35:AB35"/>
    <mergeCell ref="B34:E34"/>
    <mergeCell ref="I34:J34"/>
    <mergeCell ref="K34:L34"/>
    <mergeCell ref="Q34:R34"/>
    <mergeCell ref="S34:T34"/>
    <mergeCell ref="Y34:Z34"/>
    <mergeCell ref="BA36:BB36"/>
    <mergeCell ref="B39:E39"/>
    <mergeCell ref="I39:L39"/>
    <mergeCell ref="Q39:T39"/>
    <mergeCell ref="Y39:AB39"/>
    <mergeCell ref="AA36:AB36"/>
    <mergeCell ref="AI36:AJ36"/>
    <mergeCell ref="AK36:AL36"/>
    <mergeCell ref="AQ36:AR36"/>
    <mergeCell ref="AS36:AT36"/>
    <mergeCell ref="AY36:AZ36"/>
    <mergeCell ref="B36:E36"/>
    <mergeCell ref="I36:J36"/>
    <mergeCell ref="K36:L36"/>
    <mergeCell ref="Q36:R36"/>
    <mergeCell ref="S36:T36"/>
    <mergeCell ref="Y36:Z36"/>
    <mergeCell ref="AD44:AE44"/>
    <mergeCell ref="AF44:AG44"/>
    <mergeCell ref="I45:L45"/>
    <mergeCell ref="AA45:AB45"/>
    <mergeCell ref="AD45:AE45"/>
    <mergeCell ref="AF45:AG45"/>
    <mergeCell ref="B40:E40"/>
    <mergeCell ref="I40:L40"/>
    <mergeCell ref="Q40:T40"/>
    <mergeCell ref="Y40:AB40"/>
    <mergeCell ref="B41:E41"/>
    <mergeCell ref="I41:L41"/>
    <mergeCell ref="Q41:T41"/>
    <mergeCell ref="Y41:AB41"/>
    <mergeCell ref="M46:P46"/>
    <mergeCell ref="Q46:T46"/>
    <mergeCell ref="U46:X46"/>
    <mergeCell ref="Y46:AB46"/>
    <mergeCell ref="AC46:AF46"/>
    <mergeCell ref="AG46:AG47"/>
    <mergeCell ref="N47:P47"/>
    <mergeCell ref="R47:T47"/>
    <mergeCell ref="V47:X47"/>
    <mergeCell ref="Z47:AB47"/>
    <mergeCell ref="A52:A53"/>
    <mergeCell ref="B52:C53"/>
    <mergeCell ref="D52:E52"/>
    <mergeCell ref="D53:E53"/>
    <mergeCell ref="A54:A55"/>
    <mergeCell ref="B54:C55"/>
    <mergeCell ref="D54:E54"/>
    <mergeCell ref="D55:E55"/>
    <mergeCell ref="AD47:AF47"/>
    <mergeCell ref="A48:A49"/>
    <mergeCell ref="B48:C49"/>
    <mergeCell ref="D48:E48"/>
    <mergeCell ref="D49:E49"/>
    <mergeCell ref="A50:A51"/>
    <mergeCell ref="B50:C51"/>
    <mergeCell ref="D50:E50"/>
    <mergeCell ref="D51:E51"/>
    <mergeCell ref="A46:A47"/>
    <mergeCell ref="B46:E47"/>
    <mergeCell ref="F46:F47"/>
    <mergeCell ref="G46:G47"/>
    <mergeCell ref="H46:H47"/>
    <mergeCell ref="I46:L46"/>
    <mergeCell ref="J47:L47"/>
    <mergeCell ref="B61:E61"/>
    <mergeCell ref="B63:E63"/>
    <mergeCell ref="B64:E64"/>
    <mergeCell ref="B65:E66"/>
    <mergeCell ref="A56:A57"/>
    <mergeCell ref="B56:B57"/>
    <mergeCell ref="C56:E56"/>
    <mergeCell ref="C57:E57"/>
    <mergeCell ref="A58:A59"/>
    <mergeCell ref="B58:D59"/>
    <mergeCell ref="E58:E59"/>
    <mergeCell ref="B60:E60"/>
    <mergeCell ref="B62:E62"/>
    <mergeCell ref="AA68:AB68"/>
    <mergeCell ref="B69:E69"/>
    <mergeCell ref="I69:J69"/>
    <mergeCell ref="K69:L69"/>
    <mergeCell ref="Q69:R69"/>
    <mergeCell ref="S69:T69"/>
    <mergeCell ref="Y69:Z69"/>
    <mergeCell ref="AA69:AB69"/>
    <mergeCell ref="B68:E68"/>
    <mergeCell ref="I68:J68"/>
    <mergeCell ref="K68:L68"/>
    <mergeCell ref="Q68:R68"/>
    <mergeCell ref="S68:T68"/>
    <mergeCell ref="Y68:Z68"/>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AA72:AB72"/>
    <mergeCell ref="B73:E73"/>
    <mergeCell ref="I73:J73"/>
    <mergeCell ref="K73:L73"/>
    <mergeCell ref="Q73:R73"/>
    <mergeCell ref="S73:T73"/>
    <mergeCell ref="Y73:Z73"/>
    <mergeCell ref="AA73:AB73"/>
    <mergeCell ref="B72:E72"/>
    <mergeCell ref="I72:J72"/>
    <mergeCell ref="K72:L72"/>
    <mergeCell ref="Q72:R72"/>
    <mergeCell ref="S72:T72"/>
    <mergeCell ref="Y72:Z72"/>
    <mergeCell ref="AA74:AB74"/>
    <mergeCell ref="B75:E75"/>
    <mergeCell ref="I75:J75"/>
    <mergeCell ref="K75:L75"/>
    <mergeCell ref="Q75:R75"/>
    <mergeCell ref="S75:T75"/>
    <mergeCell ref="Y75:Z75"/>
    <mergeCell ref="AA75:AB75"/>
    <mergeCell ref="B74:E74"/>
    <mergeCell ref="I74:J74"/>
    <mergeCell ref="K74:L74"/>
    <mergeCell ref="Q74:R74"/>
    <mergeCell ref="S74:T74"/>
    <mergeCell ref="Y74:Z74"/>
    <mergeCell ref="AA76:AB76"/>
    <mergeCell ref="B77:E77"/>
    <mergeCell ref="I77:J77"/>
    <mergeCell ref="K77:L77"/>
    <mergeCell ref="Q77:R77"/>
    <mergeCell ref="S77:T77"/>
    <mergeCell ref="Y77:Z77"/>
    <mergeCell ref="AA77:AB77"/>
    <mergeCell ref="B76:E76"/>
    <mergeCell ref="I76:J76"/>
    <mergeCell ref="K76:L76"/>
    <mergeCell ref="Q76:R76"/>
    <mergeCell ref="S76:T76"/>
    <mergeCell ref="Y76:Z76"/>
    <mergeCell ref="B82:E82"/>
    <mergeCell ref="I82:L82"/>
    <mergeCell ref="Q82:T82"/>
    <mergeCell ref="Y82:AB82"/>
    <mergeCell ref="B83:E83"/>
    <mergeCell ref="I83:L83"/>
    <mergeCell ref="Q83:T83"/>
    <mergeCell ref="Y83:AB83"/>
    <mergeCell ref="AA78:AB78"/>
    <mergeCell ref="B81:E81"/>
    <mergeCell ref="I81:L81"/>
    <mergeCell ref="Q81:T81"/>
    <mergeCell ref="Y81:AB81"/>
    <mergeCell ref="B78:E78"/>
    <mergeCell ref="I78:J78"/>
    <mergeCell ref="K78:L78"/>
    <mergeCell ref="Q78:R78"/>
    <mergeCell ref="S78:T78"/>
    <mergeCell ref="Y78:Z78"/>
  </mergeCells>
  <conditionalFormatting sqref="I82 Y82 Q82 I40 Y40 Q40">
    <cfRule type="expression" dxfId="283" priority="510">
      <formula>I40&lt;30</formula>
    </cfRule>
    <cfRule type="expression" dxfId="282" priority="511">
      <formula>I40&gt;50</formula>
    </cfRule>
  </conditionalFormatting>
  <conditionalFormatting sqref="I83 Y83 Q83 I41 Y41 Q41">
    <cfRule type="expression" dxfId="281" priority="508">
      <formula>I41&lt;160</formula>
    </cfRule>
    <cfRule type="expression" dxfId="280" priority="509">
      <formula>I41&gt;220</formula>
    </cfRule>
  </conditionalFormatting>
  <conditionalFormatting sqref="AK36:AK37 AS36:AS37 BA36:BA37">
    <cfRule type="cellIs" dxfId="279" priority="500" operator="between">
      <formula>65</formula>
      <formula>66.9</formula>
    </cfRule>
    <cfRule type="cellIs" dxfId="278" priority="501" operator="between">
      <formula>73.1</formula>
      <formula>75</formula>
    </cfRule>
    <cfRule type="expression" dxfId="277" priority="502">
      <formula>AK36&lt;65</formula>
    </cfRule>
    <cfRule type="expression" dxfId="276" priority="503">
      <formula>AK36&gt;75</formula>
    </cfRule>
  </conditionalFormatting>
  <conditionalFormatting sqref="AI36:AI37 AK36:AK37 AQ36:AQ37 AS36:AS37 AY36:AY37 BA36:BA37">
    <cfRule type="expression" dxfId="275" priority="490">
      <formula>AI36&lt;40</formula>
    </cfRule>
    <cfRule type="expression" dxfId="274" priority="491">
      <formula>AI36&gt;60</formula>
    </cfRule>
  </conditionalFormatting>
  <conditionalFormatting sqref="AI35 AK35 AQ35 AS35 AY35 BA35">
    <cfRule type="expression" dxfId="273" priority="478">
      <formula>AI35&lt;50</formula>
    </cfRule>
    <cfRule type="expression" dxfId="272" priority="479">
      <formula>AI35&gt;70</formula>
    </cfRule>
  </conditionalFormatting>
  <conditionalFormatting sqref="AI35:AL35 AQ35:AT35 AY35:BB35">
    <cfRule type="cellIs" dxfId="271" priority="476" operator="between">
      <formula>50</formula>
      <formula>54.9</formula>
    </cfRule>
    <cfRule type="cellIs" dxfId="270" priority="477" operator="between">
      <formula>65.1</formula>
      <formula>70</formula>
    </cfRule>
  </conditionalFormatting>
  <conditionalFormatting sqref="I56 Q56 Y56 I14 Q14 Y14">
    <cfRule type="expression" dxfId="269" priority="455" stopIfTrue="1">
      <formula>I14&lt;135</formula>
    </cfRule>
  </conditionalFormatting>
  <conditionalFormatting sqref="I56 Q56 Y56 I14 Q14 Y14">
    <cfRule type="expression" dxfId="268" priority="454" stopIfTrue="1">
      <formula>I14&gt;145</formula>
    </cfRule>
  </conditionalFormatting>
  <conditionalFormatting sqref="I52 I54 Q52 Q54 Y52 Y54 I10 I12 Q10 Q12 Y10 Y12">
    <cfRule type="cellIs" dxfId="267" priority="448" operator="between">
      <formula>50</formula>
      <formula>54.99</formula>
    </cfRule>
    <cfRule type="cellIs" dxfId="266" priority="449" operator="between">
      <formula>65.01</formula>
      <formula>70</formula>
    </cfRule>
    <cfRule type="expression" dxfId="265" priority="450">
      <formula>I10&lt;50</formula>
    </cfRule>
    <cfRule type="expression" dxfId="264" priority="451">
      <formula>I10&gt;70</formula>
    </cfRule>
  </conditionalFormatting>
  <conditionalFormatting sqref="I48 I50 Q48 Q50 Y48 Y50 I6 I8 Q6 Q8 Y6 Y8">
    <cfRule type="cellIs" dxfId="263" priority="444" operator="between">
      <formula>40</formula>
      <formula>44.99</formula>
    </cfRule>
    <cfRule type="cellIs" dxfId="262" priority="445" operator="between">
      <formula>55.1</formula>
      <formula>60</formula>
    </cfRule>
    <cfRule type="expression" dxfId="261" priority="446">
      <formula>I6&lt;40</formula>
    </cfRule>
    <cfRule type="expression" dxfId="260" priority="447">
      <formula>I6&gt;60</formula>
    </cfRule>
  </conditionalFormatting>
  <conditionalFormatting sqref="I64 Q64 Y64 I22 Q22 Y22">
    <cfRule type="expression" dxfId="259" priority="440">
      <formula>I22&lt;0.6%</formula>
    </cfRule>
    <cfRule type="expression" dxfId="258" priority="441">
      <formula>I22&gt;1.4%</formula>
    </cfRule>
  </conditionalFormatting>
  <conditionalFormatting sqref="I57 Q57 Y57 I15 Q15 Y15">
    <cfRule type="cellIs" dxfId="257" priority="436" operator="between">
      <formula>7</formula>
      <formula>7.499</formula>
    </cfRule>
    <cfRule type="cellIs" dxfId="256" priority="437" operator="between">
      <formula>9.51</formula>
      <formula>10</formula>
    </cfRule>
    <cfRule type="expression" dxfId="255" priority="438">
      <formula>I15&lt;7</formula>
    </cfRule>
    <cfRule type="expression" dxfId="254" priority="439">
      <formula>I15&gt;10</formula>
    </cfRule>
  </conditionalFormatting>
  <conditionalFormatting sqref="Q73:T73 Y73:AB73 I73:L73 Q31:T31 Y31:AB31 I31:L31">
    <cfRule type="expression" dxfId="253" priority="334">
      <formula>I31&lt;22</formula>
    </cfRule>
    <cfRule type="expression" dxfId="252" priority="335">
      <formula>I31&gt;28</formula>
    </cfRule>
  </conditionalFormatting>
  <conditionalFormatting sqref="I69:L72 Q69:T72 Y69:AB72 I27:L30 Q27:T30 Y27:AB30">
    <cfRule type="cellIs" dxfId="251" priority="330" operator="between">
      <formula>50</formula>
      <formula>54.9</formula>
    </cfRule>
    <cfRule type="cellIs" dxfId="250" priority="331" operator="between">
      <formula>65.1</formula>
      <formula>70</formula>
    </cfRule>
    <cfRule type="expression" dxfId="249" priority="332">
      <formula>I27&lt;50</formula>
    </cfRule>
    <cfRule type="expression" dxfId="248" priority="333">
      <formula>I27&gt;70</formula>
    </cfRule>
  </conditionalFormatting>
  <conditionalFormatting sqref="K75 I75 S75 Q75 AA75 Y75 K33 I33 S33 Q33 AA33 Y33">
    <cfRule type="expression" dxfId="247" priority="328">
      <formula>I33&lt;55</formula>
    </cfRule>
    <cfRule type="expression" dxfId="246" priority="329">
      <formula>I33&gt;65</formula>
    </cfRule>
  </conditionalFormatting>
  <conditionalFormatting sqref="K76 S76 AA76 K34 S34 AA34">
    <cfRule type="cellIs" dxfId="245" priority="324" operator="between">
      <formula>80</formula>
      <formula>84.9</formula>
    </cfRule>
    <cfRule type="cellIs" dxfId="244" priority="325" operator="between">
      <formula>95.1</formula>
      <formula>100</formula>
    </cfRule>
    <cfRule type="expression" dxfId="243" priority="326">
      <formula>K34&lt;80</formula>
    </cfRule>
    <cfRule type="expression" dxfId="242" priority="327">
      <formula>K34&gt;100</formula>
    </cfRule>
  </conditionalFormatting>
  <conditionalFormatting sqref="K77 I77 S77 Q77 AA77 Y77 K35 I35 S35 Q35 AA35 Y35">
    <cfRule type="expression" dxfId="241" priority="322">
      <formula>I35&lt;40</formula>
    </cfRule>
    <cfRule type="expression" dxfId="240" priority="323">
      <formula>I35&gt;60</formula>
    </cfRule>
  </conditionalFormatting>
  <conditionalFormatting sqref="I78:I79 S78:S79 Q78:Q79 AA78:AA79 Y78:Y79 K78:K79 I36:I37 S36:S37 Q36:Q37 AA36:AA37 Y36:Y37 K36:K37">
    <cfRule type="expression" dxfId="239" priority="320">
      <formula>I36&lt;50</formula>
    </cfRule>
    <cfRule type="expression" dxfId="238" priority="321">
      <formula>I36&gt;70</formula>
    </cfRule>
  </conditionalFormatting>
  <conditionalFormatting sqref="I65 Q65 Y65 I23 Q23 Y23">
    <cfRule type="cellIs" dxfId="237" priority="138" operator="between">
      <formula>5</formula>
      <formula>5.499</formula>
    </cfRule>
    <cfRule type="cellIs" dxfId="236" priority="139" operator="between">
      <formula>6.51</formula>
      <formula>8</formula>
    </cfRule>
    <cfRule type="expression" dxfId="235" priority="140">
      <formula>I23&lt;5</formula>
    </cfRule>
    <cfRule type="expression" dxfId="234" priority="141">
      <formula>I23&gt;8</formula>
    </cfRule>
  </conditionalFormatting>
  <conditionalFormatting sqref="I66 Q66 Y66 I24 Q24 Y24">
    <cfRule type="cellIs" dxfId="233" priority="134" operator="between">
      <formula>1.8</formula>
      <formula>1.999</formula>
    </cfRule>
    <cfRule type="cellIs" dxfId="232" priority="135" operator="between">
      <formula>2.21</formula>
      <formula>2.4</formula>
    </cfRule>
    <cfRule type="expression" dxfId="231" priority="136">
      <formula>I24&lt;1.8</formula>
    </cfRule>
    <cfRule type="expression" dxfId="230" priority="137">
      <formula>I24&gt;2.4</formula>
    </cfRule>
  </conditionalFormatting>
  <conditionalFormatting sqref="K74 I74 S74 Q74 AA74 Y74 K32 I32 S32 Q32 AA32 Y32">
    <cfRule type="cellIs" dxfId="229" priority="138" operator="between">
      <formula>30</formula>
      <formula>30.9</formula>
    </cfRule>
    <cfRule type="cellIs" dxfId="228" priority="139" operator="between">
      <formula>37.1</formula>
      <formula>40</formula>
    </cfRule>
    <cfRule type="expression" dxfId="227" priority="140">
      <formula>I32&lt;30</formula>
    </cfRule>
    <cfRule type="expression" dxfId="226" priority="141">
      <formula>I32&gt;40</formula>
    </cfRule>
  </conditionalFormatting>
  <conditionalFormatting sqref="I58 Q58 Y58 I16 Q16 Y16">
    <cfRule type="cellIs" dxfId="225" priority="131" operator="between">
      <formula>7.01</formula>
      <formula>8</formula>
    </cfRule>
    <cfRule type="expression" dxfId="224" priority="132">
      <formula>I16&lt;5</formula>
    </cfRule>
    <cfRule type="expression" dxfId="223" priority="133">
      <formula>I16&gt;8</formula>
    </cfRule>
  </conditionalFormatting>
  <conditionalFormatting sqref="Q59 Y59 I17 Q17 I59 Y17">
    <cfRule type="cellIs" dxfId="222" priority="127" operator="between">
      <formula>2</formula>
      <formula>2.099</formula>
    </cfRule>
    <cfRule type="cellIs" dxfId="221" priority="128" operator="between">
      <formula>2.31</formula>
      <formula>2.4</formula>
    </cfRule>
    <cfRule type="expression" dxfId="220" priority="129">
      <formula>I17&lt;2</formula>
    </cfRule>
    <cfRule type="expression" dxfId="219" priority="130">
      <formula>I17&gt;2.4</formula>
    </cfRule>
  </conditionalFormatting>
  <conditionalFormatting sqref="I18">
    <cfRule type="expression" dxfId="218" priority="33">
      <formula>I18&lt;40%</formula>
    </cfRule>
    <cfRule type="expression" dxfId="217" priority="34">
      <formula>I18&gt;50%</formula>
    </cfRule>
  </conditionalFormatting>
  <conditionalFormatting sqref="I20:I21">
    <cfRule type="expression" dxfId="216" priority="31">
      <formula>I20&lt;40%</formula>
    </cfRule>
    <cfRule type="expression" dxfId="215" priority="32">
      <formula>I20&gt;50%</formula>
    </cfRule>
  </conditionalFormatting>
  <conditionalFormatting sqref="Q18">
    <cfRule type="expression" dxfId="214" priority="27">
      <formula>Q18&lt;40%</formula>
    </cfRule>
    <cfRule type="expression" dxfId="213" priority="28">
      <formula>Q18&gt;50%</formula>
    </cfRule>
  </conditionalFormatting>
  <conditionalFormatting sqref="Q20:Q21">
    <cfRule type="expression" dxfId="212" priority="25">
      <formula>Q20&lt;40%</formula>
    </cfRule>
    <cfRule type="expression" dxfId="211" priority="26">
      <formula>Q20&gt;50%</formula>
    </cfRule>
  </conditionalFormatting>
  <conditionalFormatting sqref="Y18">
    <cfRule type="expression" dxfId="210" priority="21">
      <formula>Y18&lt;40%</formula>
    </cfRule>
    <cfRule type="expression" dxfId="209" priority="22">
      <formula>Y18&gt;50%</formula>
    </cfRule>
  </conditionalFormatting>
  <conditionalFormatting sqref="Y20:Y21">
    <cfRule type="expression" dxfId="208" priority="19">
      <formula>Y20&lt;40%</formula>
    </cfRule>
    <cfRule type="expression" dxfId="207" priority="20">
      <formula>Y20&gt;50%</formula>
    </cfRule>
  </conditionalFormatting>
  <conditionalFormatting sqref="I60">
    <cfRule type="expression" dxfId="206" priority="15">
      <formula>I60&lt;40%</formula>
    </cfRule>
    <cfRule type="expression" dxfId="205" priority="16">
      <formula>I60&gt;50%</formula>
    </cfRule>
  </conditionalFormatting>
  <conditionalFormatting sqref="I62:I63">
    <cfRule type="expression" dxfId="204" priority="13">
      <formula>I62&lt;40%</formula>
    </cfRule>
    <cfRule type="expression" dxfId="203" priority="14">
      <formula>I62&gt;50%</formula>
    </cfRule>
  </conditionalFormatting>
  <conditionalFormatting sqref="Q60">
    <cfRule type="expression" dxfId="202" priority="9">
      <formula>Q60&lt;40%</formula>
    </cfRule>
    <cfRule type="expression" dxfId="201" priority="10">
      <formula>Q60&gt;50%</formula>
    </cfRule>
  </conditionalFormatting>
  <conditionalFormatting sqref="Q62:Q63">
    <cfRule type="expression" dxfId="200" priority="7">
      <formula>Q62&lt;40%</formula>
    </cfRule>
    <cfRule type="expression" dxfId="199" priority="8">
      <formula>Q62&gt;50%</formula>
    </cfRule>
  </conditionalFormatting>
  <conditionalFormatting sqref="Y60">
    <cfRule type="expression" dxfId="198" priority="3">
      <formula>Y60&lt;40%</formula>
    </cfRule>
    <cfRule type="expression" dxfId="197" priority="4">
      <formula>Y60&gt;50%</formula>
    </cfRule>
  </conditionalFormatting>
  <conditionalFormatting sqref="Y62:Y63">
    <cfRule type="expression" dxfId="196" priority="1">
      <formula>Y62&lt;40%</formula>
    </cfRule>
    <cfRule type="expression" dxfId="195" priority="2">
      <formula>Y62&gt;50%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legacyDrawing r:id="rId3"/>
</worksheet>
</file>

<file path=xl/worksheets/sheet52.xml><?xml version="1.0" encoding="utf-8"?>
<worksheet xmlns="http://schemas.openxmlformats.org/spreadsheetml/2006/main" xmlns:r="http://schemas.openxmlformats.org/officeDocument/2006/relationships">
  <sheetPr>
    <tabColor rgb="FFCCFF33"/>
  </sheetPr>
  <dimension ref="A1:BC83"/>
  <sheetViews>
    <sheetView view="pageBreakPreview" topLeftCell="A33" zoomScale="55" zoomScaleNormal="55" zoomScaleSheetLayoutView="55" workbookViewId="0">
      <selection activeCell="Y61" sqref="Y61"/>
    </sheetView>
  </sheetViews>
  <sheetFormatPr defaultRowHeight="16.5"/>
  <cols>
    <col min="1" max="1" width="5" style="982" customWidth="1"/>
    <col min="2" max="2" width="8" style="983" customWidth="1"/>
    <col min="3" max="3" width="3.5" style="983" customWidth="1"/>
    <col min="4" max="4" width="6" style="983" customWidth="1"/>
    <col min="5" max="5" width="5.125" style="983" customWidth="1"/>
    <col min="6" max="6" width="7.5" style="984" customWidth="1"/>
    <col min="7" max="7" width="14.125" style="984" customWidth="1"/>
    <col min="8" max="8" width="9.75" style="984" customWidth="1"/>
    <col min="9" max="9" width="8.375" style="984" customWidth="1"/>
    <col min="10" max="10" width="2.625" style="984" customWidth="1"/>
    <col min="11" max="11" width="8" style="984" customWidth="1"/>
    <col min="12" max="12" width="4" style="984" customWidth="1"/>
    <col min="13" max="13" width="8" style="946" customWidth="1"/>
    <col min="14" max="14" width="2.75" style="946" customWidth="1"/>
    <col min="15" max="15" width="8.75" style="946" customWidth="1"/>
    <col min="16" max="16" width="4" style="946" customWidth="1"/>
    <col min="17" max="17" width="8.25" style="984" customWidth="1"/>
    <col min="18" max="18" width="2.375" style="984" customWidth="1"/>
    <col min="19" max="19" width="8.25" style="984" customWidth="1"/>
    <col min="20" max="20" width="4.25" style="984" customWidth="1"/>
    <col min="21" max="21" width="7.625" style="946" customWidth="1"/>
    <col min="22" max="22" width="4" style="946" customWidth="1"/>
    <col min="23" max="23" width="7.875" style="946" customWidth="1"/>
    <col min="24" max="24" width="3.75" style="946" customWidth="1"/>
    <col min="25" max="25" width="7.5" style="984" customWidth="1"/>
    <col min="26" max="26" width="4.25" style="984" customWidth="1"/>
    <col min="27" max="27" width="7.625" style="984" customWidth="1"/>
    <col min="28" max="28" width="4.875" style="984" customWidth="1"/>
    <col min="29" max="29" width="7.5" style="946" customWidth="1"/>
    <col min="30" max="30" width="3.75" style="946" customWidth="1"/>
    <col min="31" max="31" width="7.5" style="946" customWidth="1"/>
    <col min="32" max="32" width="4.25" style="946" customWidth="1"/>
    <col min="33" max="33" width="7.625" style="8" customWidth="1"/>
    <col min="34" max="16384" width="9" style="8"/>
  </cols>
  <sheetData>
    <row r="1" spans="1:35" ht="28.5" customHeight="1">
      <c r="A1" s="3329" t="s">
        <v>135</v>
      </c>
      <c r="B1" s="3329"/>
      <c r="C1" s="3329"/>
      <c r="D1" s="3329"/>
      <c r="E1" s="3329"/>
      <c r="F1" s="3329"/>
      <c r="G1" s="3329"/>
      <c r="H1" s="3329"/>
      <c r="I1" s="3329"/>
      <c r="J1" s="3329"/>
      <c r="K1" s="3329"/>
      <c r="L1" s="3329"/>
      <c r="M1" s="3329"/>
      <c r="N1" s="3329"/>
      <c r="O1" s="3329"/>
      <c r="P1" s="3329"/>
      <c r="Q1" s="3329"/>
      <c r="R1" s="3329"/>
      <c r="S1" s="3329"/>
      <c r="T1" s="3329"/>
      <c r="U1" s="3329"/>
      <c r="V1" s="3329"/>
      <c r="W1" s="3329"/>
      <c r="X1" s="3329"/>
      <c r="Y1" s="3329"/>
      <c r="Z1" s="3329"/>
      <c r="AA1" s="985"/>
      <c r="AB1" s="985"/>
      <c r="AC1" s="947"/>
      <c r="AD1" s="947"/>
      <c r="AE1" s="947"/>
      <c r="AF1" s="947"/>
      <c r="AG1" s="61"/>
    </row>
    <row r="2" spans="1:35" ht="51.75" customHeight="1">
      <c r="A2" s="3330" t="s">
        <v>136</v>
      </c>
      <c r="B2" s="3330"/>
      <c r="C2" s="3330"/>
      <c r="D2" s="3330"/>
      <c r="E2" s="3330"/>
      <c r="F2" s="3330"/>
      <c r="G2" s="3330"/>
      <c r="H2" s="3330"/>
      <c r="I2" s="3330"/>
      <c r="J2" s="3330"/>
      <c r="K2" s="3330"/>
      <c r="L2" s="3330"/>
      <c r="M2" s="3330"/>
      <c r="N2" s="3330"/>
      <c r="O2" s="3330"/>
      <c r="P2" s="3330"/>
      <c r="Q2" s="3330"/>
      <c r="R2" s="3330"/>
      <c r="S2" s="3330"/>
      <c r="T2" s="3330"/>
      <c r="U2" s="3330"/>
      <c r="V2" s="3330"/>
      <c r="W2" s="3330"/>
      <c r="X2" s="3330"/>
      <c r="Y2" s="3330"/>
      <c r="Z2" s="3330"/>
      <c r="AA2" s="985"/>
      <c r="AB2" s="985"/>
      <c r="AC2" s="947"/>
      <c r="AD2" s="3121" t="s">
        <v>88</v>
      </c>
      <c r="AE2" s="3121"/>
      <c r="AF2" s="3122" t="s">
        <v>89</v>
      </c>
      <c r="AG2" s="3123"/>
    </row>
    <row r="3" spans="1:35" ht="32.25" customHeight="1">
      <c r="A3" s="970"/>
      <c r="B3" s="1424" t="s">
        <v>127</v>
      </c>
      <c r="C3" s="1425"/>
      <c r="D3" s="1395"/>
      <c r="E3" s="1396"/>
      <c r="F3" s="1397"/>
      <c r="G3" s="1393"/>
      <c r="H3" s="1819" t="str">
        <f>MENU!$AC$9</f>
        <v>Thứ 4,</v>
      </c>
      <c r="I3" s="3089" t="str">
        <f>MENU!$AD$9</f>
        <v>2024/05/22</v>
      </c>
      <c r="J3" s="3090"/>
      <c r="K3" s="3090"/>
      <c r="L3" s="3090"/>
      <c r="M3" s="944"/>
      <c r="N3" s="944"/>
      <c r="O3" s="944"/>
      <c r="P3" s="944"/>
      <c r="Q3" s="971"/>
      <c r="R3" s="971"/>
      <c r="S3" s="971"/>
      <c r="T3" s="971"/>
      <c r="U3" s="944"/>
      <c r="V3" s="944"/>
      <c r="W3" s="944"/>
      <c r="X3" s="944"/>
      <c r="Y3" s="971"/>
      <c r="Z3" s="971"/>
      <c r="AA3" s="985"/>
      <c r="AB3" s="985"/>
      <c r="AC3" s="947"/>
      <c r="AD3" s="3124" t="str">
        <f>MENU!AE6</f>
        <v>Mi</v>
      </c>
      <c r="AE3" s="3124"/>
      <c r="AF3" s="3128" t="s">
        <v>11</v>
      </c>
      <c r="AG3" s="3129"/>
    </row>
    <row r="4" spans="1:35" s="62" customFormat="1" ht="46.5" customHeight="1">
      <c r="A4" s="3181" t="s">
        <v>7</v>
      </c>
      <c r="B4" s="3097" t="s">
        <v>76</v>
      </c>
      <c r="C4" s="3098"/>
      <c r="D4" s="3098"/>
      <c r="E4" s="3099"/>
      <c r="F4" s="3133" t="s">
        <v>124</v>
      </c>
      <c r="G4" s="3059" t="s">
        <v>1310</v>
      </c>
      <c r="H4" s="3109" t="s">
        <v>1302</v>
      </c>
      <c r="I4" s="3064">
        <v>0.30208333333333331</v>
      </c>
      <c r="J4" s="3065"/>
      <c r="K4" s="3065"/>
      <c r="L4" s="3066"/>
      <c r="M4" s="3073" t="s">
        <v>939</v>
      </c>
      <c r="N4" s="3185"/>
      <c r="O4" s="3185"/>
      <c r="P4" s="3186"/>
      <c r="Q4" s="3064">
        <v>0.46875</v>
      </c>
      <c r="R4" s="3065"/>
      <c r="S4" s="3065"/>
      <c r="T4" s="3066"/>
      <c r="U4" s="3073" t="s">
        <v>939</v>
      </c>
      <c r="V4" s="3074"/>
      <c r="W4" s="3074"/>
      <c r="X4" s="3075"/>
      <c r="Y4" s="3064">
        <v>0.63541666666666663</v>
      </c>
      <c r="Z4" s="3065"/>
      <c r="AA4" s="3065"/>
      <c r="AB4" s="3066"/>
      <c r="AC4" s="3073" t="s">
        <v>939</v>
      </c>
      <c r="AD4" s="3074"/>
      <c r="AE4" s="3074"/>
      <c r="AF4" s="3075"/>
      <c r="AG4" s="3148" t="s">
        <v>38</v>
      </c>
    </row>
    <row r="5" spans="1:35" s="62" customFormat="1" ht="46.5" customHeight="1">
      <c r="A5" s="3181"/>
      <c r="B5" s="3100"/>
      <c r="C5" s="3101"/>
      <c r="D5" s="3101"/>
      <c r="E5" s="3102"/>
      <c r="F5" s="3134"/>
      <c r="G5" s="3060"/>
      <c r="H5" s="3110"/>
      <c r="I5" s="950" t="s">
        <v>129</v>
      </c>
      <c r="J5" s="3070" t="s">
        <v>1</v>
      </c>
      <c r="K5" s="3071"/>
      <c r="L5" s="3072"/>
      <c r="M5" s="907" t="s">
        <v>940</v>
      </c>
      <c r="N5" s="3076" t="s">
        <v>1</v>
      </c>
      <c r="O5" s="3076"/>
      <c r="P5" s="3077"/>
      <c r="Q5" s="950" t="s">
        <v>129</v>
      </c>
      <c r="R5" s="3070" t="s">
        <v>1</v>
      </c>
      <c r="S5" s="3071"/>
      <c r="T5" s="3072"/>
      <c r="U5" s="907" t="s">
        <v>129</v>
      </c>
      <c r="V5" s="3076" t="s">
        <v>1</v>
      </c>
      <c r="W5" s="3076"/>
      <c r="X5" s="3077"/>
      <c r="Y5" s="950" t="s">
        <v>129</v>
      </c>
      <c r="Z5" s="3070" t="s">
        <v>1</v>
      </c>
      <c r="AA5" s="3071"/>
      <c r="AB5" s="3072"/>
      <c r="AC5" s="907" t="s">
        <v>129</v>
      </c>
      <c r="AD5" s="3076" t="s">
        <v>1</v>
      </c>
      <c r="AE5" s="3076"/>
      <c r="AF5" s="3077"/>
      <c r="AG5" s="3149"/>
    </row>
    <row r="6" spans="1:35" ht="49.5" customHeight="1">
      <c r="A6" s="3206">
        <v>1</v>
      </c>
      <c r="B6" s="3223" t="s">
        <v>950</v>
      </c>
      <c r="C6" s="3224"/>
      <c r="D6" s="3093" t="s">
        <v>230</v>
      </c>
      <c r="E6" s="3094"/>
      <c r="F6" s="1577" t="s">
        <v>4</v>
      </c>
      <c r="G6" s="898" t="str">
        <f>'XM.FILE GOC'!$E$78</f>
        <v>40~60</v>
      </c>
      <c r="H6" s="2222" t="str">
        <f>'XM.FILE GOC'!$F$78</f>
        <v>(50±5)</v>
      </c>
      <c r="I6" s="2225">
        <f>'XM.FILE GOC'!I78</f>
        <v>47.701499999999996</v>
      </c>
      <c r="J6" s="972" t="s">
        <v>8</v>
      </c>
      <c r="K6" s="973">
        <f>'XM.FILE GOC'!L78</f>
        <v>35.66582450000007</v>
      </c>
      <c r="L6" s="974" t="s">
        <v>9</v>
      </c>
      <c r="M6" s="1580">
        <f>'3.XT-C KH'!M6</f>
        <v>48</v>
      </c>
      <c r="N6" s="909" t="s">
        <v>8</v>
      </c>
      <c r="O6" s="1595">
        <f>IF(M6=0,"",('XM.FILE GOC'!$G$78-M6)*15517/1000)</f>
        <v>31.033999999999999</v>
      </c>
      <c r="P6" s="910" t="s">
        <v>9</v>
      </c>
      <c r="Q6" s="2225">
        <f>'XM.FILE GOC'!P78</f>
        <v>48.675000000000004</v>
      </c>
      <c r="R6" s="972" t="s">
        <v>8</v>
      </c>
      <c r="S6" s="973">
        <f>'XM.FILE GOC'!S78</f>
        <v>20.560024999999932</v>
      </c>
      <c r="T6" s="974" t="s">
        <v>9</v>
      </c>
      <c r="U6" s="1580">
        <f>'3.XT-C KH'!U6</f>
        <v>52</v>
      </c>
      <c r="V6" s="909" t="s">
        <v>8</v>
      </c>
      <c r="W6" s="1595">
        <f>IF(U6=0,"",('XM.FILE GOC'!$G$78-U6)*15517/1000)</f>
        <v>-31.033999999999999</v>
      </c>
      <c r="X6" s="910" t="s">
        <v>9</v>
      </c>
      <c r="Y6" s="2225">
        <f>'XM.FILE GOC'!W78</f>
        <v>52.244500000000009</v>
      </c>
      <c r="Z6" s="972" t="s">
        <v>8</v>
      </c>
      <c r="AA6" s="973">
        <f>'XM.FILE GOC'!Z78</f>
        <v>0</v>
      </c>
      <c r="AB6" s="974" t="s">
        <v>9</v>
      </c>
      <c r="AC6" s="1580">
        <f>'3.XT-C KH'!AC6</f>
        <v>0</v>
      </c>
      <c r="AD6" s="909" t="s">
        <v>8</v>
      </c>
      <c r="AE6" s="1595" t="str">
        <f>IF(AC6=0,"",('XM.FILE GOC'!$G$78-AC6)*15517/1000)</f>
        <v/>
      </c>
      <c r="AF6" s="910" t="s">
        <v>9</v>
      </c>
      <c r="AG6" s="1574" t="s">
        <v>39</v>
      </c>
    </row>
    <row r="7" spans="1:35" ht="49.5" customHeight="1">
      <c r="A7" s="3222"/>
      <c r="B7" s="3225"/>
      <c r="C7" s="3226"/>
      <c r="D7" s="3093" t="s">
        <v>231</v>
      </c>
      <c r="E7" s="3094"/>
      <c r="F7" s="897"/>
      <c r="G7" s="898" t="s">
        <v>1271</v>
      </c>
      <c r="H7" s="2222"/>
      <c r="I7" s="2211"/>
      <c r="J7" s="59"/>
      <c r="K7" s="954">
        <f>K6/25*8.5</f>
        <v>12.126380330000025</v>
      </c>
      <c r="L7" s="588" t="s">
        <v>10</v>
      </c>
      <c r="M7" s="1580">
        <f>'3.XT-C KH'!M7</f>
        <v>0</v>
      </c>
      <c r="N7" s="911" t="s">
        <v>8</v>
      </c>
      <c r="O7" s="1593">
        <f>IF(M6=0,"",O6/25*8.5)</f>
        <v>10.55156</v>
      </c>
      <c r="P7" s="912" t="s">
        <v>10</v>
      </c>
      <c r="Q7" s="2211"/>
      <c r="R7" s="59"/>
      <c r="S7" s="954">
        <f>S6/25*8.5</f>
        <v>6.9904084999999769</v>
      </c>
      <c r="T7" s="588" t="s">
        <v>10</v>
      </c>
      <c r="U7" s="1580">
        <f>'3.XT-C KH'!U7</f>
        <v>0</v>
      </c>
      <c r="V7" s="911" t="s">
        <v>8</v>
      </c>
      <c r="W7" s="1593">
        <f>IF(U6=0,"",W6/25*8.5)</f>
        <v>-10.55156</v>
      </c>
      <c r="X7" s="912" t="s">
        <v>10</v>
      </c>
      <c r="Y7" s="2211"/>
      <c r="Z7" s="59"/>
      <c r="AA7" s="954">
        <f>AA6/25*8.5</f>
        <v>0</v>
      </c>
      <c r="AB7" s="588" t="s">
        <v>10</v>
      </c>
      <c r="AC7" s="1580">
        <f>'3.XT-C KH'!AC7</f>
        <v>0</v>
      </c>
      <c r="AD7" s="911" t="s">
        <v>8</v>
      </c>
      <c r="AE7" s="1593" t="str">
        <f>IF(AC6=0,"",AE6/25*8.5)</f>
        <v/>
      </c>
      <c r="AF7" s="912" t="s">
        <v>10</v>
      </c>
      <c r="AG7" s="1574"/>
    </row>
    <row r="8" spans="1:35" ht="49.5" customHeight="1">
      <c r="A8" s="3206">
        <v>2</v>
      </c>
      <c r="B8" s="3223" t="s">
        <v>951</v>
      </c>
      <c r="C8" s="3224"/>
      <c r="D8" s="3093" t="s">
        <v>230</v>
      </c>
      <c r="E8" s="3094"/>
      <c r="F8" s="1577" t="s">
        <v>4</v>
      </c>
      <c r="G8" s="898" t="str">
        <f>'XM.FILE GOC'!$E$80</f>
        <v>40~60</v>
      </c>
      <c r="H8" s="2222" t="str">
        <f>'XM.FILE GOC'!$F$80</f>
        <v>(50±5)</v>
      </c>
      <c r="I8" s="2225">
        <f>'XM.FILE GOC'!I80</f>
        <v>46.403500000000001</v>
      </c>
      <c r="J8" s="972" t="s">
        <v>8</v>
      </c>
      <c r="K8" s="973">
        <f>'XM.FILE GOC'!L80</f>
        <v>41.269837499999987</v>
      </c>
      <c r="L8" s="974" t="s">
        <v>9</v>
      </c>
      <c r="M8" s="1580">
        <f>'3.XT-C KH'!M8</f>
        <v>47</v>
      </c>
      <c r="N8" s="909" t="s">
        <v>8</v>
      </c>
      <c r="O8" s="1595">
        <f>IF(M8=0,"",('XM.FILE GOC'!$G$80-M8)*11475/1000)</f>
        <v>34.424999999999997</v>
      </c>
      <c r="P8" s="910" t="s">
        <v>9</v>
      </c>
      <c r="Q8" s="2225">
        <f>'XM.FILE GOC'!P80</f>
        <v>47.701499999999996</v>
      </c>
      <c r="R8" s="972" t="s">
        <v>8</v>
      </c>
      <c r="S8" s="973">
        <f>'XM.FILE GOC'!S80</f>
        <v>26.375287500000049</v>
      </c>
      <c r="T8" s="974" t="s">
        <v>9</v>
      </c>
      <c r="U8" s="1580">
        <f>'3.XT-C KH'!U8</f>
        <v>50</v>
      </c>
      <c r="V8" s="909" t="s">
        <v>8</v>
      </c>
      <c r="W8" s="1595">
        <f>IF(U8=0,"",('XM.FILE GOC'!$G$80-U8)*11475/1000)</f>
        <v>0</v>
      </c>
      <c r="X8" s="910" t="s">
        <v>9</v>
      </c>
      <c r="Y8" s="2225">
        <f>'XM.FILE GOC'!W80</f>
        <v>49.973000000000006</v>
      </c>
      <c r="Z8" s="972" t="s">
        <v>8</v>
      </c>
      <c r="AA8" s="973">
        <f>'XM.FILE GOC'!Z80</f>
        <v>0.30982499999993018</v>
      </c>
      <c r="AB8" s="974" t="s">
        <v>9</v>
      </c>
      <c r="AC8" s="1580">
        <f>'3.XT-C KH'!AC8</f>
        <v>0</v>
      </c>
      <c r="AD8" s="909" t="s">
        <v>8</v>
      </c>
      <c r="AE8" s="1595" t="str">
        <f>IF(AC8=0,"",('XM.FILE GOC'!$G$80-AC8)*11475/1000)</f>
        <v/>
      </c>
      <c r="AF8" s="910" t="s">
        <v>9</v>
      </c>
      <c r="AG8" s="1574" t="s">
        <v>39</v>
      </c>
    </row>
    <row r="9" spans="1:35" ht="49.5" customHeight="1">
      <c r="A9" s="3222"/>
      <c r="B9" s="3225"/>
      <c r="C9" s="3226"/>
      <c r="D9" s="3093" t="s">
        <v>231</v>
      </c>
      <c r="E9" s="3094"/>
      <c r="F9" s="897"/>
      <c r="G9" s="898" t="s">
        <v>1271</v>
      </c>
      <c r="H9" s="2222"/>
      <c r="I9" s="2211"/>
      <c r="J9" s="59"/>
      <c r="K9" s="954">
        <f>K8/25*8.5</f>
        <v>14.031744749999996</v>
      </c>
      <c r="L9" s="588" t="s">
        <v>10</v>
      </c>
      <c r="M9" s="1580">
        <f>'3.XT-C KH'!M9</f>
        <v>0</v>
      </c>
      <c r="N9" s="911" t="s">
        <v>8</v>
      </c>
      <c r="O9" s="1593">
        <f>IF(M8=0,"",O8/25*8.5)</f>
        <v>11.704499999999998</v>
      </c>
      <c r="P9" s="912" t="s">
        <v>10</v>
      </c>
      <c r="Q9" s="2211"/>
      <c r="R9" s="59"/>
      <c r="S9" s="954">
        <f>S8/25*8.5</f>
        <v>8.9675977500000172</v>
      </c>
      <c r="T9" s="588" t="s">
        <v>10</v>
      </c>
      <c r="U9" s="1580">
        <f>'3.XT-C KH'!U9</f>
        <v>0</v>
      </c>
      <c r="V9" s="911" t="s">
        <v>8</v>
      </c>
      <c r="W9" s="1593">
        <f>IF(U8=0,"",W8/25*8.5)</f>
        <v>0</v>
      </c>
      <c r="X9" s="912" t="s">
        <v>10</v>
      </c>
      <c r="Y9" s="2211"/>
      <c r="Z9" s="59"/>
      <c r="AA9" s="954">
        <f>AA8/25*8.5</f>
        <v>0.10534049999997626</v>
      </c>
      <c r="AB9" s="588" t="s">
        <v>10</v>
      </c>
      <c r="AC9" s="1580">
        <f>'3.XT-C KH'!AC9</f>
        <v>0</v>
      </c>
      <c r="AD9" s="911" t="s">
        <v>8</v>
      </c>
      <c r="AE9" s="1593" t="str">
        <f>IF(AC8=0,"",AE8/25*8.5)</f>
        <v/>
      </c>
      <c r="AF9" s="912" t="s">
        <v>10</v>
      </c>
      <c r="AG9" s="1574"/>
    </row>
    <row r="10" spans="1:35" ht="49.5" customHeight="1">
      <c r="A10" s="3206">
        <v>3</v>
      </c>
      <c r="B10" s="3091" t="s">
        <v>952</v>
      </c>
      <c r="C10" s="3092"/>
      <c r="D10" s="3095" t="s">
        <v>232</v>
      </c>
      <c r="E10" s="3096" t="s">
        <v>232</v>
      </c>
      <c r="F10" s="1577" t="s">
        <v>4</v>
      </c>
      <c r="G10" s="898" t="str">
        <f>'XM.FILE GOC'!$E$82</f>
        <v>50~70</v>
      </c>
      <c r="H10" s="2222" t="str">
        <f>'XM.FILE GOC'!$F$82</f>
        <v>(60±5)</v>
      </c>
      <c r="I10" s="2225">
        <f>'XM.FILE GOC'!I82</f>
        <v>58.443000000000005</v>
      </c>
      <c r="J10" s="59" t="s">
        <v>8</v>
      </c>
      <c r="K10" s="587">
        <f>'XM.FILE GOC'!L82</f>
        <v>12.767399999999959</v>
      </c>
      <c r="L10" s="588" t="s">
        <v>9</v>
      </c>
      <c r="M10" s="1580">
        <f>'3.XT-C KH'!M10</f>
        <v>58.2</v>
      </c>
      <c r="N10" s="909" t="s">
        <v>8</v>
      </c>
      <c r="O10" s="1595">
        <f>IF(M10=0,"",('XM.FILE GOC'!$G$82-M10)*8200/1000)</f>
        <v>14.759999999999977</v>
      </c>
      <c r="P10" s="910" t="s">
        <v>9</v>
      </c>
      <c r="Q10" s="2225">
        <f>'XM.FILE GOC'!P82</f>
        <v>58.211999999999996</v>
      </c>
      <c r="R10" s="59" t="s">
        <v>8</v>
      </c>
      <c r="S10" s="587">
        <f>'XM.FILE GOC'!S82</f>
        <v>14.661600000000032</v>
      </c>
      <c r="T10" s="588" t="s">
        <v>9</v>
      </c>
      <c r="U10" s="1580">
        <f>'3.XT-C KH'!U10</f>
        <v>63.2</v>
      </c>
      <c r="V10" s="909" t="s">
        <v>8</v>
      </c>
      <c r="W10" s="1595">
        <f>IF(U10=0,"",('XM.FILE GOC'!$G$82-U10)*8200/1000)</f>
        <v>-26.240000000000023</v>
      </c>
      <c r="X10" s="910" t="s">
        <v>9</v>
      </c>
      <c r="Y10" s="2225">
        <f>'XM.FILE GOC'!W82</f>
        <v>64.680000000000007</v>
      </c>
      <c r="Z10" s="59" t="s">
        <v>8</v>
      </c>
      <c r="AA10" s="587">
        <f>'XM.FILE GOC'!Z82</f>
        <v>0</v>
      </c>
      <c r="AB10" s="974" t="s">
        <v>9</v>
      </c>
      <c r="AC10" s="1580">
        <f>'3.XT-C KH'!AC10</f>
        <v>0</v>
      </c>
      <c r="AD10" s="909" t="s">
        <v>8</v>
      </c>
      <c r="AE10" s="1595" t="str">
        <f>IF(AC10=0,"",('XM.FILE GOC'!$G$82-AC10)*8200/1000)</f>
        <v/>
      </c>
      <c r="AF10" s="910" t="s">
        <v>9</v>
      </c>
      <c r="AG10" s="1574" t="s">
        <v>39</v>
      </c>
    </row>
    <row r="11" spans="1:35" ht="49.5" customHeight="1">
      <c r="A11" s="3207"/>
      <c r="B11" s="3092"/>
      <c r="C11" s="3092"/>
      <c r="D11" s="3095" t="s">
        <v>233</v>
      </c>
      <c r="E11" s="3096" t="s">
        <v>233</v>
      </c>
      <c r="F11" s="897"/>
      <c r="G11" s="898" t="s">
        <v>1272</v>
      </c>
      <c r="H11" s="2222"/>
      <c r="I11" s="2211"/>
      <c r="J11" s="59"/>
      <c r="K11" s="954">
        <f>K10/25*8</f>
        <v>4.085567999999987</v>
      </c>
      <c r="L11" s="588" t="s">
        <v>10</v>
      </c>
      <c r="M11" s="1580">
        <f>'3.XT-C KH'!M11</f>
        <v>0</v>
      </c>
      <c r="N11" s="911" t="s">
        <v>8</v>
      </c>
      <c r="O11" s="1593">
        <f>IF(M10=0,"",O10/25*8)</f>
        <v>4.7231999999999923</v>
      </c>
      <c r="P11" s="912" t="s">
        <v>10</v>
      </c>
      <c r="Q11" s="2211"/>
      <c r="R11" s="59"/>
      <c r="S11" s="954">
        <f>S10/25*8</f>
        <v>4.6917120000000105</v>
      </c>
      <c r="T11" s="588" t="s">
        <v>10</v>
      </c>
      <c r="U11" s="1580">
        <f>'3.XT-C KH'!U11</f>
        <v>0</v>
      </c>
      <c r="V11" s="911" t="s">
        <v>8</v>
      </c>
      <c r="W11" s="1593">
        <f>IF(U10=0,"",W10/25*8)</f>
        <v>-8.3968000000000078</v>
      </c>
      <c r="X11" s="912" t="s">
        <v>10</v>
      </c>
      <c r="Y11" s="2211"/>
      <c r="Z11" s="59"/>
      <c r="AA11" s="954">
        <f>AA10/25*8</f>
        <v>0</v>
      </c>
      <c r="AB11" s="588" t="s">
        <v>10</v>
      </c>
      <c r="AC11" s="1580">
        <f>'3.XT-C KH'!AC11</f>
        <v>0</v>
      </c>
      <c r="AD11" s="911" t="s">
        <v>8</v>
      </c>
      <c r="AE11" s="1593" t="str">
        <f>IF(AC10=0,"",AE10/25*8)</f>
        <v/>
      </c>
      <c r="AF11" s="912" t="s">
        <v>10</v>
      </c>
      <c r="AG11" s="1574"/>
    </row>
    <row r="12" spans="1:35" ht="49.5" customHeight="1">
      <c r="A12" s="3206">
        <v>4</v>
      </c>
      <c r="B12" s="3091" t="s">
        <v>953</v>
      </c>
      <c r="C12" s="3092"/>
      <c r="D12" s="3095" t="s">
        <v>232</v>
      </c>
      <c r="E12" s="3096" t="s">
        <v>232</v>
      </c>
      <c r="F12" s="1577" t="s">
        <v>4</v>
      </c>
      <c r="G12" s="898" t="str">
        <f>'XM.FILE GOC'!$E$84</f>
        <v>50~70</v>
      </c>
      <c r="H12" s="2222" t="str">
        <f>'XM.FILE GOC'!$F$84</f>
        <v>(60±5)</v>
      </c>
      <c r="I12" s="2225">
        <f>'XM.FILE GOC'!I84</f>
        <v>60.06</v>
      </c>
      <c r="J12" s="972" t="s">
        <v>8</v>
      </c>
      <c r="K12" s="973">
        <f>'XM.FILE GOC'!L84</f>
        <v>0</v>
      </c>
      <c r="L12" s="974" t="s">
        <v>9</v>
      </c>
      <c r="M12" s="1580">
        <f>'3.XT-C KH'!M12</f>
        <v>0</v>
      </c>
      <c r="N12" s="909" t="s">
        <v>8</v>
      </c>
      <c r="O12" s="1596" t="str">
        <f>IF(M12=0,"",('XM.FILE GOC'!$G$84-M12)*8668/1000)</f>
        <v/>
      </c>
      <c r="P12" s="910" t="s">
        <v>9</v>
      </c>
      <c r="Q12" s="2225">
        <f>'XM.FILE GOC'!P84</f>
        <v>59.598000000000006</v>
      </c>
      <c r="R12" s="972" t="s">
        <v>8</v>
      </c>
      <c r="S12" s="973">
        <f>'XM.FILE GOC'!S84</f>
        <v>3.4845359999999475</v>
      </c>
      <c r="T12" s="974" t="s">
        <v>9</v>
      </c>
      <c r="U12" s="1580">
        <f>'3.XT-C KH'!U12</f>
        <v>60.5</v>
      </c>
      <c r="V12" s="909" t="s">
        <v>8</v>
      </c>
      <c r="W12" s="1596">
        <f>IF(U12=0,"",('XM.FILE GOC'!$G$84-U12)*8668/1000)</f>
        <v>-4.3339999999999996</v>
      </c>
      <c r="X12" s="910" t="s">
        <v>9</v>
      </c>
      <c r="Y12" s="2225">
        <f>'XM.FILE GOC'!W84</f>
        <v>60.983999999999995</v>
      </c>
      <c r="Z12" s="972" t="s">
        <v>8</v>
      </c>
      <c r="AA12" s="973">
        <f>'XM.FILE GOC'!Z84</f>
        <v>0</v>
      </c>
      <c r="AB12" s="974" t="s">
        <v>9</v>
      </c>
      <c r="AC12" s="1580">
        <f>'3.XT-C KH'!AC12</f>
        <v>0</v>
      </c>
      <c r="AD12" s="909" t="s">
        <v>8</v>
      </c>
      <c r="AE12" s="1596" t="str">
        <f>IF(AC12=0,"",('XM.FILE GOC'!$G$84-AC12)*8668/1000)</f>
        <v/>
      </c>
      <c r="AF12" s="910" t="s">
        <v>9</v>
      </c>
      <c r="AG12" s="1574" t="s">
        <v>39</v>
      </c>
    </row>
    <row r="13" spans="1:35" ht="49.5" customHeight="1">
      <c r="A13" s="3207"/>
      <c r="B13" s="3092"/>
      <c r="C13" s="3092"/>
      <c r="D13" s="3095" t="s">
        <v>233</v>
      </c>
      <c r="E13" s="3096" t="s">
        <v>233</v>
      </c>
      <c r="F13" s="897"/>
      <c r="G13" s="898" t="s">
        <v>1272</v>
      </c>
      <c r="H13" s="2222"/>
      <c r="I13" s="2211"/>
      <c r="J13" s="59"/>
      <c r="K13" s="954">
        <f>K12/25*8</f>
        <v>0</v>
      </c>
      <c r="L13" s="588" t="s">
        <v>10</v>
      </c>
      <c r="M13" s="1580">
        <f>'3.XT-C KH'!M13</f>
        <v>0</v>
      </c>
      <c r="N13" s="911" t="s">
        <v>8</v>
      </c>
      <c r="O13" s="1593" t="str">
        <f>IF(M12=0,"",O12/25*8)</f>
        <v/>
      </c>
      <c r="P13" s="912" t="s">
        <v>10</v>
      </c>
      <c r="Q13" s="2211"/>
      <c r="R13" s="59"/>
      <c r="S13" s="954">
        <f>S12/25*8</f>
        <v>1.1150515199999831</v>
      </c>
      <c r="T13" s="588" t="s">
        <v>10</v>
      </c>
      <c r="U13" s="1580">
        <f>'3.XT-C KH'!U13</f>
        <v>0</v>
      </c>
      <c r="V13" s="911" t="s">
        <v>8</v>
      </c>
      <c r="W13" s="1593">
        <f>IF(U12=0,"",W12/25*8)</f>
        <v>-1.3868799999999999</v>
      </c>
      <c r="X13" s="912" t="s">
        <v>10</v>
      </c>
      <c r="Y13" s="2211"/>
      <c r="Z13" s="59"/>
      <c r="AA13" s="954">
        <f>AA12/25*8</f>
        <v>0</v>
      </c>
      <c r="AB13" s="588" t="s">
        <v>10</v>
      </c>
      <c r="AC13" s="1580">
        <f>'3.XT-C KH'!AC13</f>
        <v>0</v>
      </c>
      <c r="AD13" s="911" t="s">
        <v>8</v>
      </c>
      <c r="AE13" s="1593" t="str">
        <f>IF(AC12=0,"",AE12/25*8)</f>
        <v/>
      </c>
      <c r="AF13" s="912" t="s">
        <v>10</v>
      </c>
      <c r="AG13" s="1574"/>
    </row>
    <row r="14" spans="1:35" ht="49.5" customHeight="1">
      <c r="A14" s="3206">
        <v>5</v>
      </c>
      <c r="B14" s="3208" t="s">
        <v>954</v>
      </c>
      <c r="C14" s="3210" t="s">
        <v>955</v>
      </c>
      <c r="D14" s="3211"/>
      <c r="E14" s="3212"/>
      <c r="F14" s="633" t="s">
        <v>4</v>
      </c>
      <c r="G14" s="898" t="str">
        <f>'XM.FILE GOC'!$E$86</f>
        <v>135~ 145</v>
      </c>
      <c r="H14" s="2222" t="str">
        <f>'XM.FILE GOC'!$F$86</f>
        <v>(140±5)</v>
      </c>
      <c r="I14" s="2227">
        <f>'XM.FILE GOC'!I86</f>
        <v>138</v>
      </c>
      <c r="J14" s="972" t="s">
        <v>8</v>
      </c>
      <c r="K14" s="973">
        <f>'XM.FILE GOC'!L86</f>
        <v>106.13200000000001</v>
      </c>
      <c r="L14" s="974" t="s">
        <v>9</v>
      </c>
      <c r="M14" s="1580">
        <f>'3.XT-C KH'!M14</f>
        <v>140</v>
      </c>
      <c r="N14" s="909" t="s">
        <v>8</v>
      </c>
      <c r="O14" s="1596">
        <f>IF(M14=0,"",('XM.FILE GOC'!$G$86-M14)*53066/1000)</f>
        <v>0</v>
      </c>
      <c r="P14" s="910" t="s">
        <v>9</v>
      </c>
      <c r="Q14" s="2227">
        <f>'XM.FILE GOC'!P86</f>
        <v>140</v>
      </c>
      <c r="R14" s="972" t="s">
        <v>8</v>
      </c>
      <c r="S14" s="973">
        <f>'XM.FILE GOC'!S86</f>
        <v>0</v>
      </c>
      <c r="T14" s="974" t="s">
        <v>9</v>
      </c>
      <c r="U14" s="1580">
        <f>'3.XT-C KH'!U14</f>
        <v>0</v>
      </c>
      <c r="V14" s="909" t="s">
        <v>8</v>
      </c>
      <c r="W14" s="1596" t="str">
        <f>IF(U14=0,"",('XM.FILE GOC'!$G$86-U14)*53066/1000)</f>
        <v/>
      </c>
      <c r="X14" s="910" t="s">
        <v>9</v>
      </c>
      <c r="Y14" s="2227">
        <f>'XM.FILE GOC'!W86</f>
        <v>140</v>
      </c>
      <c r="Z14" s="972" t="s">
        <v>8</v>
      </c>
      <c r="AA14" s="973">
        <f>'XM.FILE GOC'!Z86</f>
        <v>0</v>
      </c>
      <c r="AB14" s="974" t="s">
        <v>9</v>
      </c>
      <c r="AC14" s="1580">
        <f>'3.XT-C KH'!AC14</f>
        <v>0</v>
      </c>
      <c r="AD14" s="909" t="s">
        <v>8</v>
      </c>
      <c r="AE14" s="1596" t="str">
        <f>IF(AC14=0,"",('XM.FILE GOC'!$G$86-AC14)*53066/1000)</f>
        <v/>
      </c>
      <c r="AF14" s="910" t="s">
        <v>9</v>
      </c>
      <c r="AG14" s="1574" t="s">
        <v>40</v>
      </c>
    </row>
    <row r="15" spans="1:35" ht="49.5" customHeight="1">
      <c r="A15" s="3207"/>
      <c r="B15" s="3815"/>
      <c r="C15" s="3816" t="s">
        <v>956</v>
      </c>
      <c r="D15" s="3817"/>
      <c r="E15" s="3818"/>
      <c r="F15" s="2295" t="s">
        <v>4</v>
      </c>
      <c r="G15" s="1584" t="str">
        <f>'XM.FILE GOC'!$E$87</f>
        <v>7~10</v>
      </c>
      <c r="H15" s="2236" t="str">
        <f>'XM.FILE GOC'!$F$87</f>
        <v>(8.5±1)</v>
      </c>
      <c r="I15" s="2296">
        <f>'XM.FILE GOC'!I87</f>
        <v>8.4500000000000011</v>
      </c>
      <c r="J15" s="2297" t="s">
        <v>8</v>
      </c>
      <c r="K15" s="2298">
        <f>'XM.FILE GOC'!L87</f>
        <v>2.6532999999999434</v>
      </c>
      <c r="L15" s="2299" t="s">
        <v>9</v>
      </c>
      <c r="M15" s="2117">
        <f>'3.XT-C KH'!M15</f>
        <v>8.5</v>
      </c>
      <c r="N15" s="2300" t="s">
        <v>8</v>
      </c>
      <c r="O15" s="2301">
        <f>IF(M15=0,"",('XM.FILE GOC'!$G$87-M15)*53066/1000)</f>
        <v>0</v>
      </c>
      <c r="P15" s="2302" t="s">
        <v>9</v>
      </c>
      <c r="Q15" s="2296">
        <f>'XM.FILE GOC'!P87</f>
        <v>8.4500000000000011</v>
      </c>
      <c r="R15" s="2297" t="s">
        <v>8</v>
      </c>
      <c r="S15" s="2298">
        <f>'XM.FILE GOC'!S87</f>
        <v>2.6532999999999434</v>
      </c>
      <c r="T15" s="2299" t="s">
        <v>9</v>
      </c>
      <c r="U15" s="2117">
        <f>'3.XT-C KH'!U15</f>
        <v>8.5</v>
      </c>
      <c r="V15" s="2300" t="s">
        <v>8</v>
      </c>
      <c r="W15" s="2301">
        <f>IF(U15=0,"",('XM.FILE GOC'!$G$87-U15)*53066/1000)</f>
        <v>0</v>
      </c>
      <c r="X15" s="2302" t="s">
        <v>9</v>
      </c>
      <c r="Y15" s="2296">
        <f>'XM.FILE GOC'!W87</f>
        <v>8.3849999999999998</v>
      </c>
      <c r="Z15" s="2297" t="s">
        <v>8</v>
      </c>
      <c r="AA15" s="2298">
        <f>'XM.FILE GOC'!Z87</f>
        <v>6.1025900000000108</v>
      </c>
      <c r="AB15" s="2302" t="s">
        <v>9</v>
      </c>
      <c r="AC15" s="2117">
        <f>'3.XT-C KH'!AC15</f>
        <v>8.6</v>
      </c>
      <c r="AD15" s="2300" t="s">
        <v>8</v>
      </c>
      <c r="AE15" s="2301">
        <f>IF(AC15=0,"",('XM.FILE GOC'!$G$87-AC15)*53066/1000)</f>
        <v>-5.3065999999999809</v>
      </c>
      <c r="AF15" s="2302" t="s">
        <v>9</v>
      </c>
      <c r="AG15" s="2293" t="s">
        <v>41</v>
      </c>
    </row>
    <row r="16" spans="1:35" s="7" customFormat="1" ht="49.5" customHeight="1">
      <c r="A16" s="3808">
        <v>6</v>
      </c>
      <c r="B16" s="3833" t="s">
        <v>37</v>
      </c>
      <c r="C16" s="3834"/>
      <c r="D16" s="3834"/>
      <c r="E16" s="3837"/>
      <c r="F16" s="2305" t="s">
        <v>3</v>
      </c>
      <c r="G16" s="2306" t="s">
        <v>1317</v>
      </c>
      <c r="H16" s="2307" t="s">
        <v>1306</v>
      </c>
      <c r="I16" s="2308">
        <f>'XM.FILE GOC'!I97</f>
        <v>0</v>
      </c>
      <c r="J16" s="2309"/>
      <c r="K16" s="2310">
        <f>'XM.FILE GOC'!L97</f>
        <v>403.2</v>
      </c>
      <c r="L16" s="2311" t="s">
        <v>10</v>
      </c>
      <c r="M16" s="2312"/>
      <c r="N16" s="2313"/>
      <c r="O16" s="2314" t="str">
        <f>IF(M16=0,"",('XM.FILE GOC'!$G$97-M16)*3360/102)</f>
        <v/>
      </c>
      <c r="P16" s="2315" t="s">
        <v>10</v>
      </c>
      <c r="Q16" s="2316">
        <f>'XM.FILE GOC'!P97</f>
        <v>0</v>
      </c>
      <c r="R16" s="2309"/>
      <c r="S16" s="2310">
        <f>'XM.FILE GOC'!S97</f>
        <v>403.2</v>
      </c>
      <c r="T16" s="2311" t="s">
        <v>10</v>
      </c>
      <c r="U16" s="2312"/>
      <c r="V16" s="2313"/>
      <c r="W16" s="2314" t="str">
        <f>IF(U16=0,"",('XM.FILE GOC'!$G$97-U16)*3360/102)</f>
        <v/>
      </c>
      <c r="X16" s="2315" t="s">
        <v>10</v>
      </c>
      <c r="Y16" s="2316">
        <f>'XM.FILE GOC'!W97</f>
        <v>0</v>
      </c>
      <c r="Z16" s="2309"/>
      <c r="AA16" s="2310">
        <f>'XM.FILE GOC'!Z97</f>
        <v>403.2</v>
      </c>
      <c r="AB16" s="2311" t="s">
        <v>10</v>
      </c>
      <c r="AC16" s="2312"/>
      <c r="AD16" s="2313"/>
      <c r="AE16" s="2314" t="str">
        <f>IF(AC16=0,"",('XM.FILE GOC'!$G$97-AC16)*3360/102)</f>
        <v/>
      </c>
      <c r="AF16" s="2315" t="s">
        <v>10</v>
      </c>
      <c r="AG16" s="2317" t="s">
        <v>42</v>
      </c>
      <c r="AI16" s="1578"/>
    </row>
    <row r="17" spans="1:35" ht="49.5" customHeight="1">
      <c r="A17" s="3809"/>
      <c r="B17" s="3835"/>
      <c r="C17" s="3836"/>
      <c r="D17" s="3836"/>
      <c r="E17" s="3838"/>
      <c r="F17" s="2318" t="s">
        <v>5</v>
      </c>
      <c r="G17" s="2319" t="s">
        <v>1315</v>
      </c>
      <c r="H17" s="2320" t="s">
        <v>1307</v>
      </c>
      <c r="I17" s="2321">
        <f>'XM.FILE GOC'!I98</f>
        <v>0</v>
      </c>
      <c r="J17" s="2322"/>
      <c r="K17" s="2323"/>
      <c r="L17" s="2324"/>
      <c r="M17" s="2325"/>
      <c r="N17" s="2326"/>
      <c r="O17" s="2327"/>
      <c r="P17" s="2328"/>
      <c r="Q17" s="2329">
        <f>'XM.FILE GOC'!P98</f>
        <v>0</v>
      </c>
      <c r="R17" s="2322"/>
      <c r="S17" s="2323"/>
      <c r="T17" s="2324"/>
      <c r="U17" s="2325"/>
      <c r="V17" s="2326"/>
      <c r="W17" s="2327"/>
      <c r="X17" s="2328"/>
      <c r="Y17" s="2329">
        <f>'XM.FILE GOC'!W98</f>
        <v>0</v>
      </c>
      <c r="Z17" s="2330"/>
      <c r="AA17" s="2331"/>
      <c r="AB17" s="2332"/>
      <c r="AC17" s="2325"/>
      <c r="AD17" s="2326"/>
      <c r="AE17" s="2327"/>
      <c r="AF17" s="2328"/>
      <c r="AG17" s="2333"/>
    </row>
    <row r="18" spans="1:35" ht="49.5" customHeight="1">
      <c r="A18" s="2713">
        <v>7</v>
      </c>
      <c r="B18" s="3200" t="s">
        <v>82</v>
      </c>
      <c r="C18" s="3201"/>
      <c r="D18" s="3201"/>
      <c r="E18" s="3202"/>
      <c r="F18" s="633" t="s">
        <v>6</v>
      </c>
      <c r="G18" s="898" t="str">
        <f>'XM.FILE GOC'!$E$90</f>
        <v>40~50</v>
      </c>
      <c r="H18" s="2222" t="str">
        <f>'XM.FILE GOC'!$F$90</f>
        <v>(45±5)</v>
      </c>
      <c r="I18" s="1754">
        <f>'XM.FILE GOC'!I90</f>
        <v>0.435</v>
      </c>
      <c r="J18" s="972" t="s">
        <v>8</v>
      </c>
      <c r="K18" s="973">
        <f>'XM.FILE GOC'!L90</f>
        <v>48.510000000000041</v>
      </c>
      <c r="L18" s="974" t="s">
        <v>10</v>
      </c>
      <c r="M18" s="915">
        <f>IF(I18&gt;44.99%,"",'3.XT-C KH'!M18)</f>
        <v>0.44500000000000001</v>
      </c>
      <c r="N18" s="909" t="s">
        <v>8</v>
      </c>
      <c r="O18" s="937">
        <f>IF(M18="","",('XM.FILE GOC'!$G$90-M18)*3234)</f>
        <v>16.170000000000016</v>
      </c>
      <c r="P18" s="912" t="s">
        <v>10</v>
      </c>
      <c r="Q18" s="1754">
        <f>'XM.FILE GOC'!P90</f>
        <v>0.44800000000000001</v>
      </c>
      <c r="R18" s="972" t="s">
        <v>8</v>
      </c>
      <c r="S18" s="973">
        <f>'XM.FILE GOC'!S90</f>
        <v>6.4680000000000053</v>
      </c>
      <c r="T18" s="974" t="s">
        <v>10</v>
      </c>
      <c r="U18" s="915">
        <f>IF(Q18&gt;44.99%,"",'3.XT-C KH'!U18)</f>
        <v>0.46</v>
      </c>
      <c r="V18" s="909" t="s">
        <v>8</v>
      </c>
      <c r="W18" s="937">
        <f>IF(U18="","",('XM.FILE GOC'!$G$90-U18)*3234)</f>
        <v>-32.340000000000032</v>
      </c>
      <c r="X18" s="912" t="s">
        <v>10</v>
      </c>
      <c r="Y18" s="1754">
        <f>'XM.FILE GOC'!W90</f>
        <v>0.46500000000000002</v>
      </c>
      <c r="Z18" s="972" t="s">
        <v>8</v>
      </c>
      <c r="AA18" s="973">
        <f>'XM.FILE GOC'!Z90</f>
        <v>0</v>
      </c>
      <c r="AB18" s="974" t="s">
        <v>10</v>
      </c>
      <c r="AC18" s="915" t="str">
        <f>IF(Y18&gt;44.99%,"",'3.XT-C KH'!AC18)</f>
        <v/>
      </c>
      <c r="AD18" s="909" t="s">
        <v>8</v>
      </c>
      <c r="AE18" s="937" t="str">
        <f>IF(AC18="","",('XM.FILE GOC'!$G$90-AC18)*3234)</f>
        <v/>
      </c>
      <c r="AF18" s="912" t="s">
        <v>10</v>
      </c>
      <c r="AG18" s="2711"/>
    </row>
    <row r="19" spans="1:35" ht="49.5" customHeight="1">
      <c r="A19" s="2710">
        <v>8</v>
      </c>
      <c r="B19" s="3213" t="s">
        <v>1612</v>
      </c>
      <c r="C19" s="3214"/>
      <c r="D19" s="3214"/>
      <c r="E19" s="3215"/>
      <c r="F19" s="633" t="s">
        <v>6</v>
      </c>
      <c r="G19" s="898" t="str">
        <f>'XM.FILE GOC'!$E$91</f>
        <v>15~25</v>
      </c>
      <c r="H19" s="2222" t="str">
        <f>'XM.FILE GOC'!$F$91</f>
        <v>(18±2)</v>
      </c>
      <c r="I19" s="2747">
        <f>'XM.FILE GOC'!I91</f>
        <v>0</v>
      </c>
      <c r="J19" s="972" t="s">
        <v>8</v>
      </c>
      <c r="K19" s="973">
        <f>'XM.FILE GOC'!L91</f>
        <v>604.98</v>
      </c>
      <c r="L19" s="974" t="s">
        <v>10</v>
      </c>
      <c r="M19" s="915">
        <f>IF(I19&gt;7.99%,"",'3.XT-C KH'!M19)</f>
        <v>0</v>
      </c>
      <c r="N19" s="909" t="s">
        <v>8</v>
      </c>
      <c r="O19" s="1595">
        <f>IF(M19="","",('XM.FILE GOC'!$G$91-M19)*3361)</f>
        <v>604.98</v>
      </c>
      <c r="P19" s="912" t="s">
        <v>10</v>
      </c>
      <c r="Q19" s="2747">
        <f>'XM.FILE GOC'!P91</f>
        <v>0</v>
      </c>
      <c r="R19" s="972" t="s">
        <v>8</v>
      </c>
      <c r="S19" s="973">
        <f>'XM.FILE GOC'!S91</f>
        <v>604.98</v>
      </c>
      <c r="T19" s="974" t="s">
        <v>10</v>
      </c>
      <c r="U19" s="915">
        <f>IF(Q19&gt;7.99%,"",'3.XT-C KH'!U19)</f>
        <v>0</v>
      </c>
      <c r="V19" s="909" t="s">
        <v>8</v>
      </c>
      <c r="W19" s="1595">
        <f>IF(U19="","",('XM.FILE GOC'!$G$91-U19)*3361)</f>
        <v>604.98</v>
      </c>
      <c r="X19" s="912" t="s">
        <v>10</v>
      </c>
      <c r="Y19" s="2747">
        <f>'XM.FILE GOC'!W91</f>
        <v>0</v>
      </c>
      <c r="Z19" s="972" t="s">
        <v>8</v>
      </c>
      <c r="AA19" s="973">
        <f>'XM.FILE GOC'!Z91</f>
        <v>604.98</v>
      </c>
      <c r="AB19" s="974" t="s">
        <v>10</v>
      </c>
      <c r="AC19" s="915">
        <f>IF(Y19&gt;7.99%,"",'3.XT-C KH'!AC19)</f>
        <v>0</v>
      </c>
      <c r="AD19" s="909" t="s">
        <v>8</v>
      </c>
      <c r="AE19" s="1595">
        <f>IF(AC19="","",('XM.FILE GOC'!$G$91-AC19)*3361)</f>
        <v>604.98</v>
      </c>
      <c r="AF19" s="912" t="s">
        <v>10</v>
      </c>
      <c r="AG19" s="2294" t="s">
        <v>43</v>
      </c>
    </row>
    <row r="20" spans="1:35" ht="49.5" customHeight="1">
      <c r="A20" s="2713">
        <v>9</v>
      </c>
      <c r="B20" s="3213" t="s">
        <v>1613</v>
      </c>
      <c r="C20" s="3214"/>
      <c r="D20" s="3214"/>
      <c r="E20" s="3215"/>
      <c r="F20" s="633" t="s">
        <v>6</v>
      </c>
      <c r="G20" s="898" t="str">
        <f>'XM.FILE GOC'!$E$92</f>
        <v>40~50</v>
      </c>
      <c r="H20" s="2222" t="str">
        <f>'XM.FILE GOC'!$F$92</f>
        <v>(45±5)</v>
      </c>
      <c r="I20" s="1754">
        <f>'XM.FILE GOC'!I92</f>
        <v>0.46081249999999996</v>
      </c>
      <c r="J20" s="972" t="s">
        <v>8</v>
      </c>
      <c r="K20" s="973">
        <f>'XM.FILE GOC'!L92</f>
        <v>0</v>
      </c>
      <c r="L20" s="974" t="s">
        <v>10</v>
      </c>
      <c r="M20" s="915" t="str">
        <f>IF(I20&gt;44.99%,"",'3.XT-C KH'!M20)</f>
        <v/>
      </c>
      <c r="N20" s="909" t="s">
        <v>8</v>
      </c>
      <c r="O20" s="1595" t="str">
        <f>IF(M20="","",('XM.FILE GOC'!$G$92-M20)*3361)</f>
        <v/>
      </c>
      <c r="P20" s="912" t="s">
        <v>10</v>
      </c>
      <c r="Q20" s="1754">
        <f>'XM.FILE GOC'!P92</f>
        <v>0.45624999999999999</v>
      </c>
      <c r="R20" s="972" t="s">
        <v>8</v>
      </c>
      <c r="S20" s="973">
        <f>'XM.FILE GOC'!S92</f>
        <v>0</v>
      </c>
      <c r="T20" s="974" t="s">
        <v>10</v>
      </c>
      <c r="U20" s="915" t="str">
        <f>IF(Q20&gt;44.99%,"",'3.XT-C KH'!U20)</f>
        <v/>
      </c>
      <c r="V20" s="909" t="s">
        <v>8</v>
      </c>
      <c r="W20" s="1595" t="str">
        <f>IF(U20="","",('XM.FILE GOC'!$G$92-U20)*3361)</f>
        <v/>
      </c>
      <c r="X20" s="912" t="s">
        <v>10</v>
      </c>
      <c r="Y20" s="1754">
        <f>'XM.FILE GOC'!W92</f>
        <v>0.46993750000000001</v>
      </c>
      <c r="Z20" s="972" t="s">
        <v>8</v>
      </c>
      <c r="AA20" s="973">
        <f>'XM.FILE GOC'!Z92</f>
        <v>0</v>
      </c>
      <c r="AB20" s="974" t="s">
        <v>10</v>
      </c>
      <c r="AC20" s="915" t="str">
        <f>IF(Y20&gt;44.99%,"",'3.XT-C KH'!AC20)</f>
        <v/>
      </c>
      <c r="AD20" s="909" t="s">
        <v>8</v>
      </c>
      <c r="AE20" s="1595" t="str">
        <f>IF(AC20="","",('XM.FILE GOC'!$G$92-AC20)*3361)</f>
        <v/>
      </c>
      <c r="AF20" s="912" t="s">
        <v>10</v>
      </c>
      <c r="AG20" s="2712"/>
    </row>
    <row r="21" spans="1:35" ht="49.5" customHeight="1">
      <c r="A21" s="2710">
        <v>10</v>
      </c>
      <c r="B21" s="3203" t="s">
        <v>1614</v>
      </c>
      <c r="C21" s="3204"/>
      <c r="D21" s="3204"/>
      <c r="E21" s="3205"/>
      <c r="F21" s="633" t="s">
        <v>6</v>
      </c>
      <c r="G21" s="898" t="str">
        <f>'XM.FILE GOC'!$E$93</f>
        <v>40~50</v>
      </c>
      <c r="H21" s="2222" t="str">
        <f>'XM.FILE GOC'!$F$93</f>
        <v>(45±5)</v>
      </c>
      <c r="I21" s="1754">
        <f>'XM.FILE GOC'!I93</f>
        <v>0.46993750000000001</v>
      </c>
      <c r="J21" s="972" t="s">
        <v>8</v>
      </c>
      <c r="K21" s="973">
        <f>'XM.FILE GOC'!L93</f>
        <v>0</v>
      </c>
      <c r="L21" s="974" t="s">
        <v>10</v>
      </c>
      <c r="M21" s="915" t="str">
        <f>IF(I21&gt;44.99%,"",'3.XT-C KH'!M21)</f>
        <v/>
      </c>
      <c r="N21" s="911" t="s">
        <v>8</v>
      </c>
      <c r="O21" s="1595" t="str">
        <f>IF(M21="","",('XM.FILE GOC'!$G$93-M21)*10509)</f>
        <v/>
      </c>
      <c r="P21" s="912" t="s">
        <v>10</v>
      </c>
      <c r="Q21" s="1754">
        <f>'XM.FILE GOC'!P93</f>
        <v>0.46993750000000001</v>
      </c>
      <c r="R21" s="972" t="s">
        <v>8</v>
      </c>
      <c r="S21" s="973">
        <f>'XM.FILE GOC'!S93</f>
        <v>0</v>
      </c>
      <c r="T21" s="974" t="s">
        <v>10</v>
      </c>
      <c r="U21" s="915" t="str">
        <f>IF(Q21&gt;44.99%,"",'3.XT-C KH'!U21)</f>
        <v/>
      </c>
      <c r="V21" s="911" t="s">
        <v>8</v>
      </c>
      <c r="W21" s="1595" t="str">
        <f>IF(U21="","",('XM.FILE GOC'!$G$93-U21)*10509)</f>
        <v/>
      </c>
      <c r="X21" s="912" t="s">
        <v>10</v>
      </c>
      <c r="Y21" s="1754">
        <f>'XM.FILE GOC'!W93</f>
        <v>0.47906250000000006</v>
      </c>
      <c r="Z21" s="972" t="s">
        <v>8</v>
      </c>
      <c r="AA21" s="973">
        <f>'XM.FILE GOC'!Z93</f>
        <v>0</v>
      </c>
      <c r="AB21" s="974" t="s">
        <v>10</v>
      </c>
      <c r="AC21" s="915" t="str">
        <f>IF(Y21&gt;44.99%,"",'3.XT-C KH'!AC21)</f>
        <v/>
      </c>
      <c r="AD21" s="911" t="s">
        <v>8</v>
      </c>
      <c r="AE21" s="1595" t="str">
        <f>IF(AC21="","",('XM.FILE GOC'!$G$93-AC21)*10509)</f>
        <v/>
      </c>
      <c r="AF21" s="912" t="s">
        <v>10</v>
      </c>
      <c r="AG21" s="69" t="s">
        <v>43</v>
      </c>
    </row>
    <row r="22" spans="1:35" ht="49.5" customHeight="1">
      <c r="A22" s="2713">
        <v>11</v>
      </c>
      <c r="B22" s="3200" t="s">
        <v>957</v>
      </c>
      <c r="C22" s="3201" t="s">
        <v>957</v>
      </c>
      <c r="D22" s="3201" t="s">
        <v>957</v>
      </c>
      <c r="E22" s="3202" t="s">
        <v>957</v>
      </c>
      <c r="F22" s="633" t="s">
        <v>6</v>
      </c>
      <c r="G22" s="898" t="str">
        <f>'XM.FILE GOC'!$E$94</f>
        <v>(1±0.4)=0.6~1.4</v>
      </c>
      <c r="H22" s="2222" t="str">
        <f>'XM.FILE GOC'!$F$94</f>
        <v>(1±0.4)</v>
      </c>
      <c r="I22" s="2230">
        <f>'XM.FILE GOC'!I94</f>
        <v>9.7999999999999997E-3</v>
      </c>
      <c r="J22" s="972" t="s">
        <v>8</v>
      </c>
      <c r="K22" s="976">
        <f>'XM.FILE GOC'!L94</f>
        <v>0.57218543046357762</v>
      </c>
      <c r="L22" s="977" t="s">
        <v>10</v>
      </c>
      <c r="M22" s="1579">
        <f>IF(I22&gt;0.99%,"",'3.XT-C KH'!M22)</f>
        <v>0.01</v>
      </c>
      <c r="N22" s="948" t="s">
        <v>8</v>
      </c>
      <c r="O22" s="1597">
        <f>IF(M22="","",('XM.FILE GOC'!$G$94-M22)*2808)</f>
        <v>0</v>
      </c>
      <c r="P22" s="918" t="s">
        <v>10</v>
      </c>
      <c r="Q22" s="2230">
        <f>'XM.FILE GOC'!P94</f>
        <v>0.01</v>
      </c>
      <c r="R22" s="972" t="s">
        <v>8</v>
      </c>
      <c r="S22" s="976">
        <f>'XM.FILE GOC'!S94</f>
        <v>0</v>
      </c>
      <c r="T22" s="977" t="s">
        <v>10</v>
      </c>
      <c r="U22" s="1579" t="str">
        <f>IF(Q22&gt;0.99%,"",'3.XT-C KH'!U22)</f>
        <v/>
      </c>
      <c r="V22" s="948" t="s">
        <v>8</v>
      </c>
      <c r="W22" s="1597" t="str">
        <f>IF(U22="","",('XM.FILE GOC'!$G$94-U22)*2808)</f>
        <v/>
      </c>
      <c r="X22" s="918" t="s">
        <v>10</v>
      </c>
      <c r="Y22" s="2230">
        <f>'XM.FILE GOC'!W94</f>
        <v>1.0200000000000001E-2</v>
      </c>
      <c r="Z22" s="972" t="s">
        <v>8</v>
      </c>
      <c r="AA22" s="976">
        <f>'XM.FILE GOC'!Z94</f>
        <v>0</v>
      </c>
      <c r="AB22" s="977" t="s">
        <v>10</v>
      </c>
      <c r="AC22" s="1579" t="str">
        <f>IF(Y22&gt;0.99%,"",'3.XT-C KH'!AC22)</f>
        <v/>
      </c>
      <c r="AD22" s="948" t="s">
        <v>8</v>
      </c>
      <c r="AE22" s="1597" t="str">
        <f>IF(AC22="","",('XM.FILE GOC'!$G$94-AC22)*2808)</f>
        <v/>
      </c>
      <c r="AF22" s="918" t="s">
        <v>10</v>
      </c>
      <c r="AG22" s="1574" t="s">
        <v>44</v>
      </c>
    </row>
    <row r="23" spans="1:35" ht="49.5" hidden="1" customHeight="1">
      <c r="A23" s="2266">
        <v>11</v>
      </c>
      <c r="B23" s="3083" t="s">
        <v>74</v>
      </c>
      <c r="C23" s="3084"/>
      <c r="D23" s="3084"/>
      <c r="E23" s="3085"/>
      <c r="F23" s="2" t="s">
        <v>3</v>
      </c>
      <c r="G23" s="898" t="str">
        <f>'XM.GUI MAIL'!$E$95</f>
        <v>5~8</v>
      </c>
      <c r="H23" s="2222" t="str">
        <f>'XM.GUI MAIL'!$F$95</f>
        <v>(6±0.5)</v>
      </c>
      <c r="I23" s="1840">
        <f>'XM.FILE GOC'!AD53</f>
        <v>7</v>
      </c>
      <c r="J23" s="972" t="s">
        <v>8</v>
      </c>
      <c r="K23" s="973">
        <f>'XM.FILE GOC'!AG53</f>
        <v>0</v>
      </c>
      <c r="L23" s="977" t="s">
        <v>10</v>
      </c>
      <c r="M23" s="2258"/>
      <c r="N23" s="909" t="s">
        <v>8</v>
      </c>
      <c r="O23" s="937">
        <f>('XM.FILE GOC'!$G$95-M23)*4042/95*1.028</f>
        <v>262.43216842105267</v>
      </c>
      <c r="P23" s="910" t="s">
        <v>10</v>
      </c>
      <c r="Q23" s="1840">
        <f>'XM.FILE GOC'!AK53</f>
        <v>7.2</v>
      </c>
      <c r="R23" s="972" t="s">
        <v>8</v>
      </c>
      <c r="S23" s="973">
        <f>'XM.FILE GOC'!AN53</f>
        <v>0</v>
      </c>
      <c r="T23" s="977" t="s">
        <v>10</v>
      </c>
      <c r="U23" s="2258"/>
      <c r="V23" s="909" t="s">
        <v>8</v>
      </c>
      <c r="W23" s="937">
        <f>('XM.FILE GOC'!$G$95-U23)*4042/95*1.028</f>
        <v>262.43216842105267</v>
      </c>
      <c r="X23" s="910" t="s">
        <v>10</v>
      </c>
      <c r="Y23" s="1840">
        <f>'XM.FILE GOC'!AR53</f>
        <v>7</v>
      </c>
      <c r="Z23" s="972" t="s">
        <v>8</v>
      </c>
      <c r="AA23" s="973">
        <f>'XM.FILE GOC'!AU53</f>
        <v>0</v>
      </c>
      <c r="AB23" s="977" t="s">
        <v>10</v>
      </c>
      <c r="AC23" s="2258"/>
      <c r="AD23" s="909" t="s">
        <v>8</v>
      </c>
      <c r="AE23" s="937">
        <f>('XM.FILE GOC'!$G$95-AC23)*4042/95*1.028</f>
        <v>262.43216842105267</v>
      </c>
      <c r="AF23" s="910" t="s">
        <v>10</v>
      </c>
      <c r="AG23" s="2265"/>
    </row>
    <row r="24" spans="1:35" ht="49.5" hidden="1" customHeight="1">
      <c r="A24" s="2266">
        <v>12</v>
      </c>
      <c r="B24" s="3086"/>
      <c r="C24" s="3087"/>
      <c r="D24" s="3087"/>
      <c r="E24" s="3088"/>
      <c r="F24" s="2" t="s">
        <v>5</v>
      </c>
      <c r="G24" s="898" t="str">
        <f>'XM.GUI MAIL'!$E$96</f>
        <v>1.8~2.4</v>
      </c>
      <c r="H24" s="2222" t="str">
        <f>'XM.GUI MAIL'!$F$96</f>
        <v>(2.1±0.1)</v>
      </c>
      <c r="I24" s="1768">
        <f>'XM.FILE GOC'!AD54</f>
        <v>2.2999999999999998</v>
      </c>
      <c r="J24" s="972"/>
      <c r="K24" s="976"/>
      <c r="L24" s="977"/>
      <c r="M24" s="916"/>
      <c r="N24" s="948"/>
      <c r="O24" s="1597"/>
      <c r="P24" s="918"/>
      <c r="Q24" s="1768">
        <f>'XM.FILE GOC'!AK54</f>
        <v>2.35</v>
      </c>
      <c r="R24" s="972"/>
      <c r="S24" s="976"/>
      <c r="T24" s="977"/>
      <c r="U24" s="916"/>
      <c r="V24" s="948"/>
      <c r="W24" s="1597"/>
      <c r="X24" s="918"/>
      <c r="Y24" s="1768">
        <f>'XM.FILE GOC'!AR54</f>
        <v>2.4</v>
      </c>
      <c r="Z24" s="972"/>
      <c r="AA24" s="976"/>
      <c r="AB24" s="977"/>
      <c r="AC24" s="916"/>
      <c r="AD24" s="948"/>
      <c r="AE24" s="1597"/>
      <c r="AF24" s="918"/>
      <c r="AG24" s="2265"/>
    </row>
    <row r="25" spans="1:35" ht="38.25" customHeight="1">
      <c r="A25" s="1575"/>
      <c r="B25" s="3840" t="s">
        <v>2</v>
      </c>
      <c r="C25" s="3840"/>
      <c r="D25" s="3840"/>
      <c r="E25" s="3840"/>
      <c r="F25" s="3840"/>
      <c r="G25" s="3840"/>
      <c r="H25" s="3840"/>
      <c r="I25" s="3840"/>
      <c r="J25" s="3840"/>
      <c r="K25" s="3840"/>
      <c r="L25" s="3840"/>
      <c r="M25" s="3840"/>
      <c r="N25" s="3840"/>
      <c r="O25" s="3840"/>
      <c r="P25" s="3840"/>
      <c r="Q25" s="3840"/>
      <c r="R25" s="3840"/>
      <c r="S25" s="3840"/>
      <c r="T25" s="3840"/>
      <c r="U25" s="3840"/>
      <c r="V25" s="3840"/>
      <c r="W25" s="3840"/>
      <c r="X25" s="3840"/>
      <c r="Y25" s="3840"/>
      <c r="Z25" s="3840"/>
      <c r="AA25" s="3840"/>
      <c r="AB25" s="3840"/>
      <c r="AC25" s="3840"/>
      <c r="AD25" s="3840"/>
      <c r="AE25" s="3840"/>
      <c r="AF25" s="3840"/>
      <c r="AG25" s="3840"/>
    </row>
    <row r="26" spans="1:35" ht="49.5" customHeight="1">
      <c r="A26" s="1575" t="s">
        <v>7</v>
      </c>
      <c r="B26" s="3167" t="s">
        <v>958</v>
      </c>
      <c r="C26" s="3168"/>
      <c r="D26" s="3168"/>
      <c r="E26" s="3169"/>
      <c r="F26" s="978" t="s">
        <v>959</v>
      </c>
      <c r="G26" s="978" t="s">
        <v>1310</v>
      </c>
      <c r="H26" s="2224" t="s">
        <v>1302</v>
      </c>
      <c r="I26" s="3158" t="s">
        <v>960</v>
      </c>
      <c r="J26" s="3159"/>
      <c r="K26" s="3160" t="s">
        <v>961</v>
      </c>
      <c r="L26" s="3159"/>
      <c r="M26" s="919"/>
      <c r="N26" s="920"/>
      <c r="O26" s="920"/>
      <c r="P26" s="921"/>
      <c r="Q26" s="3160" t="s">
        <v>960</v>
      </c>
      <c r="R26" s="3159"/>
      <c r="S26" s="3160" t="s">
        <v>961</v>
      </c>
      <c r="T26" s="3159"/>
      <c r="U26" s="919"/>
      <c r="V26" s="920"/>
      <c r="W26" s="920"/>
      <c r="X26" s="921"/>
      <c r="Y26" s="3160" t="s">
        <v>960</v>
      </c>
      <c r="Z26" s="3159"/>
      <c r="AA26" s="3160" t="s">
        <v>961</v>
      </c>
      <c r="AB26" s="3159"/>
      <c r="AC26" s="919"/>
      <c r="AD26" s="920"/>
      <c r="AE26" s="920"/>
      <c r="AF26" s="921"/>
      <c r="AG26" s="10"/>
    </row>
    <row r="27" spans="1:35" ht="49.5" customHeight="1">
      <c r="A27" s="1575">
        <v>1</v>
      </c>
      <c r="B27" s="3167" t="s">
        <v>962</v>
      </c>
      <c r="C27" s="3168"/>
      <c r="D27" s="3168"/>
      <c r="E27" s="3169"/>
      <c r="F27" s="979" t="s">
        <v>963</v>
      </c>
      <c r="G27" s="898" t="str">
        <f>'XM.FILE GOC'!$E$105</f>
        <v>50~70</v>
      </c>
      <c r="H27" s="2222" t="str">
        <f>'XM.FILE GOC'!$F$105</f>
        <v>(60±5)</v>
      </c>
      <c r="I27" s="3113">
        <f>'3.XT-C KH'!I27:J27</f>
        <v>60</v>
      </c>
      <c r="J27" s="3112"/>
      <c r="K27" s="3112">
        <f>'3.XT-C KH'!K27:L27</f>
        <v>60</v>
      </c>
      <c r="L27" s="3112"/>
      <c r="M27" s="922"/>
      <c r="N27" s="923"/>
      <c r="O27" s="923"/>
      <c r="P27" s="924"/>
      <c r="Q27" s="3112">
        <f>'3.XT-C KH'!Q27:R27</f>
        <v>60</v>
      </c>
      <c r="R27" s="3112"/>
      <c r="S27" s="3112">
        <f>'3.XT-C KH'!S27:T27</f>
        <v>60</v>
      </c>
      <c r="T27" s="3112"/>
      <c r="U27" s="922"/>
      <c r="V27" s="923"/>
      <c r="W27" s="923"/>
      <c r="X27" s="924"/>
      <c r="Y27" s="3112">
        <f>'3.XT-C KH'!Y27:Z27</f>
        <v>60</v>
      </c>
      <c r="Z27" s="3112"/>
      <c r="AA27" s="3112">
        <f>'3.XT-C KH'!AA27:AB27</f>
        <v>60</v>
      </c>
      <c r="AB27" s="3112"/>
      <c r="AC27" s="922"/>
      <c r="AD27" s="923"/>
      <c r="AE27" s="923"/>
      <c r="AF27" s="924"/>
      <c r="AG27" s="1576"/>
    </row>
    <row r="28" spans="1:35" ht="49.5" customHeight="1">
      <c r="A28" s="1575">
        <v>2</v>
      </c>
      <c r="B28" s="3167" t="s">
        <v>964</v>
      </c>
      <c r="C28" s="3168"/>
      <c r="D28" s="3168"/>
      <c r="E28" s="3169"/>
      <c r="F28" s="979" t="s">
        <v>963</v>
      </c>
      <c r="G28" s="898" t="str">
        <f>'XM.FILE GOC'!$E$106</f>
        <v>50~70</v>
      </c>
      <c r="H28" s="2222" t="str">
        <f>'XM.FILE GOC'!$F$106</f>
        <v>(60±5)</v>
      </c>
      <c r="I28" s="3113">
        <f>'3.XT-C KH'!I28:J28</f>
        <v>61</v>
      </c>
      <c r="J28" s="3112"/>
      <c r="K28" s="3112">
        <f>'3.XT-C KH'!K28:L28</f>
        <v>60</v>
      </c>
      <c r="L28" s="3112"/>
      <c r="M28" s="922"/>
      <c r="N28" s="923"/>
      <c r="O28" s="923"/>
      <c r="P28" s="924"/>
      <c r="Q28" s="3112">
        <f>'3.XT-C KH'!Q28:R28</f>
        <v>60</v>
      </c>
      <c r="R28" s="3112"/>
      <c r="S28" s="3112">
        <f>'3.XT-C KH'!S28:T28</f>
        <v>60</v>
      </c>
      <c r="T28" s="3112"/>
      <c r="U28" s="922"/>
      <c r="V28" s="923"/>
      <c r="W28" s="923"/>
      <c r="X28" s="924"/>
      <c r="Y28" s="3112">
        <f>'3.XT-C KH'!Y28:Z28</f>
        <v>62</v>
      </c>
      <c r="Z28" s="3112"/>
      <c r="AA28" s="3112">
        <f>'3.XT-C KH'!AA28:AB28</f>
        <v>61</v>
      </c>
      <c r="AB28" s="3112"/>
      <c r="AC28" s="922"/>
      <c r="AD28" s="923"/>
      <c r="AE28" s="923"/>
      <c r="AF28" s="924"/>
      <c r="AG28" s="1576"/>
    </row>
    <row r="29" spans="1:35" ht="49.5" customHeight="1">
      <c r="A29" s="1575">
        <v>3</v>
      </c>
      <c r="B29" s="3167" t="s">
        <v>965</v>
      </c>
      <c r="C29" s="3168"/>
      <c r="D29" s="3168"/>
      <c r="E29" s="3169"/>
      <c r="F29" s="979" t="s">
        <v>963</v>
      </c>
      <c r="G29" s="898" t="str">
        <f>'XM.FILE GOC'!$E$107</f>
        <v>50~70</v>
      </c>
      <c r="H29" s="2222" t="str">
        <f>'XM.FILE GOC'!$F$107</f>
        <v>(60±5)</v>
      </c>
      <c r="I29" s="3113">
        <f>'3.XT-C KH'!I29:J29</f>
        <v>60</v>
      </c>
      <c r="J29" s="3112"/>
      <c r="K29" s="3112">
        <f>'3.XT-C KH'!K29:L29</f>
        <v>60</v>
      </c>
      <c r="L29" s="3112"/>
      <c r="M29" s="922"/>
      <c r="N29" s="923"/>
      <c r="O29" s="923"/>
      <c r="P29" s="924"/>
      <c r="Q29" s="3112">
        <f>'3.XT-C KH'!Q29:R29</f>
        <v>60</v>
      </c>
      <c r="R29" s="3112"/>
      <c r="S29" s="3112">
        <f>'3.XT-C KH'!S29:T29</f>
        <v>61</v>
      </c>
      <c r="T29" s="3112"/>
      <c r="U29" s="922"/>
      <c r="V29" s="923"/>
      <c r="W29" s="923"/>
      <c r="X29" s="924"/>
      <c r="Y29" s="3112">
        <f>'3.XT-C KH'!Y29:Z29</f>
        <v>60</v>
      </c>
      <c r="Z29" s="3112"/>
      <c r="AA29" s="3112">
        <f>'3.XT-C KH'!AA29:AB29</f>
        <v>60</v>
      </c>
      <c r="AB29" s="3112"/>
      <c r="AC29" s="922"/>
      <c r="AD29" s="923"/>
      <c r="AE29" s="923"/>
      <c r="AF29" s="924"/>
      <c r="AG29" s="1576"/>
    </row>
    <row r="30" spans="1:35" ht="49.5" customHeight="1">
      <c r="A30" s="1575">
        <v>4</v>
      </c>
      <c r="B30" s="3167" t="s">
        <v>966</v>
      </c>
      <c r="C30" s="3168"/>
      <c r="D30" s="3168"/>
      <c r="E30" s="3169"/>
      <c r="F30" s="979" t="s">
        <v>963</v>
      </c>
      <c r="G30" s="898" t="str">
        <f>'XM.FILE GOC'!$E$108</f>
        <v>50~70</v>
      </c>
      <c r="H30" s="2222" t="str">
        <f>'XM.FILE GOC'!$F$108</f>
        <v>(60±5)</v>
      </c>
      <c r="I30" s="3113">
        <f>'3.XT-C KH'!I30:J30</f>
        <v>61</v>
      </c>
      <c r="J30" s="3112"/>
      <c r="K30" s="3112">
        <f>'3.XT-C KH'!K30:L30</f>
        <v>60</v>
      </c>
      <c r="L30" s="3112"/>
      <c r="M30" s="922"/>
      <c r="N30" s="923"/>
      <c r="O30" s="923"/>
      <c r="P30" s="924"/>
      <c r="Q30" s="3112">
        <f>'3.XT-C KH'!Q30:R30</f>
        <v>59</v>
      </c>
      <c r="R30" s="3112"/>
      <c r="S30" s="3112">
        <f>'3.XT-C KH'!S30:T30</f>
        <v>60</v>
      </c>
      <c r="T30" s="3112"/>
      <c r="U30" s="922"/>
      <c r="V30" s="923"/>
      <c r="W30" s="923"/>
      <c r="X30" s="924"/>
      <c r="Y30" s="3112">
        <f>'3.XT-C KH'!Y30:Z30</f>
        <v>60</v>
      </c>
      <c r="Z30" s="3112"/>
      <c r="AA30" s="3112">
        <f>'3.XT-C KH'!AA30:AB30</f>
        <v>60</v>
      </c>
      <c r="AB30" s="3112"/>
      <c r="AC30" s="922"/>
      <c r="AD30" s="923"/>
      <c r="AE30" s="923"/>
      <c r="AF30" s="924"/>
      <c r="AG30" s="1576"/>
    </row>
    <row r="31" spans="1:35" ht="49.5" customHeight="1">
      <c r="A31" s="1589">
        <v>5</v>
      </c>
      <c r="B31" s="3810" t="s">
        <v>967</v>
      </c>
      <c r="C31" s="3811"/>
      <c r="D31" s="3811"/>
      <c r="E31" s="3812"/>
      <c r="F31" s="1583" t="s">
        <v>963</v>
      </c>
      <c r="G31" s="1584" t="str">
        <f>'XM.FILE GOC'!$E$109</f>
        <v>22~28</v>
      </c>
      <c r="H31" s="2236" t="str">
        <f>'XM.FILE GOC'!$F$109</f>
        <v>(25±3)</v>
      </c>
      <c r="I31" s="3813">
        <f>'3.XT-C KH'!I31:J31</f>
        <v>26</v>
      </c>
      <c r="J31" s="3814"/>
      <c r="K31" s="3814">
        <f>'3.XT-C KH'!K31:L31</f>
        <v>26</v>
      </c>
      <c r="L31" s="3814"/>
      <c r="M31" s="922"/>
      <c r="N31" s="923"/>
      <c r="O31" s="923"/>
      <c r="P31" s="924"/>
      <c r="Q31" s="3814">
        <f>'3.XT-C KH'!Q31:R31</f>
        <v>26</v>
      </c>
      <c r="R31" s="3814"/>
      <c r="S31" s="3814">
        <f>'3.XT-C KH'!S31:T31</f>
        <v>26</v>
      </c>
      <c r="T31" s="3814"/>
      <c r="U31" s="922"/>
      <c r="V31" s="923"/>
      <c r="W31" s="923"/>
      <c r="X31" s="924"/>
      <c r="Y31" s="3814">
        <f>'3.XT-C KH'!Y31:Z31</f>
        <v>26</v>
      </c>
      <c r="Z31" s="3814"/>
      <c r="AA31" s="3814">
        <f>'3.XT-C KH'!AA31:AB31</f>
        <v>26</v>
      </c>
      <c r="AB31" s="3814"/>
      <c r="AC31" s="922"/>
      <c r="AD31" s="923"/>
      <c r="AE31" s="923"/>
      <c r="AF31" s="924"/>
      <c r="AG31" s="74"/>
    </row>
    <row r="32" spans="1:35" ht="49.5" customHeight="1">
      <c r="A32" s="1582">
        <v>6</v>
      </c>
      <c r="B32" s="3828" t="s">
        <v>968</v>
      </c>
      <c r="C32" s="3829"/>
      <c r="D32" s="3829"/>
      <c r="E32" s="3830"/>
      <c r="F32" s="2334" t="s">
        <v>963</v>
      </c>
      <c r="G32" s="2335" t="s">
        <v>1352</v>
      </c>
      <c r="H32" s="2336" t="s">
        <v>1449</v>
      </c>
      <c r="I32" s="3831"/>
      <c r="J32" s="3832"/>
      <c r="K32" s="3826"/>
      <c r="L32" s="3832"/>
      <c r="M32" s="2337"/>
      <c r="N32" s="2338"/>
      <c r="O32" s="2338"/>
      <c r="P32" s="2339"/>
      <c r="Q32" s="3826"/>
      <c r="R32" s="3832"/>
      <c r="S32" s="3826"/>
      <c r="T32" s="3832"/>
      <c r="U32" s="2337"/>
      <c r="V32" s="2338"/>
      <c r="W32" s="2338"/>
      <c r="X32" s="2339"/>
      <c r="Y32" s="3826"/>
      <c r="Z32" s="3832"/>
      <c r="AA32" s="3826"/>
      <c r="AB32" s="3827"/>
      <c r="AC32" s="923"/>
      <c r="AD32" s="923"/>
      <c r="AE32" s="923"/>
      <c r="AF32" s="924"/>
      <c r="AG32" s="1588"/>
      <c r="AI32" s="1578"/>
    </row>
    <row r="33" spans="1:55" ht="49.5" customHeight="1">
      <c r="A33" s="1590">
        <v>7</v>
      </c>
      <c r="B33" s="3803" t="s">
        <v>969</v>
      </c>
      <c r="C33" s="3804"/>
      <c r="D33" s="3804"/>
      <c r="E33" s="3805"/>
      <c r="F33" s="1585" t="s">
        <v>963</v>
      </c>
      <c r="G33" s="1586" t="str">
        <f>'XM.FILE GOC'!$E$111</f>
        <v>55~65</v>
      </c>
      <c r="H33" s="2238" t="str">
        <f>'XM.FILE GOC'!$F$111</f>
        <v>(60±5)</v>
      </c>
      <c r="I33" s="3806">
        <f>'3.XT-C KH'!I33</f>
        <v>55</v>
      </c>
      <c r="J33" s="3807"/>
      <c r="K33" s="3807">
        <f>'3.XT-C KH'!K33</f>
        <v>56</v>
      </c>
      <c r="L33" s="3807"/>
      <c r="M33" s="922"/>
      <c r="N33" s="923"/>
      <c r="O33" s="923"/>
      <c r="P33" s="924"/>
      <c r="Q33" s="3807">
        <f>'3.XT-C KH'!Q33</f>
        <v>55</v>
      </c>
      <c r="R33" s="3807"/>
      <c r="S33" s="3807">
        <f>'3.XT-C KH'!S33</f>
        <v>56</v>
      </c>
      <c r="T33" s="3807"/>
      <c r="U33" s="922"/>
      <c r="V33" s="923"/>
      <c r="W33" s="923"/>
      <c r="X33" s="924"/>
      <c r="Y33" s="3807">
        <f>'3.XT-C KH'!Y33</f>
        <v>56</v>
      </c>
      <c r="Z33" s="3807"/>
      <c r="AA33" s="3807">
        <f>'3.XT-C KH'!AA33</f>
        <v>55</v>
      </c>
      <c r="AB33" s="3807"/>
      <c r="AC33" s="922"/>
      <c r="AD33" s="923"/>
      <c r="AE33" s="923"/>
      <c r="AF33" s="924"/>
      <c r="AG33" s="1587"/>
    </row>
    <row r="34" spans="1:55" ht="49.5" customHeight="1">
      <c r="A34" s="1575">
        <v>8</v>
      </c>
      <c r="B34" s="3167" t="s">
        <v>970</v>
      </c>
      <c r="C34" s="3168"/>
      <c r="D34" s="3168"/>
      <c r="E34" s="3169"/>
      <c r="F34" s="979" t="s">
        <v>963</v>
      </c>
      <c r="G34" s="898" t="str">
        <f>'XM.FILE GOC'!$E$112</f>
        <v>80~100</v>
      </c>
      <c r="H34" s="2222" t="str">
        <f>'XM.FILE GOC'!$F$112</f>
        <v>(90±5)</v>
      </c>
      <c r="I34" s="3159" t="str">
        <f>'3.XT-C KH'!I34</f>
        <v>\</v>
      </c>
      <c r="J34" s="3191"/>
      <c r="K34" s="3112">
        <f>'3.XT-C KH'!K34</f>
        <v>90</v>
      </c>
      <c r="L34" s="3112"/>
      <c r="M34" s="922"/>
      <c r="N34" s="923"/>
      <c r="O34" s="923"/>
      <c r="P34" s="924"/>
      <c r="Q34" s="3191" t="str">
        <f>'3.XT-C KH'!Q34</f>
        <v>\</v>
      </c>
      <c r="R34" s="3191"/>
      <c r="S34" s="3112">
        <f>'3.XT-C KH'!S34</f>
        <v>91</v>
      </c>
      <c r="T34" s="3112"/>
      <c r="U34" s="922"/>
      <c r="V34" s="923"/>
      <c r="W34" s="923"/>
      <c r="X34" s="924"/>
      <c r="Y34" s="3191" t="str">
        <f>'3.XT-C KH'!Y34</f>
        <v>\</v>
      </c>
      <c r="Z34" s="3191"/>
      <c r="AA34" s="3112">
        <f>'3.XT-C KH'!AA34</f>
        <v>90</v>
      </c>
      <c r="AB34" s="3112"/>
      <c r="AC34" s="922"/>
      <c r="AD34" s="923"/>
      <c r="AE34" s="923"/>
      <c r="AF34" s="924"/>
      <c r="AG34" s="2069"/>
      <c r="AH34" s="62"/>
      <c r="AI34" s="62"/>
      <c r="AJ34" s="62"/>
      <c r="AK34" s="62"/>
      <c r="AL34" s="62"/>
      <c r="AM34" s="62"/>
      <c r="AN34" s="62"/>
      <c r="AO34" s="62"/>
      <c r="AP34" s="62"/>
      <c r="AQ34" s="62"/>
      <c r="AR34" s="62"/>
      <c r="AS34" s="62"/>
      <c r="AT34" s="62"/>
      <c r="AU34" s="62"/>
      <c r="AV34" s="62"/>
      <c r="AW34" s="62"/>
      <c r="AX34" s="62"/>
      <c r="AY34" s="62"/>
      <c r="AZ34" s="62"/>
      <c r="BA34" s="62"/>
      <c r="BB34" s="62"/>
      <c r="BC34" s="62"/>
    </row>
    <row r="35" spans="1:55" ht="49.5" customHeight="1">
      <c r="A35" s="1575">
        <v>9</v>
      </c>
      <c r="B35" s="3192" t="s">
        <v>1287</v>
      </c>
      <c r="C35" s="3193"/>
      <c r="D35" s="3193"/>
      <c r="E35" s="3194"/>
      <c r="F35" s="979" t="s">
        <v>963</v>
      </c>
      <c r="G35" s="898" t="str">
        <f>'XM.FILE GOC'!$E$113</f>
        <v>40~60</v>
      </c>
      <c r="H35" s="2222" t="str">
        <f>'XM.FILE GOC'!$F$113</f>
        <v>(50±10)</v>
      </c>
      <c r="I35" s="3190">
        <f>'3.XT-C KH'!I35</f>
        <v>58</v>
      </c>
      <c r="J35" s="3188"/>
      <c r="K35" s="3188">
        <f>'3.XT-C KH'!K35</f>
        <v>58</v>
      </c>
      <c r="L35" s="3188"/>
      <c r="M35" s="922"/>
      <c r="N35" s="923"/>
      <c r="O35" s="923"/>
      <c r="P35" s="924"/>
      <c r="Q35" s="3188">
        <f>'3.XT-C KH'!Q35</f>
        <v>60</v>
      </c>
      <c r="R35" s="3188"/>
      <c r="S35" s="3188">
        <f>'3.XT-C KH'!S35</f>
        <v>59</v>
      </c>
      <c r="T35" s="3188"/>
      <c r="U35" s="922"/>
      <c r="V35" s="923"/>
      <c r="W35" s="923"/>
      <c r="X35" s="924"/>
      <c r="Y35" s="3188">
        <f>'3.XT-C KH'!Y35</f>
        <v>59</v>
      </c>
      <c r="Z35" s="3188"/>
      <c r="AA35" s="3188">
        <f>'3.XT-C KH'!AA35</f>
        <v>60</v>
      </c>
      <c r="AB35" s="3188"/>
      <c r="AC35" s="922"/>
      <c r="AD35" s="923"/>
      <c r="AE35" s="923"/>
      <c r="AF35" s="924"/>
      <c r="AG35" s="2069"/>
      <c r="AH35" s="62"/>
      <c r="AI35" s="3822"/>
      <c r="AJ35" s="3822"/>
      <c r="AK35" s="3822"/>
      <c r="AL35" s="3822"/>
      <c r="AM35" s="923"/>
      <c r="AN35" s="923"/>
      <c r="AO35" s="923"/>
      <c r="AP35" s="923"/>
      <c r="AQ35" s="3822"/>
      <c r="AR35" s="3822"/>
      <c r="AS35" s="3822"/>
      <c r="AT35" s="3822"/>
      <c r="AU35" s="923"/>
      <c r="AV35" s="923"/>
      <c r="AW35" s="923"/>
      <c r="AX35" s="923"/>
      <c r="AY35" s="3822"/>
      <c r="AZ35" s="3822"/>
      <c r="BA35" s="3822"/>
      <c r="BB35" s="3822"/>
      <c r="BC35" s="62"/>
    </row>
    <row r="36" spans="1:55" ht="49.5" customHeight="1">
      <c r="A36" s="1575">
        <v>10</v>
      </c>
      <c r="B36" s="3192" t="s">
        <v>1290</v>
      </c>
      <c r="C36" s="3193"/>
      <c r="D36" s="3193"/>
      <c r="E36" s="3194"/>
      <c r="F36" s="979" t="s">
        <v>963</v>
      </c>
      <c r="G36" s="898" t="str">
        <f>'XM.FILE GOC'!$E$114</f>
        <v>50~70</v>
      </c>
      <c r="H36" s="2222" t="str">
        <f>'XM.FILE GOC'!$F$114</f>
        <v>(60±10)</v>
      </c>
      <c r="I36" s="3190">
        <f>'3.XT-C KH'!I36</f>
        <v>57</v>
      </c>
      <c r="J36" s="3188"/>
      <c r="K36" s="3188">
        <f>'3.XT-C KH'!K36</f>
        <v>58</v>
      </c>
      <c r="L36" s="3188"/>
      <c r="M36" s="922"/>
      <c r="N36" s="923"/>
      <c r="O36" s="923"/>
      <c r="P36" s="924"/>
      <c r="Q36" s="3188">
        <f>'3.XT-C KH'!Q36</f>
        <v>58</v>
      </c>
      <c r="R36" s="3188"/>
      <c r="S36" s="3188">
        <f>'3.XT-C KH'!S36</f>
        <v>58</v>
      </c>
      <c r="T36" s="3188"/>
      <c r="U36" s="922"/>
      <c r="V36" s="923"/>
      <c r="W36" s="923"/>
      <c r="X36" s="924"/>
      <c r="Y36" s="3188">
        <f>'3.XT-C KH'!Y36</f>
        <v>59</v>
      </c>
      <c r="Z36" s="3188"/>
      <c r="AA36" s="3188">
        <f>'3.XT-C KH'!AA36</f>
        <v>59</v>
      </c>
      <c r="AB36" s="3188"/>
      <c r="AC36" s="922"/>
      <c r="AD36" s="923"/>
      <c r="AE36" s="923"/>
      <c r="AF36" s="924"/>
      <c r="AG36" s="2069"/>
      <c r="AH36" s="62"/>
      <c r="AI36" s="3822"/>
      <c r="AJ36" s="3822"/>
      <c r="AK36" s="3822"/>
      <c r="AL36" s="3822"/>
      <c r="AM36" s="923"/>
      <c r="AN36" s="923"/>
      <c r="AO36" s="923"/>
      <c r="AP36" s="923"/>
      <c r="AQ36" s="3822"/>
      <c r="AR36" s="3822"/>
      <c r="AS36" s="3822"/>
      <c r="AT36" s="3822"/>
      <c r="AU36" s="923"/>
      <c r="AV36" s="923"/>
      <c r="AW36" s="923"/>
      <c r="AX36" s="923"/>
      <c r="AY36" s="3822"/>
      <c r="AZ36" s="3822"/>
      <c r="BA36" s="3822"/>
      <c r="BB36" s="3822"/>
      <c r="BC36" s="62"/>
    </row>
    <row r="37" spans="1:55" ht="49.5" hidden="1" customHeight="1">
      <c r="A37" s="2266"/>
      <c r="B37" s="2269"/>
      <c r="C37" s="2270"/>
      <c r="D37" s="2270"/>
      <c r="E37" s="2271"/>
      <c r="F37" s="979"/>
      <c r="G37" s="898"/>
      <c r="H37" s="2275"/>
      <c r="I37" s="2267"/>
      <c r="J37" s="2268"/>
      <c r="K37" s="2268"/>
      <c r="L37" s="2268"/>
      <c r="M37" s="922"/>
      <c r="N37" s="923"/>
      <c r="O37" s="923"/>
      <c r="P37" s="924"/>
      <c r="Q37" s="2268"/>
      <c r="R37" s="2268"/>
      <c r="S37" s="2268"/>
      <c r="T37" s="2268"/>
      <c r="U37" s="922"/>
      <c r="V37" s="923"/>
      <c r="W37" s="923"/>
      <c r="X37" s="924"/>
      <c r="Y37" s="2268"/>
      <c r="Z37" s="2268"/>
      <c r="AA37" s="2268"/>
      <c r="AB37" s="2268"/>
      <c r="AC37" s="922"/>
      <c r="AD37" s="923"/>
      <c r="AE37" s="923"/>
      <c r="AF37" s="924"/>
      <c r="AG37" s="2274"/>
      <c r="AH37" s="2419"/>
      <c r="AI37" s="2272"/>
      <c r="AJ37" s="2272"/>
      <c r="AK37" s="2272"/>
      <c r="AL37" s="2272"/>
      <c r="AM37" s="923"/>
      <c r="AN37" s="923"/>
      <c r="AO37" s="923"/>
      <c r="AP37" s="923"/>
      <c r="AQ37" s="2272"/>
      <c r="AR37" s="2272"/>
      <c r="AS37" s="2272"/>
      <c r="AT37" s="2272"/>
      <c r="AU37" s="923"/>
      <c r="AV37" s="923"/>
      <c r="AW37" s="923"/>
      <c r="AX37" s="923"/>
      <c r="AY37" s="2272"/>
      <c r="AZ37" s="2272"/>
      <c r="BA37" s="2272"/>
      <c r="BB37" s="2272"/>
      <c r="BC37" s="62"/>
    </row>
    <row r="38" spans="1:55" ht="45.75" customHeight="1">
      <c r="A38" s="1575"/>
      <c r="B38" s="3840" t="s">
        <v>1311</v>
      </c>
      <c r="C38" s="3840"/>
      <c r="D38" s="3840"/>
      <c r="E38" s="3840"/>
      <c r="F38" s="3840"/>
      <c r="G38" s="3840"/>
      <c r="H38" s="3840"/>
      <c r="I38" s="3840"/>
      <c r="J38" s="3840"/>
      <c r="K38" s="3840"/>
      <c r="L38" s="3840"/>
      <c r="M38" s="3840"/>
      <c r="N38" s="3840"/>
      <c r="O38" s="3840"/>
      <c r="P38" s="3840"/>
      <c r="Q38" s="3840"/>
      <c r="R38" s="3840"/>
      <c r="S38" s="3840"/>
      <c r="T38" s="3840"/>
      <c r="U38" s="3840"/>
      <c r="V38" s="3840"/>
      <c r="W38" s="3840"/>
      <c r="X38" s="3840"/>
      <c r="Y38" s="3840"/>
      <c r="Z38" s="3840"/>
      <c r="AA38" s="3840"/>
      <c r="AB38" s="3840"/>
      <c r="AC38" s="3840"/>
      <c r="AD38" s="3840"/>
      <c r="AE38" s="3840"/>
      <c r="AF38" s="3840"/>
      <c r="AG38" s="3823"/>
      <c r="AH38" s="62"/>
      <c r="AI38" s="62"/>
      <c r="AJ38" s="62"/>
      <c r="AK38" s="62"/>
      <c r="AL38" s="62"/>
      <c r="AM38" s="62"/>
      <c r="AN38" s="62"/>
      <c r="AO38" s="62"/>
      <c r="AP38" s="62"/>
      <c r="AQ38" s="62"/>
      <c r="AR38" s="62"/>
      <c r="AS38" s="62"/>
      <c r="AT38" s="62"/>
      <c r="AU38" s="62"/>
      <c r="AV38" s="62"/>
      <c r="AW38" s="62"/>
      <c r="AX38" s="62"/>
      <c r="AY38" s="62"/>
      <c r="AZ38" s="62"/>
      <c r="BA38" s="62"/>
      <c r="BB38" s="62"/>
      <c r="BC38" s="62"/>
    </row>
    <row r="39" spans="1:55" ht="49.5" customHeight="1">
      <c r="A39" s="1575" t="s">
        <v>7</v>
      </c>
      <c r="B39" s="3167" t="s">
        <v>971</v>
      </c>
      <c r="C39" s="3168"/>
      <c r="D39" s="3168"/>
      <c r="E39" s="3169"/>
      <c r="F39" s="978" t="s">
        <v>737</v>
      </c>
      <c r="G39" s="978" t="s">
        <v>1310</v>
      </c>
      <c r="H39" s="2224" t="s">
        <v>1302</v>
      </c>
      <c r="I39" s="3160" t="s">
        <v>972</v>
      </c>
      <c r="J39" s="3158"/>
      <c r="K39" s="3158"/>
      <c r="L39" s="3159"/>
      <c r="M39" s="1301"/>
      <c r="N39" s="1302"/>
      <c r="O39" s="1302"/>
      <c r="P39" s="1303"/>
      <c r="Q39" s="3160" t="s">
        <v>972</v>
      </c>
      <c r="R39" s="3158"/>
      <c r="S39" s="3158"/>
      <c r="T39" s="3159"/>
      <c r="U39" s="1301"/>
      <c r="V39" s="1302"/>
      <c r="W39" s="1302"/>
      <c r="X39" s="1303"/>
      <c r="Y39" s="3160" t="s">
        <v>972</v>
      </c>
      <c r="Z39" s="3158"/>
      <c r="AA39" s="3158"/>
      <c r="AB39" s="3159"/>
      <c r="AC39" s="919"/>
      <c r="AD39" s="920"/>
      <c r="AE39" s="920"/>
      <c r="AF39" s="921"/>
      <c r="AG39" s="10"/>
    </row>
    <row r="40" spans="1:55" ht="45.75" customHeight="1">
      <c r="A40" s="1575">
        <v>1</v>
      </c>
      <c r="B40" s="3200" t="s">
        <v>1600</v>
      </c>
      <c r="C40" s="3201"/>
      <c r="D40" s="3201"/>
      <c r="E40" s="3202"/>
      <c r="F40" s="633" t="s">
        <v>48</v>
      </c>
      <c r="G40" s="898" t="str">
        <f>'XM.FILE GOC'!$E$120</f>
        <v>30~50 
(40)</v>
      </c>
      <c r="H40" s="2222" t="str">
        <f>'XM.FILE GOC'!$F$120</f>
        <v>30~50 
(40)</v>
      </c>
      <c r="I40" s="3046">
        <f>'3.XT-C KH'!I40:L40</f>
        <v>42</v>
      </c>
      <c r="J40" s="3047"/>
      <c r="K40" s="3047"/>
      <c r="L40" s="3047"/>
      <c r="M40" s="1307"/>
      <c r="N40" s="1308"/>
      <c r="O40" s="1308"/>
      <c r="P40" s="1309"/>
      <c r="Q40" s="3046">
        <f>'3.XT-C KH'!Q40:T40</f>
        <v>40</v>
      </c>
      <c r="R40" s="3047"/>
      <c r="S40" s="3047"/>
      <c r="T40" s="3047"/>
      <c r="U40" s="1307"/>
      <c r="V40" s="1308"/>
      <c r="W40" s="1308"/>
      <c r="X40" s="1309"/>
      <c r="Y40" s="3046">
        <f>'3.XT-C KH'!Y40:AB40</f>
        <v>42</v>
      </c>
      <c r="Z40" s="3047"/>
      <c r="AA40" s="3047"/>
      <c r="AB40" s="3048"/>
      <c r="AC40" s="928"/>
      <c r="AD40" s="905"/>
      <c r="AE40" s="905"/>
      <c r="AF40" s="929"/>
      <c r="AG40" s="1576"/>
    </row>
    <row r="41" spans="1:55" ht="45.75" customHeight="1">
      <c r="A41" s="1575">
        <v>2</v>
      </c>
      <c r="B41" s="3200" t="s">
        <v>1599</v>
      </c>
      <c r="C41" s="3201"/>
      <c r="D41" s="3201"/>
      <c r="E41" s="3202"/>
      <c r="F41" s="633" t="s">
        <v>48</v>
      </c>
      <c r="G41" s="898" t="str">
        <f>'XM.FILE GOC'!$E$121</f>
        <v>160~220
(180)</v>
      </c>
      <c r="H41" s="2222" t="str">
        <f>'XM.FILE GOC'!$F$121</f>
        <v>160~220
(180)</v>
      </c>
      <c r="I41" s="3046">
        <f>'3.XT-C KH'!I41:L41</f>
        <v>170</v>
      </c>
      <c r="J41" s="3047"/>
      <c r="K41" s="3047"/>
      <c r="L41" s="3047"/>
      <c r="M41" s="1304"/>
      <c r="N41" s="1305"/>
      <c r="O41" s="1305"/>
      <c r="P41" s="1306"/>
      <c r="Q41" s="3046">
        <f>'3.XT-C KH'!Q41:T41</f>
        <v>172</v>
      </c>
      <c r="R41" s="3047"/>
      <c r="S41" s="3047"/>
      <c r="T41" s="3047"/>
      <c r="U41" s="1304"/>
      <c r="V41" s="1305"/>
      <c r="W41" s="1305"/>
      <c r="X41" s="1306"/>
      <c r="Y41" s="3046">
        <f>'3.XT-C KH'!Y41:AB41</f>
        <v>172</v>
      </c>
      <c r="Z41" s="3047"/>
      <c r="AA41" s="3047"/>
      <c r="AB41" s="3048"/>
      <c r="AC41" s="930"/>
      <c r="AD41" s="931"/>
      <c r="AE41" s="931"/>
      <c r="AF41" s="932"/>
      <c r="AG41" s="1576"/>
    </row>
    <row r="42" spans="1:55" ht="12.75" customHeight="1">
      <c r="A42" s="980"/>
      <c r="B42" s="899"/>
      <c r="C42" s="899"/>
      <c r="D42" s="899"/>
      <c r="E42" s="899"/>
      <c r="F42" s="981"/>
      <c r="G42" s="981"/>
      <c r="H42" s="981"/>
      <c r="I42" s="981"/>
      <c r="J42" s="981"/>
      <c r="K42" s="981"/>
      <c r="L42" s="981"/>
      <c r="M42" s="945"/>
      <c r="N42" s="945"/>
      <c r="O42" s="945"/>
      <c r="P42" s="945"/>
      <c r="Q42" s="981"/>
      <c r="R42" s="981"/>
      <c r="S42" s="981"/>
      <c r="T42" s="981"/>
      <c r="U42" s="945"/>
      <c r="V42" s="945"/>
      <c r="W42" s="945"/>
      <c r="X42" s="945"/>
      <c r="Y42" s="981"/>
      <c r="Z42" s="981"/>
      <c r="AA42" s="981"/>
      <c r="AB42" s="981"/>
      <c r="AC42" s="945"/>
      <c r="AD42" s="945"/>
      <c r="AE42" s="945"/>
      <c r="AF42" s="945"/>
      <c r="AG42" s="62"/>
    </row>
    <row r="43" spans="1:55" ht="42" customHeight="1">
      <c r="A43" s="3329" t="s">
        <v>135</v>
      </c>
      <c r="B43" s="3329"/>
      <c r="C43" s="3329"/>
      <c r="D43" s="3329"/>
      <c r="E43" s="3329"/>
      <c r="F43" s="3329"/>
      <c r="G43" s="3329"/>
      <c r="H43" s="3329"/>
      <c r="I43" s="3329"/>
      <c r="J43" s="3329"/>
      <c r="K43" s="3329"/>
      <c r="L43" s="3329"/>
      <c r="M43" s="3329"/>
      <c r="N43" s="3329"/>
      <c r="O43" s="3329"/>
      <c r="P43" s="3329"/>
      <c r="Q43" s="3329"/>
      <c r="R43" s="3329"/>
      <c r="S43" s="3329"/>
      <c r="T43" s="3329"/>
      <c r="U43" s="3329"/>
      <c r="V43" s="3329"/>
      <c r="W43" s="3329"/>
      <c r="X43" s="3329"/>
      <c r="Y43" s="3329"/>
      <c r="Z43" s="3329"/>
      <c r="AA43" s="985"/>
      <c r="AB43" s="985"/>
      <c r="AC43" s="947"/>
      <c r="AD43" s="947"/>
      <c r="AE43" s="947"/>
      <c r="AF43" s="947"/>
      <c r="AG43" s="61"/>
    </row>
    <row r="44" spans="1:55" ht="51" customHeight="1">
      <c r="A44" s="3330" t="s">
        <v>136</v>
      </c>
      <c r="B44" s="3330"/>
      <c r="C44" s="3330"/>
      <c r="D44" s="3330"/>
      <c r="E44" s="3330"/>
      <c r="F44" s="3330"/>
      <c r="G44" s="3330"/>
      <c r="H44" s="3330"/>
      <c r="I44" s="3330"/>
      <c r="J44" s="3330"/>
      <c r="K44" s="3330"/>
      <c r="L44" s="3330"/>
      <c r="M44" s="3330"/>
      <c r="N44" s="3330"/>
      <c r="O44" s="3330"/>
      <c r="P44" s="3330"/>
      <c r="Q44" s="3330"/>
      <c r="R44" s="3330"/>
      <c r="S44" s="3330"/>
      <c r="T44" s="3330"/>
      <c r="U44" s="3330"/>
      <c r="V44" s="3330"/>
      <c r="W44" s="3330"/>
      <c r="X44" s="3330"/>
      <c r="Y44" s="3330"/>
      <c r="Z44" s="3330"/>
      <c r="AA44" s="3839"/>
      <c r="AB44" s="3839"/>
      <c r="AC44" s="941"/>
      <c r="AD44" s="3121" t="s">
        <v>88</v>
      </c>
      <c r="AE44" s="3121"/>
      <c r="AF44" s="3122" t="s">
        <v>89</v>
      </c>
      <c r="AG44" s="3123"/>
    </row>
    <row r="45" spans="1:55" ht="40.5" customHeight="1">
      <c r="A45" s="969"/>
      <c r="B45" s="1424" t="s">
        <v>127</v>
      </c>
      <c r="C45" s="1425"/>
      <c r="D45" s="1395"/>
      <c r="E45" s="1396"/>
      <c r="F45" s="1397"/>
      <c r="G45" s="1393"/>
      <c r="H45" s="1819" t="str">
        <f>MENU!$AC$9</f>
        <v>Thứ 4,</v>
      </c>
      <c r="I45" s="3089" t="str">
        <f>MENU!$AD$9</f>
        <v>2024/05/22</v>
      </c>
      <c r="J45" s="3090"/>
      <c r="K45" s="3090"/>
      <c r="L45" s="3090"/>
      <c r="M45" s="944"/>
      <c r="N45" s="944"/>
      <c r="O45" s="944"/>
      <c r="P45" s="944"/>
      <c r="Q45" s="971"/>
      <c r="R45" s="971"/>
      <c r="S45" s="971"/>
      <c r="T45" s="971"/>
      <c r="U45" s="944"/>
      <c r="V45" s="944"/>
      <c r="W45" s="944"/>
      <c r="X45" s="944"/>
      <c r="Y45" s="971"/>
      <c r="Z45" s="971"/>
      <c r="AA45" s="3150"/>
      <c r="AB45" s="3150"/>
      <c r="AC45" s="942"/>
      <c r="AD45" s="3124" t="str">
        <f>MENU!AE7</f>
        <v>L.Yen</v>
      </c>
      <c r="AE45" s="3124"/>
      <c r="AF45" s="3156" t="s">
        <v>11</v>
      </c>
      <c r="AG45" s="3129"/>
    </row>
    <row r="46" spans="1:55" s="62" customFormat="1" ht="36.75" customHeight="1">
      <c r="A46" s="3181" t="s">
        <v>7</v>
      </c>
      <c r="B46" s="3097" t="s">
        <v>76</v>
      </c>
      <c r="C46" s="3098"/>
      <c r="D46" s="3098"/>
      <c r="E46" s="3099"/>
      <c r="F46" s="3133" t="s">
        <v>124</v>
      </c>
      <c r="G46" s="3059" t="s">
        <v>1310</v>
      </c>
      <c r="H46" s="3109" t="s">
        <v>1302</v>
      </c>
      <c r="I46" s="3155">
        <v>0.80208333333333337</v>
      </c>
      <c r="J46" s="3065"/>
      <c r="K46" s="3065"/>
      <c r="L46" s="3066"/>
      <c r="M46" s="3073" t="s">
        <v>939</v>
      </c>
      <c r="N46" s="3074"/>
      <c r="O46" s="3074"/>
      <c r="P46" s="3075"/>
      <c r="Q46" s="3064">
        <v>0.96875</v>
      </c>
      <c r="R46" s="3065"/>
      <c r="S46" s="3065"/>
      <c r="T46" s="3066"/>
      <c r="U46" s="3073" t="s">
        <v>939</v>
      </c>
      <c r="V46" s="3074"/>
      <c r="W46" s="3074"/>
      <c r="X46" s="3075"/>
      <c r="Y46" s="3151">
        <v>0.13541666666666666</v>
      </c>
      <c r="Z46" s="3133"/>
      <c r="AA46" s="3133"/>
      <c r="AB46" s="3133"/>
      <c r="AC46" s="3073" t="s">
        <v>939</v>
      </c>
      <c r="AD46" s="3074"/>
      <c r="AE46" s="3074"/>
      <c r="AF46" s="3075"/>
      <c r="AG46" s="3148" t="s">
        <v>38</v>
      </c>
    </row>
    <row r="47" spans="1:55" s="62" customFormat="1" ht="48.75" customHeight="1">
      <c r="A47" s="3181"/>
      <c r="B47" s="3100"/>
      <c r="C47" s="3101"/>
      <c r="D47" s="3101"/>
      <c r="E47" s="3102"/>
      <c r="F47" s="3134"/>
      <c r="G47" s="3060"/>
      <c r="H47" s="3110"/>
      <c r="I47" s="2209" t="s">
        <v>129</v>
      </c>
      <c r="J47" s="3070" t="s">
        <v>1</v>
      </c>
      <c r="K47" s="3071"/>
      <c r="L47" s="3072"/>
      <c r="M47" s="907" t="s">
        <v>129</v>
      </c>
      <c r="N47" s="3076" t="s">
        <v>1</v>
      </c>
      <c r="O47" s="3076"/>
      <c r="P47" s="3077"/>
      <c r="Q47" s="950" t="s">
        <v>129</v>
      </c>
      <c r="R47" s="3070" t="s">
        <v>1</v>
      </c>
      <c r="S47" s="3071"/>
      <c r="T47" s="3072"/>
      <c r="U47" s="907" t="s">
        <v>129</v>
      </c>
      <c r="V47" s="3076" t="s">
        <v>1</v>
      </c>
      <c r="W47" s="3076"/>
      <c r="X47" s="3077"/>
      <c r="Y47" s="950" t="s">
        <v>129</v>
      </c>
      <c r="Z47" s="3070" t="s">
        <v>1</v>
      </c>
      <c r="AA47" s="3071"/>
      <c r="AB47" s="3072"/>
      <c r="AC47" s="907" t="s">
        <v>129</v>
      </c>
      <c r="AD47" s="3076" t="s">
        <v>1</v>
      </c>
      <c r="AE47" s="3076"/>
      <c r="AF47" s="3077"/>
      <c r="AG47" s="3149"/>
    </row>
    <row r="48" spans="1:55" ht="46.5" customHeight="1">
      <c r="A48" s="3206">
        <v>1</v>
      </c>
      <c r="B48" s="3223" t="s">
        <v>950</v>
      </c>
      <c r="C48" s="3224"/>
      <c r="D48" s="3093" t="s">
        <v>230</v>
      </c>
      <c r="E48" s="3094"/>
      <c r="F48" s="1577" t="s">
        <v>4</v>
      </c>
      <c r="G48" s="898" t="str">
        <f>'XM.FILE GOC'!$E$78</f>
        <v>40~60</v>
      </c>
      <c r="H48" s="2222" t="str">
        <f>'XM.FILE GOC'!$F$78</f>
        <v>(50±5)</v>
      </c>
      <c r="I48" s="2225">
        <f>'XM.FILE GOC'!AD78</f>
        <v>51.3</v>
      </c>
      <c r="J48" s="972" t="s">
        <v>8</v>
      </c>
      <c r="K48" s="973">
        <f>'XM.FILE GOC'!AG78</f>
        <v>0</v>
      </c>
      <c r="L48" s="974" t="s">
        <v>9</v>
      </c>
      <c r="M48" s="1580">
        <f>'3.XT-C KH'!M48</f>
        <v>0</v>
      </c>
      <c r="N48" s="909" t="s">
        <v>8</v>
      </c>
      <c r="O48" s="1595" t="str">
        <f>IF(M48=0,"",('XM.FILE GOC'!$G$78-M48)*15517/1000)</f>
        <v/>
      </c>
      <c r="P48" s="910" t="s">
        <v>9</v>
      </c>
      <c r="Q48" s="2225">
        <f>'XM.FILE GOC'!AK78</f>
        <v>50.5</v>
      </c>
      <c r="R48" s="972" t="s">
        <v>8</v>
      </c>
      <c r="S48" s="973">
        <f>'XM.FILE GOC'!AN78</f>
        <v>0</v>
      </c>
      <c r="T48" s="974" t="s">
        <v>9</v>
      </c>
      <c r="U48" s="1580">
        <f>'3.XT-C KH'!U48</f>
        <v>0</v>
      </c>
      <c r="V48" s="909" t="s">
        <v>8</v>
      </c>
      <c r="W48" s="1595" t="str">
        <f>IF(U48=0,"",('XM.FILE GOC'!$G$78-U48)*15517/1000)</f>
        <v/>
      </c>
      <c r="X48" s="910" t="s">
        <v>9</v>
      </c>
      <c r="Y48" s="2225">
        <f>'XM.FILE GOC'!AR78</f>
        <v>50.2</v>
      </c>
      <c r="Z48" s="972" t="s">
        <v>8</v>
      </c>
      <c r="AA48" s="973">
        <f>'XM.FILE GOC'!AU78</f>
        <v>0</v>
      </c>
      <c r="AB48" s="974" t="s">
        <v>9</v>
      </c>
      <c r="AC48" s="1580">
        <f>'3.XT-C KH'!AC48</f>
        <v>0</v>
      </c>
      <c r="AD48" s="909" t="s">
        <v>8</v>
      </c>
      <c r="AE48" s="1595" t="str">
        <f>IF(AC48=0,"",('XM.FILE GOC'!$G$78-AC48)*15517/1000)</f>
        <v/>
      </c>
      <c r="AF48" s="910" t="s">
        <v>9</v>
      </c>
      <c r="AG48" s="1574" t="s">
        <v>39</v>
      </c>
    </row>
    <row r="49" spans="1:38" ht="46.5" customHeight="1">
      <c r="A49" s="3222"/>
      <c r="B49" s="3225"/>
      <c r="C49" s="3226"/>
      <c r="D49" s="3093" t="s">
        <v>231</v>
      </c>
      <c r="E49" s="3094"/>
      <c r="F49" s="897"/>
      <c r="G49" s="898" t="s">
        <v>1271</v>
      </c>
      <c r="H49" s="2222"/>
      <c r="I49" s="2211"/>
      <c r="J49" s="59"/>
      <c r="K49" s="954">
        <f>K48/25*8.5</f>
        <v>0</v>
      </c>
      <c r="L49" s="588" t="s">
        <v>10</v>
      </c>
      <c r="M49" s="1580">
        <f>'3.XT-C KH'!M49</f>
        <v>0</v>
      </c>
      <c r="N49" s="911" t="s">
        <v>8</v>
      </c>
      <c r="O49" s="1593" t="str">
        <f>IF(M48=0,"",O48/25*8.5)</f>
        <v/>
      </c>
      <c r="P49" s="912" t="s">
        <v>10</v>
      </c>
      <c r="Q49" s="2211"/>
      <c r="R49" s="59"/>
      <c r="S49" s="954">
        <f>S48/25*8.5</f>
        <v>0</v>
      </c>
      <c r="T49" s="588" t="s">
        <v>10</v>
      </c>
      <c r="U49" s="1580">
        <f>'3.XT-C KH'!U49</f>
        <v>0</v>
      </c>
      <c r="V49" s="911" t="s">
        <v>8</v>
      </c>
      <c r="W49" s="1593" t="str">
        <f>IF(U48=0,"",W48/25*8.5)</f>
        <v/>
      </c>
      <c r="X49" s="912" t="s">
        <v>10</v>
      </c>
      <c r="Y49" s="2211"/>
      <c r="Z49" s="59"/>
      <c r="AA49" s="954">
        <f>AA48/25*8.5</f>
        <v>0</v>
      </c>
      <c r="AB49" s="588" t="s">
        <v>10</v>
      </c>
      <c r="AC49" s="1580">
        <f>'3.XT-C KH'!AC49</f>
        <v>0</v>
      </c>
      <c r="AD49" s="911" t="s">
        <v>8</v>
      </c>
      <c r="AE49" s="1593" t="str">
        <f>IF(AC48=0,"",AE48/25*8.5)</f>
        <v/>
      </c>
      <c r="AF49" s="912" t="s">
        <v>10</v>
      </c>
      <c r="AG49" s="1574"/>
    </row>
    <row r="50" spans="1:38" ht="46.5" customHeight="1">
      <c r="A50" s="3206">
        <v>2</v>
      </c>
      <c r="B50" s="3223" t="s">
        <v>951</v>
      </c>
      <c r="C50" s="3224"/>
      <c r="D50" s="3093" t="s">
        <v>230</v>
      </c>
      <c r="E50" s="3094"/>
      <c r="F50" s="1577" t="s">
        <v>4</v>
      </c>
      <c r="G50" s="898" t="str">
        <f>'XM.FILE GOC'!$E$80</f>
        <v>40~60</v>
      </c>
      <c r="H50" s="2222" t="str">
        <f>'XM.FILE GOC'!$F$80</f>
        <v>(50±5)</v>
      </c>
      <c r="I50" s="2225">
        <f>'XM.FILE GOC'!AD80</f>
        <v>49.2</v>
      </c>
      <c r="J50" s="972" t="s">
        <v>8</v>
      </c>
      <c r="K50" s="973">
        <f>'XM.FILE GOC'!AG80</f>
        <v>9.1799999999999677</v>
      </c>
      <c r="L50" s="974" t="s">
        <v>9</v>
      </c>
      <c r="M50" s="1580">
        <f>'3.XT-C KH'!M50</f>
        <v>52.3</v>
      </c>
      <c r="N50" s="909" t="s">
        <v>8</v>
      </c>
      <c r="O50" s="1595">
        <f>IF(M50=0,"",('XM.FILE GOC'!$G$80-M50)*11475/1000)</f>
        <v>-26.392499999999966</v>
      </c>
      <c r="P50" s="910" t="s">
        <v>9</v>
      </c>
      <c r="Q50" s="2225">
        <f>'XM.FILE GOC'!AK80</f>
        <v>51.3</v>
      </c>
      <c r="R50" s="972" t="s">
        <v>8</v>
      </c>
      <c r="S50" s="973">
        <f>'XM.FILE GOC'!AN80</f>
        <v>0</v>
      </c>
      <c r="T50" s="974" t="s">
        <v>9</v>
      </c>
      <c r="U50" s="1580">
        <f>'3.XT-C KH'!U50</f>
        <v>0</v>
      </c>
      <c r="V50" s="909" t="s">
        <v>8</v>
      </c>
      <c r="W50" s="1595" t="str">
        <f>IF(U50=0,"",('XM.FILE GOC'!$G$80-U50)*11475/1000)</f>
        <v/>
      </c>
      <c r="X50" s="910" t="s">
        <v>9</v>
      </c>
      <c r="Y50" s="2225">
        <f>'XM.FILE GOC'!AR80</f>
        <v>51</v>
      </c>
      <c r="Z50" s="972" t="s">
        <v>8</v>
      </c>
      <c r="AA50" s="973">
        <f>'XM.FILE GOC'!AU80</f>
        <v>0</v>
      </c>
      <c r="AB50" s="974" t="s">
        <v>9</v>
      </c>
      <c r="AC50" s="1580">
        <f>'3.XT-C KH'!AC50</f>
        <v>0</v>
      </c>
      <c r="AD50" s="909" t="s">
        <v>8</v>
      </c>
      <c r="AE50" s="1595" t="str">
        <f>IF(AC50=0,"",('XM.FILE GOC'!$G$80-AC50)*11475/1000)</f>
        <v/>
      </c>
      <c r="AF50" s="910" t="s">
        <v>9</v>
      </c>
      <c r="AG50" s="1574" t="s">
        <v>39</v>
      </c>
    </row>
    <row r="51" spans="1:38" ht="46.5" customHeight="1">
      <c r="A51" s="3222"/>
      <c r="B51" s="3225"/>
      <c r="C51" s="3226"/>
      <c r="D51" s="3093" t="s">
        <v>231</v>
      </c>
      <c r="E51" s="3094"/>
      <c r="F51" s="897"/>
      <c r="G51" s="898" t="s">
        <v>1271</v>
      </c>
      <c r="H51" s="2222"/>
      <c r="I51" s="2211"/>
      <c r="J51" s="59"/>
      <c r="K51" s="954">
        <f>K50/25*8.5</f>
        <v>3.1211999999999889</v>
      </c>
      <c r="L51" s="588" t="s">
        <v>10</v>
      </c>
      <c r="M51" s="1580">
        <f>'3.XT-C KH'!M51</f>
        <v>0</v>
      </c>
      <c r="N51" s="911" t="s">
        <v>8</v>
      </c>
      <c r="O51" s="1593">
        <f>IF(M50=0,"",O50/25*8.5)</f>
        <v>-8.973449999999989</v>
      </c>
      <c r="P51" s="912" t="s">
        <v>10</v>
      </c>
      <c r="Q51" s="2211"/>
      <c r="R51" s="59"/>
      <c r="S51" s="954">
        <f>S50/25*8.5</f>
        <v>0</v>
      </c>
      <c r="T51" s="588" t="s">
        <v>10</v>
      </c>
      <c r="U51" s="1580">
        <f>'3.XT-C KH'!U51</f>
        <v>0</v>
      </c>
      <c r="V51" s="911" t="s">
        <v>8</v>
      </c>
      <c r="W51" s="1593" t="str">
        <f>IF(U50=0,"",W50/25*8.5)</f>
        <v/>
      </c>
      <c r="X51" s="912" t="s">
        <v>10</v>
      </c>
      <c r="Y51" s="2211"/>
      <c r="Z51" s="59"/>
      <c r="AA51" s="954">
        <f>AA50/25*8.5</f>
        <v>0</v>
      </c>
      <c r="AB51" s="588" t="s">
        <v>10</v>
      </c>
      <c r="AC51" s="1580">
        <f>'3.XT-C KH'!AC51</f>
        <v>0</v>
      </c>
      <c r="AD51" s="911" t="s">
        <v>8</v>
      </c>
      <c r="AE51" s="1593" t="str">
        <f>IF(AC50=0,"",AE50/25*8.5)</f>
        <v/>
      </c>
      <c r="AF51" s="912" t="s">
        <v>10</v>
      </c>
      <c r="AG51" s="1574"/>
    </row>
    <row r="52" spans="1:38" ht="46.5" customHeight="1">
      <c r="A52" s="3206">
        <v>3</v>
      </c>
      <c r="B52" s="3091" t="s">
        <v>952</v>
      </c>
      <c r="C52" s="3092"/>
      <c r="D52" s="3095" t="s">
        <v>232</v>
      </c>
      <c r="E52" s="3096" t="s">
        <v>232</v>
      </c>
      <c r="F52" s="1577" t="s">
        <v>4</v>
      </c>
      <c r="G52" s="898" t="str">
        <f>'XM.FILE GOC'!$E$82</f>
        <v>50~70</v>
      </c>
      <c r="H52" s="2222" t="str">
        <f>'XM.FILE GOC'!$F$82</f>
        <v>(60±5)</v>
      </c>
      <c r="I52" s="2225">
        <f>'XM.FILE GOC'!AD82</f>
        <v>63.2</v>
      </c>
      <c r="J52" s="59" t="s">
        <v>8</v>
      </c>
      <c r="K52" s="587">
        <f>'XM.FILE GOC'!AG82</f>
        <v>0</v>
      </c>
      <c r="L52" s="588" t="s">
        <v>9</v>
      </c>
      <c r="M52" s="1580">
        <f>'3.XT-C KH'!M52</f>
        <v>0</v>
      </c>
      <c r="N52" s="909" t="s">
        <v>8</v>
      </c>
      <c r="O52" s="1595" t="str">
        <f>IF(M52=0,"",('XM.FILE GOC'!$G$82-M52)*8200/1000)</f>
        <v/>
      </c>
      <c r="P52" s="910" t="s">
        <v>9</v>
      </c>
      <c r="Q52" s="2225">
        <f>'XM.FILE GOC'!AK82</f>
        <v>62.2</v>
      </c>
      <c r="R52" s="59" t="s">
        <v>8</v>
      </c>
      <c r="S52" s="587">
        <f>'XM.FILE GOC'!AN82</f>
        <v>0</v>
      </c>
      <c r="T52" s="588" t="s">
        <v>9</v>
      </c>
      <c r="U52" s="1580">
        <f>'3.XT-C KH'!U52</f>
        <v>0</v>
      </c>
      <c r="V52" s="909" t="s">
        <v>8</v>
      </c>
      <c r="W52" s="1595" t="str">
        <f>IF(U52=0,"",('XM.FILE GOC'!$G$82-U52)*8200/1000)</f>
        <v/>
      </c>
      <c r="X52" s="910" t="s">
        <v>9</v>
      </c>
      <c r="Y52" s="2225">
        <f>'XM.FILE GOC'!AR82</f>
        <v>61.5</v>
      </c>
      <c r="Z52" s="59" t="s">
        <v>8</v>
      </c>
      <c r="AA52" s="587">
        <f>'XM.FILE GOC'!AU82</f>
        <v>0</v>
      </c>
      <c r="AB52" s="974" t="s">
        <v>9</v>
      </c>
      <c r="AC52" s="1580">
        <f>'3.XT-C KH'!AC52</f>
        <v>0</v>
      </c>
      <c r="AD52" s="909" t="s">
        <v>8</v>
      </c>
      <c r="AE52" s="1595" t="str">
        <f>IF(AC52=0,"",('XM.FILE GOC'!$G$82-AC52)*8200/1000)</f>
        <v/>
      </c>
      <c r="AF52" s="910" t="s">
        <v>9</v>
      </c>
      <c r="AG52" s="1574" t="s">
        <v>39</v>
      </c>
    </row>
    <row r="53" spans="1:38" ht="46.5" customHeight="1">
      <c r="A53" s="3207"/>
      <c r="B53" s="3092"/>
      <c r="C53" s="3092"/>
      <c r="D53" s="3095" t="s">
        <v>233</v>
      </c>
      <c r="E53" s="3096" t="s">
        <v>233</v>
      </c>
      <c r="F53" s="897"/>
      <c r="G53" s="898" t="s">
        <v>1272</v>
      </c>
      <c r="H53" s="2222"/>
      <c r="I53" s="2211"/>
      <c r="J53" s="59"/>
      <c r="K53" s="954">
        <f>K52/25*8</f>
        <v>0</v>
      </c>
      <c r="L53" s="588" t="s">
        <v>10</v>
      </c>
      <c r="M53" s="1580">
        <f>'3.XT-C KH'!M53</f>
        <v>0</v>
      </c>
      <c r="N53" s="911" t="s">
        <v>8</v>
      </c>
      <c r="O53" s="1593" t="str">
        <f>IF(M52=0,"",O52/25*8)</f>
        <v/>
      </c>
      <c r="P53" s="912" t="s">
        <v>10</v>
      </c>
      <c r="Q53" s="2211"/>
      <c r="R53" s="59"/>
      <c r="S53" s="954">
        <f>S52/25*8</f>
        <v>0</v>
      </c>
      <c r="T53" s="588" t="s">
        <v>10</v>
      </c>
      <c r="U53" s="1580">
        <f>'3.XT-C KH'!U53</f>
        <v>0</v>
      </c>
      <c r="V53" s="911" t="s">
        <v>8</v>
      </c>
      <c r="W53" s="1593" t="str">
        <f>IF(U52=0,"",W52/25*8)</f>
        <v/>
      </c>
      <c r="X53" s="912" t="s">
        <v>10</v>
      </c>
      <c r="Y53" s="2211"/>
      <c r="Z53" s="59"/>
      <c r="AA53" s="954">
        <f>AA52/25*8</f>
        <v>0</v>
      </c>
      <c r="AB53" s="588" t="s">
        <v>10</v>
      </c>
      <c r="AC53" s="1580">
        <f>'3.XT-C KH'!AC53</f>
        <v>0</v>
      </c>
      <c r="AD53" s="911" t="s">
        <v>8</v>
      </c>
      <c r="AE53" s="1593" t="str">
        <f>IF(AC52=0,"",AE52/25*8)</f>
        <v/>
      </c>
      <c r="AF53" s="912" t="s">
        <v>10</v>
      </c>
      <c r="AG53" s="1574"/>
    </row>
    <row r="54" spans="1:38" ht="46.5" customHeight="1">
      <c r="A54" s="3206">
        <v>4</v>
      </c>
      <c r="B54" s="3091" t="s">
        <v>953</v>
      </c>
      <c r="C54" s="3092"/>
      <c r="D54" s="3095" t="s">
        <v>232</v>
      </c>
      <c r="E54" s="3096" t="s">
        <v>232</v>
      </c>
      <c r="F54" s="1577" t="s">
        <v>4</v>
      </c>
      <c r="G54" s="898" t="str">
        <f>'XM.FILE GOC'!$E$84</f>
        <v>50~70</v>
      </c>
      <c r="H54" s="2222" t="str">
        <f>'XM.FILE GOC'!$F$84</f>
        <v>(60±5)</v>
      </c>
      <c r="I54" s="2225">
        <f>'XM.FILE GOC'!AD84</f>
        <v>60.06</v>
      </c>
      <c r="J54" s="972" t="s">
        <v>8</v>
      </c>
      <c r="K54" s="973">
        <f>'XM.FILE GOC'!AG84</f>
        <v>0</v>
      </c>
      <c r="L54" s="974" t="s">
        <v>9</v>
      </c>
      <c r="M54" s="1580">
        <f>'3.XT-C KH'!M54</f>
        <v>0</v>
      </c>
      <c r="N54" s="909" t="s">
        <v>8</v>
      </c>
      <c r="O54" s="1596" t="str">
        <f>IF(M54=0,"",('XM.FILE GOC'!$G$84-M54)*8668/1000)</f>
        <v/>
      </c>
      <c r="P54" s="910" t="s">
        <v>9</v>
      </c>
      <c r="Q54" s="2225">
        <f>'XM.FILE GOC'!AK84</f>
        <v>59.4</v>
      </c>
      <c r="R54" s="972" t="s">
        <v>8</v>
      </c>
      <c r="S54" s="973">
        <f>'XM.FILE GOC'!AN84</f>
        <v>5.2008000000000116</v>
      </c>
      <c r="T54" s="974" t="s">
        <v>9</v>
      </c>
      <c r="U54" s="1580">
        <f>'3.XT-C KH'!U54</f>
        <v>62.3</v>
      </c>
      <c r="V54" s="909" t="s">
        <v>8</v>
      </c>
      <c r="W54" s="1596">
        <f>IF(U54=0,"",('XM.FILE GOC'!$G$84-U54)*8668/1000)</f>
        <v>-19.936399999999978</v>
      </c>
      <c r="X54" s="910" t="s">
        <v>9</v>
      </c>
      <c r="Y54" s="2225">
        <f>'XM.FILE GOC'!AR84</f>
        <v>61.6</v>
      </c>
      <c r="Z54" s="972" t="s">
        <v>8</v>
      </c>
      <c r="AA54" s="973">
        <f>'XM.FILE GOC'!AU84</f>
        <v>0</v>
      </c>
      <c r="AB54" s="974" t="s">
        <v>9</v>
      </c>
      <c r="AC54" s="1580">
        <f>'3.XT-C KH'!AC54</f>
        <v>0</v>
      </c>
      <c r="AD54" s="909" t="s">
        <v>8</v>
      </c>
      <c r="AE54" s="1596" t="str">
        <f>IF(AC54=0,"",('XM.FILE GOC'!$G$84-AC54)*8668/1000)</f>
        <v/>
      </c>
      <c r="AF54" s="910" t="s">
        <v>9</v>
      </c>
      <c r="AG54" s="1574" t="s">
        <v>39</v>
      </c>
    </row>
    <row r="55" spans="1:38" ht="46.5" customHeight="1">
      <c r="A55" s="3207"/>
      <c r="B55" s="3092"/>
      <c r="C55" s="3092"/>
      <c r="D55" s="3095" t="s">
        <v>233</v>
      </c>
      <c r="E55" s="3096" t="s">
        <v>233</v>
      </c>
      <c r="F55" s="897"/>
      <c r="G55" s="898" t="s">
        <v>1272</v>
      </c>
      <c r="H55" s="2222"/>
      <c r="I55" s="2211"/>
      <c r="J55" s="59"/>
      <c r="K55" s="954">
        <f>K54/25*8</f>
        <v>0</v>
      </c>
      <c r="L55" s="588" t="s">
        <v>10</v>
      </c>
      <c r="M55" s="1580">
        <f>'3.XT-C KH'!M55</f>
        <v>0</v>
      </c>
      <c r="N55" s="911" t="s">
        <v>8</v>
      </c>
      <c r="O55" s="1593" t="str">
        <f>IF(M54=0,"",O54/25*8)</f>
        <v/>
      </c>
      <c r="P55" s="912" t="s">
        <v>10</v>
      </c>
      <c r="Q55" s="2211"/>
      <c r="R55" s="59"/>
      <c r="S55" s="954">
        <f>S54/25*8</f>
        <v>1.6642560000000037</v>
      </c>
      <c r="T55" s="588" t="s">
        <v>10</v>
      </c>
      <c r="U55" s="1580">
        <f>'3.XT-C KH'!U55</f>
        <v>0</v>
      </c>
      <c r="V55" s="911" t="s">
        <v>8</v>
      </c>
      <c r="W55" s="1593">
        <f>IF(U54=0,"",W54/25*8)</f>
        <v>-6.3796479999999924</v>
      </c>
      <c r="X55" s="912" t="s">
        <v>10</v>
      </c>
      <c r="Y55" s="2211"/>
      <c r="Z55" s="59"/>
      <c r="AA55" s="954">
        <f>AA54/25*8</f>
        <v>0</v>
      </c>
      <c r="AB55" s="588" t="s">
        <v>10</v>
      </c>
      <c r="AC55" s="1580">
        <f>'3.XT-C KH'!AC55</f>
        <v>0</v>
      </c>
      <c r="AD55" s="911" t="s">
        <v>8</v>
      </c>
      <c r="AE55" s="1593" t="str">
        <f>IF(AC54=0,"",AE54/25*8)</f>
        <v/>
      </c>
      <c r="AF55" s="912" t="s">
        <v>10</v>
      </c>
      <c r="AG55" s="1574"/>
    </row>
    <row r="56" spans="1:38" ht="46.5" customHeight="1">
      <c r="A56" s="3206">
        <v>5</v>
      </c>
      <c r="B56" s="3208" t="s">
        <v>954</v>
      </c>
      <c r="C56" s="3210" t="s">
        <v>955</v>
      </c>
      <c r="D56" s="3211"/>
      <c r="E56" s="3212"/>
      <c r="F56" s="633" t="s">
        <v>4</v>
      </c>
      <c r="G56" s="898" t="str">
        <f>'XM.FILE GOC'!$E$86</f>
        <v>135~ 145</v>
      </c>
      <c r="H56" s="2222" t="str">
        <f>'XM.FILE GOC'!$F$86</f>
        <v>(140±5)</v>
      </c>
      <c r="I56" s="2227">
        <f>'XM.FILE GOC'!AD86</f>
        <v>139.19999999999999</v>
      </c>
      <c r="J56" s="972" t="s">
        <v>8</v>
      </c>
      <c r="K56" s="973">
        <f>'XM.FILE GOC'!AG86</f>
        <v>42.452800000000607</v>
      </c>
      <c r="L56" s="974" t="s">
        <v>9</v>
      </c>
      <c r="M56" s="1580">
        <f>'3.XT-C KH'!M56</f>
        <v>140</v>
      </c>
      <c r="N56" s="909" t="s">
        <v>8</v>
      </c>
      <c r="O56" s="1596">
        <f>IF(M56=0,"",('XM.FILE GOC'!$G$86-M56)*53066/1000)</f>
        <v>0</v>
      </c>
      <c r="P56" s="910" t="s">
        <v>9</v>
      </c>
      <c r="Q56" s="2227">
        <f>'XM.FILE GOC'!AK86</f>
        <v>140</v>
      </c>
      <c r="R56" s="972" t="s">
        <v>8</v>
      </c>
      <c r="S56" s="973">
        <f>'XM.FILE GOC'!AN86</f>
        <v>0</v>
      </c>
      <c r="T56" s="974" t="s">
        <v>9</v>
      </c>
      <c r="U56" s="1580">
        <f>'3.XT-C KH'!U56</f>
        <v>0</v>
      </c>
      <c r="V56" s="909" t="s">
        <v>8</v>
      </c>
      <c r="W56" s="1596" t="str">
        <f>IF(U56=0,"",('XM.FILE GOC'!$G$86-U56)*53066/1000)</f>
        <v/>
      </c>
      <c r="X56" s="910" t="s">
        <v>9</v>
      </c>
      <c r="Y56" s="2227">
        <f>'XM.FILE GOC'!AR86</f>
        <v>139.19999999999999</v>
      </c>
      <c r="Z56" s="972" t="s">
        <v>8</v>
      </c>
      <c r="AA56" s="973">
        <f>'XM.FILE GOC'!AU86</f>
        <v>42.452800000000607</v>
      </c>
      <c r="AB56" s="974" t="s">
        <v>9</v>
      </c>
      <c r="AC56" s="1580">
        <f>'3.XT-C KH'!AC56</f>
        <v>140</v>
      </c>
      <c r="AD56" s="909" t="s">
        <v>8</v>
      </c>
      <c r="AE56" s="1596">
        <f>IF(AC56=0,"",('XM.FILE GOC'!$G$86-AC56)*53066/1000)</f>
        <v>0</v>
      </c>
      <c r="AF56" s="910" t="s">
        <v>9</v>
      </c>
      <c r="AG56" s="1574" t="s">
        <v>40</v>
      </c>
    </row>
    <row r="57" spans="1:38" ht="46.5" customHeight="1">
      <c r="A57" s="3207"/>
      <c r="B57" s="3815"/>
      <c r="C57" s="3816" t="s">
        <v>956</v>
      </c>
      <c r="D57" s="3817"/>
      <c r="E57" s="3818"/>
      <c r="F57" s="2295" t="s">
        <v>4</v>
      </c>
      <c r="G57" s="1584" t="str">
        <f>'XM.FILE GOC'!$E$87</f>
        <v>7~10</v>
      </c>
      <c r="H57" s="2236" t="str">
        <f>'XM.FILE GOC'!$F$87</f>
        <v>(8.5±1)</v>
      </c>
      <c r="I57" s="2296">
        <f>'XM.FILE GOC'!AD87</f>
        <v>8.5150000000000006</v>
      </c>
      <c r="J57" s="2297" t="s">
        <v>8</v>
      </c>
      <c r="K57" s="2298">
        <f>'XM.FILE GOC'!AG87</f>
        <v>0</v>
      </c>
      <c r="L57" s="2299" t="s">
        <v>9</v>
      </c>
      <c r="M57" s="2117">
        <f>'3.XT-C KH'!M57</f>
        <v>0</v>
      </c>
      <c r="N57" s="2300" t="s">
        <v>8</v>
      </c>
      <c r="O57" s="2301" t="str">
        <f>IF(M57=0,"",('XM.FILE GOC'!$G$87-M57)*53066/1000)</f>
        <v/>
      </c>
      <c r="P57" s="2302" t="s">
        <v>9</v>
      </c>
      <c r="Q57" s="2296">
        <f>'XM.FILE GOC'!AK87</f>
        <v>8.4500000000000011</v>
      </c>
      <c r="R57" s="2297" t="s">
        <v>8</v>
      </c>
      <c r="S57" s="2298">
        <f>'XM.FILE GOC'!AN87</f>
        <v>2.6532999999999434</v>
      </c>
      <c r="T57" s="2299" t="s">
        <v>9</v>
      </c>
      <c r="U57" s="2117">
        <f>'3.XT-C KH'!U57</f>
        <v>8.6</v>
      </c>
      <c r="V57" s="2300" t="s">
        <v>8</v>
      </c>
      <c r="W57" s="2301">
        <f>IF(U57=0,"",('XM.FILE GOC'!$G$87-U57)*53066/1000)</f>
        <v>-5.3065999999999809</v>
      </c>
      <c r="X57" s="2302" t="s">
        <v>9</v>
      </c>
      <c r="Y57" s="2296">
        <f>'XM.FILE GOC'!AR87</f>
        <v>8.6</v>
      </c>
      <c r="Z57" s="2297" t="s">
        <v>8</v>
      </c>
      <c r="AA57" s="2298">
        <f>'XM.FILE GOC'!AU87</f>
        <v>0</v>
      </c>
      <c r="AB57" s="2302" t="s">
        <v>9</v>
      </c>
      <c r="AC57" s="2117">
        <f>'3.XT-C KH'!AC57</f>
        <v>0</v>
      </c>
      <c r="AD57" s="2300" t="s">
        <v>8</v>
      </c>
      <c r="AE57" s="2301" t="str">
        <f>IF(AC57=0,"",('XM.FILE GOC'!$G$87-AC57)*53066/1000)</f>
        <v/>
      </c>
      <c r="AF57" s="2302" t="s">
        <v>9</v>
      </c>
      <c r="AG57" s="2293" t="s">
        <v>41</v>
      </c>
    </row>
    <row r="58" spans="1:38" s="7" customFormat="1" ht="46.5" customHeight="1">
      <c r="A58" s="3808">
        <v>6</v>
      </c>
      <c r="B58" s="3833" t="s">
        <v>37</v>
      </c>
      <c r="C58" s="3834"/>
      <c r="D58" s="3834"/>
      <c r="E58" s="3837"/>
      <c r="F58" s="2305" t="s">
        <v>3</v>
      </c>
      <c r="G58" s="2306" t="s">
        <v>1317</v>
      </c>
      <c r="H58" s="2307" t="s">
        <v>1306</v>
      </c>
      <c r="I58" s="2316">
        <f>'XM.FILE GOC'!AD97</f>
        <v>0</v>
      </c>
      <c r="J58" s="2309"/>
      <c r="K58" s="2310">
        <f>'XM.FILE GOC'!AG97</f>
        <v>403.2</v>
      </c>
      <c r="L58" s="2311" t="s">
        <v>10</v>
      </c>
      <c r="M58" s="2312"/>
      <c r="N58" s="2313"/>
      <c r="O58" s="2314" t="str">
        <f>IF(M58=0,"",('XM.FILE GOC'!$G$97-M58)*3360/102)</f>
        <v/>
      </c>
      <c r="P58" s="2315" t="s">
        <v>10</v>
      </c>
      <c r="Q58" s="2316">
        <f>'XM.FILE GOC'!AK97</f>
        <v>0</v>
      </c>
      <c r="R58" s="2309"/>
      <c r="S58" s="2310">
        <f>'XM.FILE GOC'!AN97</f>
        <v>403.2</v>
      </c>
      <c r="T58" s="2311" t="s">
        <v>10</v>
      </c>
      <c r="U58" s="2312"/>
      <c r="V58" s="2313"/>
      <c r="W58" s="2314" t="str">
        <f>IF(U58=0,"",('XM.FILE GOC'!$G$97-U58)*3360/102)</f>
        <v/>
      </c>
      <c r="X58" s="2315" t="s">
        <v>10</v>
      </c>
      <c r="Y58" s="2316">
        <f>'XM.FILE GOC'!AR97</f>
        <v>0</v>
      </c>
      <c r="Z58" s="2309"/>
      <c r="AA58" s="2310">
        <f>'XM.FILE GOC'!AU97</f>
        <v>403.2</v>
      </c>
      <c r="AB58" s="2311" t="s">
        <v>10</v>
      </c>
      <c r="AC58" s="2312"/>
      <c r="AD58" s="2313"/>
      <c r="AE58" s="2314" t="str">
        <f>IF(AC58=0,"",('XM.FILE GOC'!$G$97-AC58)*3360/102)</f>
        <v/>
      </c>
      <c r="AF58" s="2315" t="s">
        <v>10</v>
      </c>
      <c r="AG58" s="2317" t="s">
        <v>42</v>
      </c>
      <c r="AI58" s="1578"/>
      <c r="AL58" s="946"/>
    </row>
    <row r="59" spans="1:38" ht="46.5" customHeight="1">
      <c r="A59" s="3809"/>
      <c r="B59" s="3835"/>
      <c r="C59" s="3836"/>
      <c r="D59" s="3836"/>
      <c r="E59" s="3838"/>
      <c r="F59" s="2318" t="s">
        <v>5</v>
      </c>
      <c r="G59" s="2319" t="s">
        <v>1315</v>
      </c>
      <c r="H59" s="2320" t="s">
        <v>1307</v>
      </c>
      <c r="I59" s="2329">
        <f>'XM.FILE GOC'!AD98</f>
        <v>0</v>
      </c>
      <c r="J59" s="2322"/>
      <c r="K59" s="2323"/>
      <c r="L59" s="2324"/>
      <c r="M59" s="2325"/>
      <c r="N59" s="2326"/>
      <c r="O59" s="2327"/>
      <c r="P59" s="2328"/>
      <c r="Q59" s="2329">
        <f>'XM.FILE GOC'!AK98</f>
        <v>0</v>
      </c>
      <c r="R59" s="2322"/>
      <c r="S59" s="2323"/>
      <c r="T59" s="2324"/>
      <c r="U59" s="2325"/>
      <c r="V59" s="2326"/>
      <c r="W59" s="2327"/>
      <c r="X59" s="2328"/>
      <c r="Y59" s="2329">
        <f>'XM.FILE GOC'!AR98</f>
        <v>0</v>
      </c>
      <c r="Z59" s="2330"/>
      <c r="AA59" s="2331"/>
      <c r="AB59" s="2332"/>
      <c r="AC59" s="2325"/>
      <c r="AD59" s="2326"/>
      <c r="AE59" s="2327"/>
      <c r="AF59" s="2328"/>
      <c r="AG59" s="2333"/>
    </row>
    <row r="60" spans="1:38" ht="46.5" customHeight="1">
      <c r="A60" s="2713">
        <v>7</v>
      </c>
      <c r="B60" s="3200" t="s">
        <v>82</v>
      </c>
      <c r="C60" s="3201"/>
      <c r="D60" s="3201"/>
      <c r="E60" s="3202"/>
      <c r="F60" s="633" t="s">
        <v>6</v>
      </c>
      <c r="G60" s="898" t="str">
        <f>'XM.FILE GOC'!$E$90</f>
        <v>40~50</v>
      </c>
      <c r="H60" s="2222" t="str">
        <f>'XM.FILE GOC'!$F$90</f>
        <v>(45±5)</v>
      </c>
      <c r="I60" s="1754">
        <f>'XM.FILE GOC'!AD90</f>
        <v>0.46</v>
      </c>
      <c r="J60" s="972" t="s">
        <v>8</v>
      </c>
      <c r="K60" s="973">
        <f>'XM.FILE GOC'!AG90</f>
        <v>0</v>
      </c>
      <c r="L60" s="974" t="s">
        <v>10</v>
      </c>
      <c r="M60" s="915" t="str">
        <f>IF(I60&gt;44.99%,"",'3.XT-C KH'!M60)</f>
        <v/>
      </c>
      <c r="N60" s="909" t="s">
        <v>8</v>
      </c>
      <c r="O60" s="937" t="str">
        <f>IF(M60="","",('XM.FILE GOC'!$G$90-M60)*3234)</f>
        <v/>
      </c>
      <c r="P60" s="912" t="s">
        <v>10</v>
      </c>
      <c r="Q60" s="1754">
        <f>'XM.FILE GOC'!AK90</f>
        <v>0.45600000000000002</v>
      </c>
      <c r="R60" s="972" t="s">
        <v>8</v>
      </c>
      <c r="S60" s="973">
        <f>'XM.FILE GOC'!AN90</f>
        <v>0</v>
      </c>
      <c r="T60" s="974" t="s">
        <v>10</v>
      </c>
      <c r="U60" s="915" t="str">
        <f>IF(Q60&gt;44.99%,"",'3.XT-C KH'!U60)</f>
        <v/>
      </c>
      <c r="V60" s="909" t="s">
        <v>8</v>
      </c>
      <c r="W60" s="937" t="str">
        <f>IF(U60="","",('XM.FILE GOC'!$G$90-U60)*3234)</f>
        <v/>
      </c>
      <c r="X60" s="912" t="s">
        <v>10</v>
      </c>
      <c r="Y60" s="1754">
        <f>'XM.FILE GOC'!AR90</f>
        <v>0.45200000000000001</v>
      </c>
      <c r="Z60" s="972" t="s">
        <v>8</v>
      </c>
      <c r="AA60" s="973">
        <f>'XM.FILE GOC'!AU90</f>
        <v>0</v>
      </c>
      <c r="AB60" s="974" t="s">
        <v>10</v>
      </c>
      <c r="AC60" s="915" t="str">
        <f>IF(Y60&gt;44.99%,"",'3.XT-C KH'!AC60)</f>
        <v/>
      </c>
      <c r="AD60" s="909" t="s">
        <v>8</v>
      </c>
      <c r="AE60" s="937" t="str">
        <f>IF(AC60="","",('XM.FILE GOC'!$G$90-AC60)*3234)</f>
        <v/>
      </c>
      <c r="AF60" s="912" t="s">
        <v>10</v>
      </c>
      <c r="AG60" s="2711"/>
    </row>
    <row r="61" spans="1:38" ht="46.5" customHeight="1">
      <c r="A61" s="2710">
        <v>8</v>
      </c>
      <c r="B61" s="3213" t="s">
        <v>1612</v>
      </c>
      <c r="C61" s="3214"/>
      <c r="D61" s="3214"/>
      <c r="E61" s="3215"/>
      <c r="F61" s="633" t="s">
        <v>6</v>
      </c>
      <c r="G61" s="898" t="str">
        <f>'XM.FILE GOC'!$E$91</f>
        <v>15~25</v>
      </c>
      <c r="H61" s="2222" t="str">
        <f>'XM.FILE GOC'!$F$91</f>
        <v>(18±2)</v>
      </c>
      <c r="I61" s="2747">
        <f>'XM.FILE GOC'!AD91</f>
        <v>0</v>
      </c>
      <c r="J61" s="972" t="s">
        <v>8</v>
      </c>
      <c r="K61" s="973">
        <f>'XM.FILE GOC'!AG91</f>
        <v>604.98</v>
      </c>
      <c r="L61" s="974" t="s">
        <v>10</v>
      </c>
      <c r="M61" s="915">
        <f>IF(I61&gt;7.99%,"",'3.XT-C KH'!M61)</f>
        <v>0</v>
      </c>
      <c r="N61" s="909" t="s">
        <v>8</v>
      </c>
      <c r="O61" s="1595">
        <f>IF(M61="","",('XM.FILE GOC'!$G$91-M61)*3361)</f>
        <v>604.98</v>
      </c>
      <c r="P61" s="912" t="s">
        <v>10</v>
      </c>
      <c r="Q61" s="2747">
        <f>'XM.FILE GOC'!AK91</f>
        <v>0</v>
      </c>
      <c r="R61" s="972" t="s">
        <v>8</v>
      </c>
      <c r="S61" s="973">
        <f>'XM.FILE GOC'!AN91</f>
        <v>604.98</v>
      </c>
      <c r="T61" s="974" t="s">
        <v>10</v>
      </c>
      <c r="U61" s="915">
        <f>IF(Q61&gt;7.99%,"",'3.XT-C KH'!U61)</f>
        <v>0</v>
      </c>
      <c r="V61" s="909" t="s">
        <v>8</v>
      </c>
      <c r="W61" s="1595">
        <f>IF(U61="","",('XM.FILE GOC'!$G$91-U61)*3361)</f>
        <v>604.98</v>
      </c>
      <c r="X61" s="912" t="s">
        <v>10</v>
      </c>
      <c r="Y61" s="2747">
        <f>'XM.FILE GOC'!AR91</f>
        <v>0</v>
      </c>
      <c r="Z61" s="972" t="s">
        <v>8</v>
      </c>
      <c r="AA61" s="973">
        <f>'XM.FILE GOC'!AU91</f>
        <v>604.98</v>
      </c>
      <c r="AB61" s="974" t="s">
        <v>10</v>
      </c>
      <c r="AC61" s="915">
        <f>IF(Y61&gt;7.99%,"",'3.XT-C KH'!AC61)</f>
        <v>0</v>
      </c>
      <c r="AD61" s="909" t="s">
        <v>8</v>
      </c>
      <c r="AE61" s="1595">
        <f>IF(AC61="","",('XM.FILE GOC'!$G$91-AC61)*3361)</f>
        <v>604.98</v>
      </c>
      <c r="AF61" s="912" t="s">
        <v>10</v>
      </c>
      <c r="AG61" s="2294" t="s">
        <v>43</v>
      </c>
    </row>
    <row r="62" spans="1:38" ht="46.5" customHeight="1">
      <c r="A62" s="2713">
        <v>9</v>
      </c>
      <c r="B62" s="3213" t="s">
        <v>1613</v>
      </c>
      <c r="C62" s="3214"/>
      <c r="D62" s="3214"/>
      <c r="E62" s="3215"/>
      <c r="F62" s="633" t="s">
        <v>6</v>
      </c>
      <c r="G62" s="898" t="str">
        <f>'XM.FILE GOC'!$E$92</f>
        <v>40~50</v>
      </c>
      <c r="H62" s="2222" t="str">
        <f>'XM.FILE GOC'!$F$92</f>
        <v>(45±5)</v>
      </c>
      <c r="I62" s="1754">
        <f>'XM.FILE GOC'!AD92</f>
        <v>0.46600000000000003</v>
      </c>
      <c r="J62" s="972" t="s">
        <v>8</v>
      </c>
      <c r="K62" s="973">
        <f>'XM.FILE GOC'!AG92</f>
        <v>0</v>
      </c>
      <c r="L62" s="974" t="s">
        <v>10</v>
      </c>
      <c r="M62" s="915" t="str">
        <f>IF(I62&gt;44.99%,"",'3.XT-C KH'!M62)</f>
        <v/>
      </c>
      <c r="N62" s="909" t="s">
        <v>8</v>
      </c>
      <c r="O62" s="1595" t="str">
        <f>IF(M62="","",('XM.FILE GOC'!$G$92-M62)*3361)</f>
        <v/>
      </c>
      <c r="P62" s="912" t="s">
        <v>10</v>
      </c>
      <c r="Q62" s="1754">
        <f>'XM.FILE GOC'!AK92</f>
        <v>0.46537500000000004</v>
      </c>
      <c r="R62" s="972" t="s">
        <v>8</v>
      </c>
      <c r="S62" s="973">
        <f>'XM.FILE GOC'!AN92</f>
        <v>0</v>
      </c>
      <c r="T62" s="974" t="s">
        <v>10</v>
      </c>
      <c r="U62" s="915" t="str">
        <f>IF(Q62&gt;44.99%,"",'3.XT-C KH'!U62)</f>
        <v/>
      </c>
      <c r="V62" s="909" t="s">
        <v>8</v>
      </c>
      <c r="W62" s="1595" t="str">
        <f>IF(U62="","",('XM.FILE GOC'!$G$92-U62)*3361)</f>
        <v/>
      </c>
      <c r="X62" s="912" t="s">
        <v>10</v>
      </c>
      <c r="Y62" s="1754">
        <f>'XM.FILE GOC'!AR92</f>
        <v>0.46081249999999996</v>
      </c>
      <c r="Z62" s="972" t="s">
        <v>8</v>
      </c>
      <c r="AA62" s="973">
        <f>'XM.FILE GOC'!AU92</f>
        <v>0</v>
      </c>
      <c r="AB62" s="974" t="s">
        <v>10</v>
      </c>
      <c r="AC62" s="915" t="str">
        <f>IF(Y62&gt;44.99%,"",'3.XT-C KH'!AC62)</f>
        <v/>
      </c>
      <c r="AD62" s="909" t="s">
        <v>8</v>
      </c>
      <c r="AE62" s="1595" t="str">
        <f>IF(AC62="","",('XM.FILE GOC'!$G$92-AC62)*3361)</f>
        <v/>
      </c>
      <c r="AF62" s="912" t="s">
        <v>10</v>
      </c>
      <c r="AG62" s="2712"/>
    </row>
    <row r="63" spans="1:38" ht="46.5" customHeight="1">
      <c r="A63" s="2710">
        <v>10</v>
      </c>
      <c r="B63" s="3203" t="s">
        <v>1614</v>
      </c>
      <c r="C63" s="3204"/>
      <c r="D63" s="3204"/>
      <c r="E63" s="3205"/>
      <c r="F63" s="633" t="s">
        <v>6</v>
      </c>
      <c r="G63" s="898" t="str">
        <f>'XM.FILE GOC'!$E$93</f>
        <v>40~50</v>
      </c>
      <c r="H63" s="2222" t="str">
        <f>'XM.FILE GOC'!$F$93</f>
        <v>(45±5)</v>
      </c>
      <c r="I63" s="1754">
        <f>'XM.FILE GOC'!AD93</f>
        <v>0.47299999999999998</v>
      </c>
      <c r="J63" s="972" t="s">
        <v>8</v>
      </c>
      <c r="K63" s="973">
        <f>'XM.FILE GOC'!AG93</f>
        <v>0</v>
      </c>
      <c r="L63" s="974" t="s">
        <v>10</v>
      </c>
      <c r="M63" s="915" t="str">
        <f>IF(I63&gt;44.99%,"",'3.XT-C KH'!M63)</f>
        <v/>
      </c>
      <c r="N63" s="911" t="s">
        <v>8</v>
      </c>
      <c r="O63" s="1595" t="str">
        <f>IF(M63="","",('XM.FILE GOC'!$G$93-M63)*10509)</f>
        <v/>
      </c>
      <c r="P63" s="912" t="s">
        <v>10</v>
      </c>
      <c r="Q63" s="1754">
        <f>'XM.FILE GOC'!AK93</f>
        <v>0.47</v>
      </c>
      <c r="R63" s="972" t="s">
        <v>8</v>
      </c>
      <c r="S63" s="973">
        <f>'XM.FILE GOC'!AN93</f>
        <v>0</v>
      </c>
      <c r="T63" s="974" t="s">
        <v>10</v>
      </c>
      <c r="U63" s="915" t="str">
        <f>IF(Q63&gt;44.99%,"",'3.XT-C KH'!U63)</f>
        <v/>
      </c>
      <c r="V63" s="911" t="s">
        <v>8</v>
      </c>
      <c r="W63" s="1595" t="str">
        <f>IF(U63="","",('XM.FILE GOC'!$G$93-U63)*10509)</f>
        <v/>
      </c>
      <c r="X63" s="912" t="s">
        <v>10</v>
      </c>
      <c r="Y63" s="1754">
        <f>'XM.FILE GOC'!AR93</f>
        <v>0.46800000000000003</v>
      </c>
      <c r="Z63" s="972" t="s">
        <v>8</v>
      </c>
      <c r="AA63" s="973">
        <f>'XM.FILE GOC'!AU93</f>
        <v>0</v>
      </c>
      <c r="AB63" s="974" t="s">
        <v>10</v>
      </c>
      <c r="AC63" s="915" t="str">
        <f>IF(Y63&gt;44.99%,"",'3.XT-C KH'!AC63)</f>
        <v/>
      </c>
      <c r="AD63" s="911" t="s">
        <v>8</v>
      </c>
      <c r="AE63" s="1595" t="str">
        <f>IF(AC63="","",('XM.FILE GOC'!$G$93-AC63)*10509)</f>
        <v/>
      </c>
      <c r="AF63" s="912" t="s">
        <v>10</v>
      </c>
      <c r="AG63" s="69" t="s">
        <v>43</v>
      </c>
    </row>
    <row r="64" spans="1:38" ht="46.5" customHeight="1">
      <c r="A64" s="1575">
        <v>10</v>
      </c>
      <c r="B64" s="3200" t="s">
        <v>957</v>
      </c>
      <c r="C64" s="3201" t="s">
        <v>957</v>
      </c>
      <c r="D64" s="3201" t="s">
        <v>957</v>
      </c>
      <c r="E64" s="3202" t="s">
        <v>957</v>
      </c>
      <c r="F64" s="633" t="s">
        <v>6</v>
      </c>
      <c r="G64" s="898" t="str">
        <f>'XM.FILE GOC'!$E$94</f>
        <v>(1±0.4)=0.6~1.4</v>
      </c>
      <c r="H64" s="2222" t="str">
        <f>'XM.FILE GOC'!$F$94</f>
        <v>(1±0.4)</v>
      </c>
      <c r="I64" s="2230">
        <f>'XM.FILE GOC'!AD94</f>
        <v>7.8120000000000004E-3</v>
      </c>
      <c r="J64" s="972" t="s">
        <v>8</v>
      </c>
      <c r="K64" s="976">
        <f>'XM.FILE GOC'!AG94</f>
        <v>6.2597086092715228</v>
      </c>
      <c r="L64" s="977" t="s">
        <v>10</v>
      </c>
      <c r="M64" s="1579">
        <f>IF(I64&gt;0.99%,"",'3.XT-C KH'!M64)</f>
        <v>0.01</v>
      </c>
      <c r="N64" s="948" t="s">
        <v>8</v>
      </c>
      <c r="O64" s="1597">
        <f>IF(M64="","",('XM.FILE GOC'!$G$94-M64)*2808)</f>
        <v>0</v>
      </c>
      <c r="P64" s="918" t="s">
        <v>10</v>
      </c>
      <c r="Q64" s="2230">
        <f>'XM.FILE GOC'!AK94</f>
        <v>0.01</v>
      </c>
      <c r="R64" s="972" t="s">
        <v>8</v>
      </c>
      <c r="S64" s="976">
        <f>'XM.FILE GOC'!AN94</f>
        <v>0</v>
      </c>
      <c r="T64" s="977" t="s">
        <v>10</v>
      </c>
      <c r="U64" s="1579" t="str">
        <f>IF(Q64&gt;0.99%,"",'3.XT-C KH'!U64)</f>
        <v/>
      </c>
      <c r="V64" s="948" t="s">
        <v>8</v>
      </c>
      <c r="W64" s="1597" t="str">
        <f>IF(U64="","",('XM.FILE GOC'!$G$94-U64)*2808)</f>
        <v/>
      </c>
      <c r="X64" s="918" t="s">
        <v>10</v>
      </c>
      <c r="Y64" s="2230">
        <f>'XM.FILE GOC'!AR94</f>
        <v>8.064E-3</v>
      </c>
      <c r="Z64" s="972" t="s">
        <v>8</v>
      </c>
      <c r="AA64" s="976">
        <f>'XM.FILE GOC'!AU94</f>
        <v>5.5387549668874172</v>
      </c>
      <c r="AB64" s="977" t="s">
        <v>10</v>
      </c>
      <c r="AC64" s="1579">
        <f>IF(Y64&gt;0.99%,"",'3.XT-C KH'!AC64)</f>
        <v>0.01</v>
      </c>
      <c r="AD64" s="948" t="s">
        <v>8</v>
      </c>
      <c r="AE64" s="1597">
        <f>IF(AC64="","",('XM.FILE GOC'!$G$94-AC64)*2808)</f>
        <v>0</v>
      </c>
      <c r="AF64" s="918" t="s">
        <v>10</v>
      </c>
      <c r="AG64" s="1574" t="s">
        <v>44</v>
      </c>
    </row>
    <row r="65" spans="1:38" ht="46.5" hidden="1" customHeight="1">
      <c r="A65" s="2266">
        <v>11</v>
      </c>
      <c r="B65" s="3083" t="s">
        <v>74</v>
      </c>
      <c r="C65" s="3084"/>
      <c r="D65" s="3084"/>
      <c r="E65" s="3085"/>
      <c r="F65" s="2" t="s">
        <v>3</v>
      </c>
      <c r="G65" s="898" t="str">
        <f>'XM.GUI MAIL'!$E$95</f>
        <v>5~8</v>
      </c>
      <c r="H65" s="2222" t="str">
        <f>'XM.GUI MAIL'!$F$95</f>
        <v>(6±0.5)</v>
      </c>
      <c r="I65" s="1840">
        <f>'XM.FILE GOC'!AD94</f>
        <v>7.8120000000000004E-3</v>
      </c>
      <c r="J65" s="972" t="s">
        <v>8</v>
      </c>
      <c r="K65" s="973">
        <f>'XM.FILE GOC'!AG94</f>
        <v>6.2597086092715228</v>
      </c>
      <c r="L65" s="977" t="s">
        <v>10</v>
      </c>
      <c r="M65" s="2258"/>
      <c r="N65" s="909" t="s">
        <v>8</v>
      </c>
      <c r="O65" s="937">
        <f>('XM.FILE GOC'!$G$95-M65)*4042/95*1.028</f>
        <v>262.43216842105267</v>
      </c>
      <c r="P65" s="910" t="s">
        <v>10</v>
      </c>
      <c r="Q65" s="1840">
        <f>'XM.FILE GOC'!AK94</f>
        <v>0.01</v>
      </c>
      <c r="R65" s="972" t="s">
        <v>8</v>
      </c>
      <c r="S65" s="973">
        <f>'XM.FILE GOC'!AN94</f>
        <v>0</v>
      </c>
      <c r="T65" s="977" t="s">
        <v>10</v>
      </c>
      <c r="U65" s="2258"/>
      <c r="V65" s="909" t="s">
        <v>8</v>
      </c>
      <c r="W65" s="937">
        <f>('XM.FILE GOC'!$G$95-U65)*4042/95*1.028</f>
        <v>262.43216842105267</v>
      </c>
      <c r="X65" s="910" t="s">
        <v>10</v>
      </c>
      <c r="Y65" s="1840">
        <f>'XM.FILE GOC'!AR94</f>
        <v>8.064E-3</v>
      </c>
      <c r="Z65" s="972" t="s">
        <v>8</v>
      </c>
      <c r="AA65" s="973">
        <f>'XM.FILE GOC'!AU94</f>
        <v>5.5387549668874172</v>
      </c>
      <c r="AB65" s="977" t="s">
        <v>10</v>
      </c>
      <c r="AC65" s="2258"/>
      <c r="AD65" s="909" t="s">
        <v>8</v>
      </c>
      <c r="AE65" s="937">
        <f>('XM.FILE GOC'!$G$95-AC65)*4042/95*1.028</f>
        <v>262.43216842105267</v>
      </c>
      <c r="AF65" s="910" t="s">
        <v>10</v>
      </c>
      <c r="AG65" s="2265"/>
    </row>
    <row r="66" spans="1:38" ht="46.5" hidden="1" customHeight="1">
      <c r="A66" s="2266">
        <v>12</v>
      </c>
      <c r="B66" s="3086"/>
      <c r="C66" s="3087"/>
      <c r="D66" s="3087"/>
      <c r="E66" s="3088"/>
      <c r="F66" s="2" t="s">
        <v>5</v>
      </c>
      <c r="G66" s="898" t="str">
        <f>'XM.GUI MAIL'!$E$96</f>
        <v>1.8~2.4</v>
      </c>
      <c r="H66" s="2222" t="str">
        <f>'XM.GUI MAIL'!$F$96</f>
        <v>(2.1±0.1)</v>
      </c>
      <c r="I66" s="1768">
        <f>'XM.FILE GOC'!AD95</f>
        <v>6</v>
      </c>
      <c r="J66" s="972"/>
      <c r="K66" s="976"/>
      <c r="L66" s="977"/>
      <c r="M66" s="916"/>
      <c r="N66" s="948"/>
      <c r="O66" s="1597"/>
      <c r="P66" s="918"/>
      <c r="Q66" s="1768">
        <f>'XM.FILE GOC'!AK95</f>
        <v>5.76</v>
      </c>
      <c r="R66" s="972"/>
      <c r="S66" s="976"/>
      <c r="T66" s="977"/>
      <c r="U66" s="916"/>
      <c r="V66" s="948"/>
      <c r="W66" s="1597"/>
      <c r="X66" s="918"/>
      <c r="Y66" s="1768">
        <f>'XM.FILE GOC'!AR95</f>
        <v>6.1</v>
      </c>
      <c r="Z66" s="972"/>
      <c r="AA66" s="976"/>
      <c r="AB66" s="977"/>
      <c r="AC66" s="916"/>
      <c r="AD66" s="948"/>
      <c r="AE66" s="1597"/>
      <c r="AF66" s="918"/>
      <c r="AG66" s="2265"/>
    </row>
    <row r="67" spans="1:38" ht="38.25" customHeight="1">
      <c r="A67" s="1575"/>
      <c r="B67" s="3823" t="s">
        <v>1312</v>
      </c>
      <c r="C67" s="3824"/>
      <c r="D67" s="3824"/>
      <c r="E67" s="3824"/>
      <c r="F67" s="3824"/>
      <c r="G67" s="3824"/>
      <c r="H67" s="3824"/>
      <c r="I67" s="3824"/>
      <c r="J67" s="3824"/>
      <c r="K67" s="3824"/>
      <c r="L67" s="3824"/>
      <c r="M67" s="3824"/>
      <c r="N67" s="3824"/>
      <c r="O67" s="3824"/>
      <c r="P67" s="3824"/>
      <c r="Q67" s="3824"/>
      <c r="R67" s="3824"/>
      <c r="S67" s="3824"/>
      <c r="T67" s="3824"/>
      <c r="U67" s="3824"/>
      <c r="V67" s="3824"/>
      <c r="W67" s="3824"/>
      <c r="X67" s="3824"/>
      <c r="Y67" s="3824"/>
      <c r="Z67" s="3824"/>
      <c r="AA67" s="3824"/>
      <c r="AB67" s="3824"/>
      <c r="AC67" s="3824"/>
      <c r="AD67" s="3824"/>
      <c r="AE67" s="3824"/>
      <c r="AF67" s="3824"/>
      <c r="AG67" s="3825"/>
    </row>
    <row r="68" spans="1:38" ht="53.25" customHeight="1">
      <c r="A68" s="1575" t="s">
        <v>7</v>
      </c>
      <c r="B68" s="3167" t="s">
        <v>958</v>
      </c>
      <c r="C68" s="3168"/>
      <c r="D68" s="3168"/>
      <c r="E68" s="3169"/>
      <c r="F68" s="978" t="s">
        <v>959</v>
      </c>
      <c r="G68" s="978" t="s">
        <v>1310</v>
      </c>
      <c r="H68" s="2224" t="s">
        <v>1302</v>
      </c>
      <c r="I68" s="3160" t="s">
        <v>960</v>
      </c>
      <c r="J68" s="3159"/>
      <c r="K68" s="3160" t="s">
        <v>961</v>
      </c>
      <c r="L68" s="3159"/>
      <c r="M68" s="919"/>
      <c r="N68" s="920"/>
      <c r="O68" s="920"/>
      <c r="P68" s="921"/>
      <c r="Q68" s="3160" t="s">
        <v>960</v>
      </c>
      <c r="R68" s="3159"/>
      <c r="S68" s="3160" t="s">
        <v>961</v>
      </c>
      <c r="T68" s="3159"/>
      <c r="U68" s="919"/>
      <c r="V68" s="920"/>
      <c r="W68" s="920"/>
      <c r="X68" s="921"/>
      <c r="Y68" s="3160" t="s">
        <v>960</v>
      </c>
      <c r="Z68" s="3159"/>
      <c r="AA68" s="3160" t="s">
        <v>961</v>
      </c>
      <c r="AB68" s="3159"/>
      <c r="AC68" s="919"/>
      <c r="AD68" s="920"/>
      <c r="AE68" s="920"/>
      <c r="AF68" s="921"/>
      <c r="AG68" s="10"/>
    </row>
    <row r="69" spans="1:38" ht="45.75" customHeight="1">
      <c r="A69" s="1575">
        <v>1</v>
      </c>
      <c r="B69" s="3167" t="s">
        <v>962</v>
      </c>
      <c r="C69" s="3168"/>
      <c r="D69" s="3168"/>
      <c r="E69" s="3169"/>
      <c r="F69" s="979" t="s">
        <v>963</v>
      </c>
      <c r="G69" s="898" t="str">
        <f>'XM.FILE GOC'!$E$105</f>
        <v>50~70</v>
      </c>
      <c r="H69" s="2222" t="str">
        <f>'XM.FILE GOC'!$F$105</f>
        <v>(60±5)</v>
      </c>
      <c r="I69" s="3113">
        <f>'3.XT-C KH'!I69</f>
        <v>61</v>
      </c>
      <c r="J69" s="3112"/>
      <c r="K69" s="3112">
        <f>'3.XT-C KH'!K69</f>
        <v>60</v>
      </c>
      <c r="L69" s="3112"/>
      <c r="M69" s="922"/>
      <c r="N69" s="923"/>
      <c r="O69" s="923"/>
      <c r="P69" s="924"/>
      <c r="Q69" s="3112">
        <f>'3.XT-C KH'!Q69</f>
        <v>61</v>
      </c>
      <c r="R69" s="3112"/>
      <c r="S69" s="3112">
        <f>'3.XT-C KH'!S69:T69</f>
        <v>60</v>
      </c>
      <c r="T69" s="3112"/>
      <c r="U69" s="922"/>
      <c r="V69" s="923"/>
      <c r="W69" s="923"/>
      <c r="X69" s="924"/>
      <c r="Y69" s="3112">
        <f>'3.XT-C KH'!Y69</f>
        <v>61</v>
      </c>
      <c r="Z69" s="3112"/>
      <c r="AA69" s="3112">
        <f>'3.XT-C KH'!AA69</f>
        <v>60</v>
      </c>
      <c r="AB69" s="3112"/>
      <c r="AC69" s="922"/>
      <c r="AD69" s="923"/>
      <c r="AE69" s="923"/>
      <c r="AF69" s="924"/>
      <c r="AG69" s="1576"/>
    </row>
    <row r="70" spans="1:38" ht="45.75" customHeight="1">
      <c r="A70" s="1575">
        <v>2</v>
      </c>
      <c r="B70" s="3167" t="s">
        <v>964</v>
      </c>
      <c r="C70" s="3168"/>
      <c r="D70" s="3168"/>
      <c r="E70" s="3169"/>
      <c r="F70" s="979" t="s">
        <v>963</v>
      </c>
      <c r="G70" s="898" t="str">
        <f>'XM.FILE GOC'!$E$106</f>
        <v>50~70</v>
      </c>
      <c r="H70" s="2222" t="str">
        <f>'XM.FILE GOC'!$F$106</f>
        <v>(60±5)</v>
      </c>
      <c r="I70" s="3113">
        <f>'3.XT-C KH'!I70</f>
        <v>61</v>
      </c>
      <c r="J70" s="3112"/>
      <c r="K70" s="3112">
        <f>'3.XT-C KH'!K70</f>
        <v>60</v>
      </c>
      <c r="L70" s="3112"/>
      <c r="M70" s="922"/>
      <c r="N70" s="923"/>
      <c r="O70" s="923"/>
      <c r="P70" s="924"/>
      <c r="Q70" s="3112">
        <f>'3.XT-C KH'!Q70</f>
        <v>61</v>
      </c>
      <c r="R70" s="3112"/>
      <c r="S70" s="3112">
        <f>'3.XT-C KH'!S70:T70</f>
        <v>60</v>
      </c>
      <c r="T70" s="3112"/>
      <c r="U70" s="922"/>
      <c r="V70" s="923"/>
      <c r="W70" s="923"/>
      <c r="X70" s="924"/>
      <c r="Y70" s="3112">
        <f>'3.XT-C KH'!Y70</f>
        <v>62</v>
      </c>
      <c r="Z70" s="3112"/>
      <c r="AA70" s="3112">
        <f>'3.XT-C KH'!AA70</f>
        <v>61</v>
      </c>
      <c r="AB70" s="3112"/>
      <c r="AC70" s="922"/>
      <c r="AD70" s="923"/>
      <c r="AE70" s="923"/>
      <c r="AF70" s="924"/>
      <c r="AG70" s="1576"/>
    </row>
    <row r="71" spans="1:38" ht="45.75" customHeight="1">
      <c r="A71" s="1575">
        <v>3</v>
      </c>
      <c r="B71" s="3167" t="s">
        <v>965</v>
      </c>
      <c r="C71" s="3168"/>
      <c r="D71" s="3168"/>
      <c r="E71" s="3169"/>
      <c r="F71" s="979" t="s">
        <v>963</v>
      </c>
      <c r="G71" s="898" t="str">
        <f>'XM.FILE GOC'!$E$107</f>
        <v>50~70</v>
      </c>
      <c r="H71" s="2222" t="str">
        <f>'XM.FILE GOC'!$F$107</f>
        <v>(60±5)</v>
      </c>
      <c r="I71" s="3113">
        <f>'3.XT-C KH'!I71</f>
        <v>61</v>
      </c>
      <c r="J71" s="3112"/>
      <c r="K71" s="3112">
        <f>'3.XT-C KH'!K71</f>
        <v>60</v>
      </c>
      <c r="L71" s="3112"/>
      <c r="M71" s="922"/>
      <c r="N71" s="923"/>
      <c r="O71" s="923"/>
      <c r="P71" s="924"/>
      <c r="Q71" s="3112">
        <f>'3.XT-C KH'!Q71</f>
        <v>61</v>
      </c>
      <c r="R71" s="3112"/>
      <c r="S71" s="3112">
        <f>'3.XT-C KH'!S71:T71</f>
        <v>60</v>
      </c>
      <c r="T71" s="3112"/>
      <c r="U71" s="922"/>
      <c r="V71" s="923"/>
      <c r="W71" s="923"/>
      <c r="X71" s="924"/>
      <c r="Y71" s="3112">
        <f>'3.XT-C KH'!Y71</f>
        <v>61</v>
      </c>
      <c r="Z71" s="3112"/>
      <c r="AA71" s="3112">
        <f>'3.XT-C KH'!AA71</f>
        <v>60</v>
      </c>
      <c r="AB71" s="3112"/>
      <c r="AC71" s="922"/>
      <c r="AD71" s="923"/>
      <c r="AE71" s="923"/>
      <c r="AF71" s="924"/>
      <c r="AG71" s="1576"/>
    </row>
    <row r="72" spans="1:38" ht="45.75" customHeight="1">
      <c r="A72" s="1575">
        <v>4</v>
      </c>
      <c r="B72" s="3167" t="s">
        <v>966</v>
      </c>
      <c r="C72" s="3168"/>
      <c r="D72" s="3168"/>
      <c r="E72" s="3169"/>
      <c r="F72" s="979" t="s">
        <v>963</v>
      </c>
      <c r="G72" s="898" t="str">
        <f>'XM.FILE GOC'!$E$108</f>
        <v>50~70</v>
      </c>
      <c r="H72" s="2222" t="str">
        <f>'XM.FILE GOC'!$F$108</f>
        <v>(60±5)</v>
      </c>
      <c r="I72" s="3113">
        <f>'3.XT-C KH'!I72</f>
        <v>60</v>
      </c>
      <c r="J72" s="3112"/>
      <c r="K72" s="3112">
        <f>'3.XT-C KH'!K72</f>
        <v>59</v>
      </c>
      <c r="L72" s="3112"/>
      <c r="M72" s="922"/>
      <c r="N72" s="923"/>
      <c r="O72" s="923"/>
      <c r="P72" s="924"/>
      <c r="Q72" s="3112">
        <f>'3.XT-C KH'!Q72</f>
        <v>60</v>
      </c>
      <c r="R72" s="3112"/>
      <c r="S72" s="3112">
        <f>'3.XT-C KH'!S72:T72</f>
        <v>59</v>
      </c>
      <c r="T72" s="3112"/>
      <c r="U72" s="922"/>
      <c r="V72" s="923"/>
      <c r="W72" s="923"/>
      <c r="X72" s="924"/>
      <c r="Y72" s="3112">
        <f>'3.XT-C KH'!Y72</f>
        <v>60</v>
      </c>
      <c r="Z72" s="3112"/>
      <c r="AA72" s="3112">
        <f>'3.XT-C KH'!AA72</f>
        <v>59</v>
      </c>
      <c r="AB72" s="3112"/>
      <c r="AC72" s="922"/>
      <c r="AD72" s="923"/>
      <c r="AE72" s="923"/>
      <c r="AF72" s="924"/>
      <c r="AG72" s="1576"/>
    </row>
    <row r="73" spans="1:38" ht="45.75" customHeight="1">
      <c r="A73" s="1575">
        <v>5</v>
      </c>
      <c r="B73" s="3810" t="s">
        <v>967</v>
      </c>
      <c r="C73" s="3811"/>
      <c r="D73" s="3811"/>
      <c r="E73" s="3812"/>
      <c r="F73" s="1583" t="s">
        <v>963</v>
      </c>
      <c r="G73" s="1584" t="str">
        <f>'XM.FILE GOC'!$E$109</f>
        <v>22~28</v>
      </c>
      <c r="H73" s="2236" t="str">
        <f>'XM.FILE GOC'!$F$109</f>
        <v>(25±3)</v>
      </c>
      <c r="I73" s="3813">
        <f>'3.XT-C KH'!I73</f>
        <v>25</v>
      </c>
      <c r="J73" s="3814"/>
      <c r="K73" s="3814">
        <f>'3.XT-C KH'!K73</f>
        <v>24</v>
      </c>
      <c r="L73" s="3814"/>
      <c r="M73" s="922"/>
      <c r="N73" s="923"/>
      <c r="O73" s="923"/>
      <c r="P73" s="924"/>
      <c r="Q73" s="3814">
        <f>'3.XT-C KH'!Q73</f>
        <v>25</v>
      </c>
      <c r="R73" s="3814"/>
      <c r="S73" s="3814">
        <f>'3.XT-C KH'!S73:T73</f>
        <v>24</v>
      </c>
      <c r="T73" s="3814"/>
      <c r="U73" s="922"/>
      <c r="V73" s="923"/>
      <c r="W73" s="923"/>
      <c r="X73" s="924"/>
      <c r="Y73" s="3814">
        <f>'3.XT-C KH'!Y73</f>
        <v>26</v>
      </c>
      <c r="Z73" s="3814"/>
      <c r="AA73" s="3814">
        <f>'3.XT-C KH'!AA73</f>
        <v>25</v>
      </c>
      <c r="AB73" s="3814"/>
      <c r="AC73" s="922"/>
      <c r="AD73" s="923"/>
      <c r="AE73" s="923"/>
      <c r="AF73" s="924"/>
      <c r="AG73" s="1576"/>
    </row>
    <row r="74" spans="1:38" ht="45.75" customHeight="1">
      <c r="A74" s="1582">
        <v>6</v>
      </c>
      <c r="B74" s="3828" t="s">
        <v>968</v>
      </c>
      <c r="C74" s="3829"/>
      <c r="D74" s="3829"/>
      <c r="E74" s="3830"/>
      <c r="F74" s="2334" t="s">
        <v>963</v>
      </c>
      <c r="G74" s="2335" t="s">
        <v>1352</v>
      </c>
      <c r="H74" s="2336" t="s">
        <v>1449</v>
      </c>
      <c r="I74" s="3831"/>
      <c r="J74" s="3832"/>
      <c r="K74" s="3826"/>
      <c r="L74" s="3832"/>
      <c r="M74" s="2337"/>
      <c r="N74" s="2338"/>
      <c r="O74" s="2338"/>
      <c r="P74" s="2339"/>
      <c r="Q74" s="3826"/>
      <c r="R74" s="3832"/>
      <c r="S74" s="3826"/>
      <c r="T74" s="3832"/>
      <c r="U74" s="2337"/>
      <c r="V74" s="2338"/>
      <c r="W74" s="2338"/>
      <c r="X74" s="2339"/>
      <c r="Y74" s="3826"/>
      <c r="Z74" s="3832"/>
      <c r="AA74" s="3826"/>
      <c r="AB74" s="3827"/>
      <c r="AC74" s="923"/>
      <c r="AD74" s="923"/>
      <c r="AE74" s="923"/>
      <c r="AF74" s="924"/>
      <c r="AG74" s="1576"/>
      <c r="AH74" s="946"/>
      <c r="AI74" s="1578"/>
      <c r="AJ74" s="946"/>
      <c r="AK74" s="946"/>
      <c r="AL74" s="946"/>
    </row>
    <row r="75" spans="1:38" ht="45.75" customHeight="1">
      <c r="A75" s="1575">
        <v>7</v>
      </c>
      <c r="B75" s="3803" t="s">
        <v>969</v>
      </c>
      <c r="C75" s="3804"/>
      <c r="D75" s="3804"/>
      <c r="E75" s="3805"/>
      <c r="F75" s="1585" t="s">
        <v>963</v>
      </c>
      <c r="G75" s="1586" t="str">
        <f>'XM.FILE GOC'!$E$111</f>
        <v>55~65</v>
      </c>
      <c r="H75" s="2238" t="str">
        <f>'XM.FILE GOC'!$F$111</f>
        <v>(60±5)</v>
      </c>
      <c r="I75" s="3806">
        <f>'3.XT-C KH'!I75</f>
        <v>57</v>
      </c>
      <c r="J75" s="3807"/>
      <c r="K75" s="3807">
        <f>'3.XT-C KH'!K75</f>
        <v>56</v>
      </c>
      <c r="L75" s="3807"/>
      <c r="M75" s="922"/>
      <c r="N75" s="923"/>
      <c r="O75" s="923"/>
      <c r="P75" s="924"/>
      <c r="Q75" s="3807">
        <f>'3.XT-C KH'!Q75</f>
        <v>58</v>
      </c>
      <c r="R75" s="3807"/>
      <c r="S75" s="3807">
        <f>'3.XT-C KH'!S75</f>
        <v>57</v>
      </c>
      <c r="T75" s="3807"/>
      <c r="U75" s="922"/>
      <c r="V75" s="923"/>
      <c r="W75" s="923"/>
      <c r="X75" s="924"/>
      <c r="Y75" s="3807">
        <f>'3.XT-C KH'!Y75</f>
        <v>59</v>
      </c>
      <c r="Z75" s="3807"/>
      <c r="AA75" s="3807">
        <f>'3.XT-C KH'!AA75</f>
        <v>58</v>
      </c>
      <c r="AB75" s="3807"/>
      <c r="AC75" s="922"/>
      <c r="AD75" s="923"/>
      <c r="AE75" s="923"/>
      <c r="AF75" s="924"/>
      <c r="AG75" s="1576"/>
    </row>
    <row r="76" spans="1:38" ht="45.75" customHeight="1">
      <c r="A76" s="1575">
        <v>8</v>
      </c>
      <c r="B76" s="3167" t="s">
        <v>970</v>
      </c>
      <c r="C76" s="3168"/>
      <c r="D76" s="3168"/>
      <c r="E76" s="3169"/>
      <c r="F76" s="979" t="s">
        <v>963</v>
      </c>
      <c r="G76" s="898" t="str">
        <f>'XM.FILE GOC'!$E$112</f>
        <v>80~100</v>
      </c>
      <c r="H76" s="2222" t="str">
        <f>'XM.FILE GOC'!$F$112</f>
        <v>(90±5)</v>
      </c>
      <c r="I76" s="3159" t="str">
        <f>'3.XT-C KH'!I76</f>
        <v>\</v>
      </c>
      <c r="J76" s="3191"/>
      <c r="K76" s="3112">
        <f>'3.XT-C KH'!K76</f>
        <v>94</v>
      </c>
      <c r="L76" s="3112"/>
      <c r="M76" s="922"/>
      <c r="N76" s="923"/>
      <c r="O76" s="923"/>
      <c r="P76" s="924"/>
      <c r="Q76" s="3191" t="str">
        <f>'3.XT-C KH'!Q76</f>
        <v>\</v>
      </c>
      <c r="R76" s="3191"/>
      <c r="S76" s="3112">
        <f>'3.XT-C KH'!S76</f>
        <v>92</v>
      </c>
      <c r="T76" s="3112"/>
      <c r="U76" s="922"/>
      <c r="V76" s="923"/>
      <c r="W76" s="923"/>
      <c r="X76" s="924"/>
      <c r="Y76" s="3191" t="str">
        <f>'3.XT-C KH'!Y76</f>
        <v>\</v>
      </c>
      <c r="Z76" s="3191"/>
      <c r="AA76" s="3112">
        <f>'3.XT-C KH'!AA76</f>
        <v>92</v>
      </c>
      <c r="AB76" s="3112"/>
      <c r="AC76" s="922"/>
      <c r="AD76" s="923"/>
      <c r="AE76" s="923"/>
      <c r="AF76" s="924"/>
      <c r="AG76" s="1576"/>
    </row>
    <row r="77" spans="1:38" ht="45.75" customHeight="1">
      <c r="A77" s="1575">
        <v>9</v>
      </c>
      <c r="B77" s="3192" t="s">
        <v>1288</v>
      </c>
      <c r="C77" s="3193"/>
      <c r="D77" s="3193"/>
      <c r="E77" s="3194"/>
      <c r="F77" s="979" t="s">
        <v>963</v>
      </c>
      <c r="G77" s="898" t="str">
        <f>'XM.FILE GOC'!$E$113</f>
        <v>40~60</v>
      </c>
      <c r="H77" s="2222" t="str">
        <f>'XM.FILE GOC'!$F$113</f>
        <v>(50±10)</v>
      </c>
      <c r="I77" s="3190">
        <f>'3.XT-C KH'!I77</f>
        <v>60</v>
      </c>
      <c r="J77" s="3188"/>
      <c r="K77" s="3188">
        <f>'3.XT-C KH'!K77</f>
        <v>59</v>
      </c>
      <c r="L77" s="3188"/>
      <c r="M77" s="922"/>
      <c r="N77" s="923"/>
      <c r="O77" s="923"/>
      <c r="P77" s="924"/>
      <c r="Q77" s="3188">
        <f>'3.XT-C KH'!Q77</f>
        <v>59</v>
      </c>
      <c r="R77" s="3188"/>
      <c r="S77" s="3188">
        <f>'3.XT-C KH'!S77</f>
        <v>58</v>
      </c>
      <c r="T77" s="3188"/>
      <c r="U77" s="922"/>
      <c r="V77" s="923"/>
      <c r="W77" s="923"/>
      <c r="X77" s="924"/>
      <c r="Y77" s="3188">
        <f>'3.XT-C KH'!Y77</f>
        <v>59</v>
      </c>
      <c r="Z77" s="3188"/>
      <c r="AA77" s="3188">
        <f>'3.XT-C KH'!AA77</f>
        <v>58</v>
      </c>
      <c r="AB77" s="3188"/>
      <c r="AC77" s="922"/>
      <c r="AD77" s="923"/>
      <c r="AE77" s="923"/>
      <c r="AF77" s="924"/>
      <c r="AG77" s="896"/>
    </row>
    <row r="78" spans="1:38" ht="45.75" customHeight="1">
      <c r="A78" s="1575">
        <v>10</v>
      </c>
      <c r="B78" s="3192" t="s">
        <v>1290</v>
      </c>
      <c r="C78" s="3193"/>
      <c r="D78" s="3193"/>
      <c r="E78" s="3194"/>
      <c r="F78" s="979" t="s">
        <v>963</v>
      </c>
      <c r="G78" s="898" t="str">
        <f>'XM.FILE GOC'!$E$114</f>
        <v>50~70</v>
      </c>
      <c r="H78" s="2222" t="str">
        <f>'XM.FILE GOC'!$F$114</f>
        <v>(60±10)</v>
      </c>
      <c r="I78" s="3190">
        <f>'3.XT-C KH'!I78</f>
        <v>58</v>
      </c>
      <c r="J78" s="3188"/>
      <c r="K78" s="3188">
        <f>'3.XT-C KH'!K78</f>
        <v>57</v>
      </c>
      <c r="L78" s="3188"/>
      <c r="M78" s="922"/>
      <c r="N78" s="923"/>
      <c r="O78" s="923"/>
      <c r="P78" s="924"/>
      <c r="Q78" s="3188">
        <f>'3.XT-C KH'!Q78</f>
        <v>60</v>
      </c>
      <c r="R78" s="3188"/>
      <c r="S78" s="3188">
        <f>'3.XT-C KH'!S78</f>
        <v>59</v>
      </c>
      <c r="T78" s="3188"/>
      <c r="U78" s="922"/>
      <c r="V78" s="923"/>
      <c r="W78" s="923"/>
      <c r="X78" s="924"/>
      <c r="Y78" s="3188">
        <f>'3.XT-C KH'!Y78</f>
        <v>55</v>
      </c>
      <c r="Z78" s="3188"/>
      <c r="AA78" s="3188">
        <f>'3.XT-C KH'!AA78</f>
        <v>54</v>
      </c>
      <c r="AB78" s="3188"/>
      <c r="AC78" s="922"/>
      <c r="AD78" s="923"/>
      <c r="AE78" s="923"/>
      <c r="AF78" s="924"/>
      <c r="AG78" s="896"/>
    </row>
    <row r="79" spans="1:38" ht="49.5" hidden="1" customHeight="1">
      <c r="A79" s="2266"/>
      <c r="B79" s="2269"/>
      <c r="C79" s="2270"/>
      <c r="D79" s="2270"/>
      <c r="E79" s="2270"/>
      <c r="F79" s="2277"/>
      <c r="G79" s="2276"/>
      <c r="H79" s="2276"/>
      <c r="I79" s="2273"/>
      <c r="J79" s="2273"/>
      <c r="K79" s="2273"/>
      <c r="L79" s="2273"/>
      <c r="M79" s="923"/>
      <c r="N79" s="923"/>
      <c r="O79" s="923"/>
      <c r="P79" s="923"/>
      <c r="Q79" s="2273"/>
      <c r="R79" s="2273"/>
      <c r="S79" s="2273"/>
      <c r="T79" s="2273"/>
      <c r="U79" s="923"/>
      <c r="V79" s="923"/>
      <c r="W79" s="923"/>
      <c r="X79" s="923"/>
      <c r="Y79" s="2273"/>
      <c r="Z79" s="2273"/>
      <c r="AA79" s="2273"/>
      <c r="AB79" s="2273"/>
      <c r="AC79" s="923"/>
      <c r="AD79" s="923"/>
      <c r="AE79" s="923"/>
      <c r="AF79" s="923"/>
      <c r="AG79" s="896"/>
    </row>
    <row r="80" spans="1:38" ht="46.5" customHeight="1">
      <c r="A80" s="1575"/>
      <c r="B80" s="3823" t="s">
        <v>1311</v>
      </c>
      <c r="C80" s="3824"/>
      <c r="D80" s="3824"/>
      <c r="E80" s="3824"/>
      <c r="F80" s="3824"/>
      <c r="G80" s="3824"/>
      <c r="H80" s="3824"/>
      <c r="I80" s="3824"/>
      <c r="J80" s="3824"/>
      <c r="K80" s="3824"/>
      <c r="L80" s="3824"/>
      <c r="M80" s="3824"/>
      <c r="N80" s="3824"/>
      <c r="O80" s="3824"/>
      <c r="P80" s="3824"/>
      <c r="Q80" s="3824"/>
      <c r="R80" s="3824"/>
      <c r="S80" s="3824"/>
      <c r="T80" s="3824"/>
      <c r="U80" s="3824"/>
      <c r="V80" s="3824"/>
      <c r="W80" s="3824"/>
      <c r="X80" s="3824"/>
      <c r="Y80" s="3824"/>
      <c r="Z80" s="3824"/>
      <c r="AA80" s="3824"/>
      <c r="AB80" s="3824"/>
      <c r="AC80" s="3824"/>
      <c r="AD80" s="3824"/>
      <c r="AE80" s="3824"/>
      <c r="AF80" s="3824"/>
      <c r="AG80" s="3825"/>
    </row>
    <row r="81" spans="1:33" ht="57" customHeight="1">
      <c r="A81" s="1575" t="s">
        <v>7</v>
      </c>
      <c r="B81" s="3167" t="s">
        <v>971</v>
      </c>
      <c r="C81" s="3168"/>
      <c r="D81" s="3168"/>
      <c r="E81" s="3169"/>
      <c r="F81" s="978" t="s">
        <v>737</v>
      </c>
      <c r="G81" s="978" t="s">
        <v>1310</v>
      </c>
      <c r="H81" s="2224" t="s">
        <v>1302</v>
      </c>
      <c r="I81" s="3158" t="s">
        <v>972</v>
      </c>
      <c r="J81" s="3158"/>
      <c r="K81" s="3158"/>
      <c r="L81" s="3159"/>
      <c r="M81" s="919"/>
      <c r="N81" s="920"/>
      <c r="O81" s="920"/>
      <c r="P81" s="921"/>
      <c r="Q81" s="3160" t="s">
        <v>972</v>
      </c>
      <c r="R81" s="3158"/>
      <c r="S81" s="3158"/>
      <c r="T81" s="3159"/>
      <c r="U81" s="919"/>
      <c r="V81" s="920"/>
      <c r="W81" s="920"/>
      <c r="X81" s="921"/>
      <c r="Y81" s="3160" t="s">
        <v>972</v>
      </c>
      <c r="Z81" s="3158"/>
      <c r="AA81" s="3158"/>
      <c r="AB81" s="3159"/>
      <c r="AC81" s="919"/>
      <c r="AD81" s="920"/>
      <c r="AE81" s="920"/>
      <c r="AF81" s="921"/>
      <c r="AG81" s="10"/>
    </row>
    <row r="82" spans="1:33" ht="52.5" customHeight="1">
      <c r="A82" s="1575">
        <v>1</v>
      </c>
      <c r="B82" s="3200" t="s">
        <v>1600</v>
      </c>
      <c r="C82" s="3201"/>
      <c r="D82" s="3201"/>
      <c r="E82" s="3202"/>
      <c r="F82" s="633" t="s">
        <v>48</v>
      </c>
      <c r="G82" s="898" t="str">
        <f>'XM.FILE GOC'!$E$120</f>
        <v>30~50 
(40)</v>
      </c>
      <c r="H82" s="2222" t="str">
        <f>'XM.FILE GOC'!$F$120</f>
        <v>30~50 
(40)</v>
      </c>
      <c r="I82" s="3047">
        <f>'3.XT-C KH'!I82:L82</f>
        <v>42</v>
      </c>
      <c r="J82" s="3047"/>
      <c r="K82" s="3047"/>
      <c r="L82" s="3048"/>
      <c r="M82" s="1307"/>
      <c r="N82" s="1308"/>
      <c r="O82" s="1308"/>
      <c r="P82" s="1309"/>
      <c r="Q82" s="3046">
        <f>'3.XT-C KH'!Q82:T82</f>
        <v>43</v>
      </c>
      <c r="R82" s="3047"/>
      <c r="S82" s="3047"/>
      <c r="T82" s="3047"/>
      <c r="U82" s="1307"/>
      <c r="V82" s="1308"/>
      <c r="W82" s="1308"/>
      <c r="X82" s="1309"/>
      <c r="Y82" s="3046">
        <f>'3.XT-C KH'!Y82:AB82</f>
        <v>42</v>
      </c>
      <c r="Z82" s="3047"/>
      <c r="AA82" s="3047"/>
      <c r="AB82" s="3048"/>
      <c r="AC82" s="928"/>
      <c r="AD82" s="905"/>
      <c r="AE82" s="905"/>
      <c r="AF82" s="929"/>
      <c r="AG82" s="1576"/>
    </row>
    <row r="83" spans="1:33" ht="52.5" customHeight="1">
      <c r="A83" s="1575">
        <v>2</v>
      </c>
      <c r="B83" s="3200" t="s">
        <v>1599</v>
      </c>
      <c r="C83" s="3201"/>
      <c r="D83" s="3201"/>
      <c r="E83" s="3202"/>
      <c r="F83" s="633" t="s">
        <v>48</v>
      </c>
      <c r="G83" s="898" t="str">
        <f>'XM.FILE GOC'!$E$121</f>
        <v>160~220
(180)</v>
      </c>
      <c r="H83" s="2222" t="str">
        <f>'XM.FILE GOC'!$F$121</f>
        <v>160~220
(180)</v>
      </c>
      <c r="I83" s="3047">
        <f>'3.XT-C KH'!I83:L83</f>
        <v>170</v>
      </c>
      <c r="J83" s="3047"/>
      <c r="K83" s="3047"/>
      <c r="L83" s="3047"/>
      <c r="M83" s="1304"/>
      <c r="N83" s="1305"/>
      <c r="O83" s="1305"/>
      <c r="P83" s="1306"/>
      <c r="Q83" s="3046">
        <f>'3.XT-C KH'!Q83:T83</f>
        <v>170</v>
      </c>
      <c r="R83" s="3047"/>
      <c r="S83" s="3047"/>
      <c r="T83" s="3047"/>
      <c r="U83" s="1304"/>
      <c r="V83" s="1305"/>
      <c r="W83" s="1305"/>
      <c r="X83" s="1306"/>
      <c r="Y83" s="3046">
        <f>'3.XT-C KH'!Y83:AB83</f>
        <v>175</v>
      </c>
      <c r="Z83" s="3047"/>
      <c r="AA83" s="3047"/>
      <c r="AB83" s="3048"/>
      <c r="AC83" s="930"/>
      <c r="AD83" s="931"/>
      <c r="AE83" s="931"/>
      <c r="AF83" s="932"/>
      <c r="AG83" s="1576"/>
    </row>
  </sheetData>
  <sheetProtection selectLockedCells="1"/>
  <mergeCells count="304">
    <mergeCell ref="B60:E60"/>
    <mergeCell ref="B62:E62"/>
    <mergeCell ref="B18:E18"/>
    <mergeCell ref="B20:E20"/>
    <mergeCell ref="AI35:AJ35"/>
    <mergeCell ref="AK35:AL35"/>
    <mergeCell ref="AQ35:AR35"/>
    <mergeCell ref="AS35:AT35"/>
    <mergeCell ref="AY35:AZ35"/>
    <mergeCell ref="B19:E19"/>
    <mergeCell ref="B21:E21"/>
    <mergeCell ref="B22:E22"/>
    <mergeCell ref="B25:AG25"/>
    <mergeCell ref="B26:E26"/>
    <mergeCell ref="I26:J26"/>
    <mergeCell ref="K26:L26"/>
    <mergeCell ref="Q26:R26"/>
    <mergeCell ref="S26:T26"/>
    <mergeCell ref="Y26:Z26"/>
    <mergeCell ref="AA26:AB26"/>
    <mergeCell ref="B23:E24"/>
    <mergeCell ref="B27:E27"/>
    <mergeCell ref="I27:J27"/>
    <mergeCell ref="K27:L27"/>
    <mergeCell ref="BA35:BB35"/>
    <mergeCell ref="AI36:AJ36"/>
    <mergeCell ref="AK36:AL36"/>
    <mergeCell ref="AQ36:AR36"/>
    <mergeCell ref="AS36:AT36"/>
    <mergeCell ref="AY36:AZ36"/>
    <mergeCell ref="BA36:BB36"/>
    <mergeCell ref="A1:Z1"/>
    <mergeCell ref="A2:Z2"/>
    <mergeCell ref="AD2:AE2"/>
    <mergeCell ref="AF2:AG2"/>
    <mergeCell ref="AD3:AE3"/>
    <mergeCell ref="AF3:AG3"/>
    <mergeCell ref="M4:P4"/>
    <mergeCell ref="Q4:T4"/>
    <mergeCell ref="U4:X4"/>
    <mergeCell ref="Y4:AB4"/>
    <mergeCell ref="AC4:AF4"/>
    <mergeCell ref="AG4:AG5"/>
    <mergeCell ref="N5:P5"/>
    <mergeCell ref="R5:T5"/>
    <mergeCell ref="V5:X5"/>
    <mergeCell ref="Z5:AB5"/>
    <mergeCell ref="AD5:AF5"/>
    <mergeCell ref="F4:F5"/>
    <mergeCell ref="G4:G5"/>
    <mergeCell ref="H4:H5"/>
    <mergeCell ref="I4:L4"/>
    <mergeCell ref="J5:L5"/>
    <mergeCell ref="I3:L3"/>
    <mergeCell ref="A6:A7"/>
    <mergeCell ref="B6:C7"/>
    <mergeCell ref="D6:E6"/>
    <mergeCell ref="D7:E7"/>
    <mergeCell ref="A8:A9"/>
    <mergeCell ref="B8:C9"/>
    <mergeCell ref="D8:E8"/>
    <mergeCell ref="D9:E9"/>
    <mergeCell ref="A4:A5"/>
    <mergeCell ref="B4:E5"/>
    <mergeCell ref="A14:A15"/>
    <mergeCell ref="B14:B15"/>
    <mergeCell ref="C14:E14"/>
    <mergeCell ref="C15:E15"/>
    <mergeCell ref="A16:A17"/>
    <mergeCell ref="B16:D17"/>
    <mergeCell ref="E16:E17"/>
    <mergeCell ref="A10:A11"/>
    <mergeCell ref="B10:C11"/>
    <mergeCell ref="D10:E10"/>
    <mergeCell ref="D11:E11"/>
    <mergeCell ref="A12:A13"/>
    <mergeCell ref="B12:C13"/>
    <mergeCell ref="D12:E12"/>
    <mergeCell ref="D13:E13"/>
    <mergeCell ref="Q27:R27"/>
    <mergeCell ref="S27:T27"/>
    <mergeCell ref="Y27:Z27"/>
    <mergeCell ref="AA27:AB27"/>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4:AB34"/>
    <mergeCell ref="B35:E35"/>
    <mergeCell ref="I35:J35"/>
    <mergeCell ref="K35:L35"/>
    <mergeCell ref="Q35:R35"/>
    <mergeCell ref="S35:T35"/>
    <mergeCell ref="Y35:Z35"/>
    <mergeCell ref="AA35:AB35"/>
    <mergeCell ref="B34:E34"/>
    <mergeCell ref="I34:J34"/>
    <mergeCell ref="K34:L34"/>
    <mergeCell ref="Q34:R34"/>
    <mergeCell ref="S34:T34"/>
    <mergeCell ref="Y34:Z34"/>
    <mergeCell ref="AA36:AB36"/>
    <mergeCell ref="B38:AG38"/>
    <mergeCell ref="B39:E39"/>
    <mergeCell ref="I39:L39"/>
    <mergeCell ref="Q39:T39"/>
    <mergeCell ref="Y39:AB39"/>
    <mergeCell ref="B36:E36"/>
    <mergeCell ref="I36:J36"/>
    <mergeCell ref="K36:L36"/>
    <mergeCell ref="Q36:R36"/>
    <mergeCell ref="S36:T36"/>
    <mergeCell ref="Y36:Z36"/>
    <mergeCell ref="A43:Z43"/>
    <mergeCell ref="A44:Z44"/>
    <mergeCell ref="AA44:AB44"/>
    <mergeCell ref="AD44:AE44"/>
    <mergeCell ref="AF44:AG44"/>
    <mergeCell ref="AA45:AB45"/>
    <mergeCell ref="AD45:AE45"/>
    <mergeCell ref="AF45:AG45"/>
    <mergeCell ref="B40:E40"/>
    <mergeCell ref="I40:L40"/>
    <mergeCell ref="Q40:T40"/>
    <mergeCell ref="Y40:AB40"/>
    <mergeCell ref="B41:E41"/>
    <mergeCell ref="I41:L41"/>
    <mergeCell ref="Q41:T41"/>
    <mergeCell ref="Y41:AB41"/>
    <mergeCell ref="I45:L45"/>
    <mergeCell ref="M46:P46"/>
    <mergeCell ref="Q46:T46"/>
    <mergeCell ref="U46:X46"/>
    <mergeCell ref="Y46:AB46"/>
    <mergeCell ref="AC46:AF46"/>
    <mergeCell ref="AG46:AG47"/>
    <mergeCell ref="N47:P47"/>
    <mergeCell ref="R47:T47"/>
    <mergeCell ref="V47:X47"/>
    <mergeCell ref="Z47:AB47"/>
    <mergeCell ref="AD47:AF47"/>
    <mergeCell ref="F46:F47"/>
    <mergeCell ref="G46:G47"/>
    <mergeCell ref="H46:H47"/>
    <mergeCell ref="I46:L46"/>
    <mergeCell ref="J47:L47"/>
    <mergeCell ref="A56:A57"/>
    <mergeCell ref="B56:B57"/>
    <mergeCell ref="C56:E56"/>
    <mergeCell ref="C57:E57"/>
    <mergeCell ref="A48:A49"/>
    <mergeCell ref="B48:C49"/>
    <mergeCell ref="D48:E48"/>
    <mergeCell ref="D49:E49"/>
    <mergeCell ref="A50:A51"/>
    <mergeCell ref="B50:C51"/>
    <mergeCell ref="D50:E50"/>
    <mergeCell ref="D51:E51"/>
    <mergeCell ref="A46:A47"/>
    <mergeCell ref="B46:E47"/>
    <mergeCell ref="A58:A59"/>
    <mergeCell ref="B58:D59"/>
    <mergeCell ref="E58:E59"/>
    <mergeCell ref="A52:A53"/>
    <mergeCell ref="B52:C53"/>
    <mergeCell ref="D52:E52"/>
    <mergeCell ref="D53:E53"/>
    <mergeCell ref="A54:A55"/>
    <mergeCell ref="B54:C55"/>
    <mergeCell ref="D54:E54"/>
    <mergeCell ref="D55:E55"/>
    <mergeCell ref="B61:E61"/>
    <mergeCell ref="B63:E63"/>
    <mergeCell ref="B64:E64"/>
    <mergeCell ref="B67:AG67"/>
    <mergeCell ref="B68:E68"/>
    <mergeCell ref="I68:J68"/>
    <mergeCell ref="K68:L68"/>
    <mergeCell ref="Q68:R68"/>
    <mergeCell ref="S68:T68"/>
    <mergeCell ref="Y68:Z68"/>
    <mergeCell ref="AA68:AB68"/>
    <mergeCell ref="B65:E66"/>
    <mergeCell ref="B69:E69"/>
    <mergeCell ref="I69:J69"/>
    <mergeCell ref="K69:L69"/>
    <mergeCell ref="Q69:R69"/>
    <mergeCell ref="S69:T69"/>
    <mergeCell ref="Y69:Z69"/>
    <mergeCell ref="AA69:AB69"/>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AA72:AB72"/>
    <mergeCell ref="B73:E73"/>
    <mergeCell ref="I73:J73"/>
    <mergeCell ref="K73:L73"/>
    <mergeCell ref="Q73:R73"/>
    <mergeCell ref="S73:T73"/>
    <mergeCell ref="Y73:Z73"/>
    <mergeCell ref="AA73:AB73"/>
    <mergeCell ref="B72:E72"/>
    <mergeCell ref="I72:J72"/>
    <mergeCell ref="K72:L72"/>
    <mergeCell ref="Q72:R72"/>
    <mergeCell ref="S72:T72"/>
    <mergeCell ref="Y72:Z72"/>
    <mergeCell ref="AA74:AB74"/>
    <mergeCell ref="B75:E75"/>
    <mergeCell ref="I75:J75"/>
    <mergeCell ref="K75:L75"/>
    <mergeCell ref="Q75:R75"/>
    <mergeCell ref="S75:T75"/>
    <mergeCell ref="Y75:Z75"/>
    <mergeCell ref="AA75:AB75"/>
    <mergeCell ref="B74:E74"/>
    <mergeCell ref="I74:J74"/>
    <mergeCell ref="K74:L74"/>
    <mergeCell ref="Q74:R74"/>
    <mergeCell ref="S74:T74"/>
    <mergeCell ref="Y74:Z74"/>
    <mergeCell ref="AA76:AB76"/>
    <mergeCell ref="B77:E77"/>
    <mergeCell ref="I77:J77"/>
    <mergeCell ref="K77:L77"/>
    <mergeCell ref="Q77:R77"/>
    <mergeCell ref="S77:T77"/>
    <mergeCell ref="Y77:Z77"/>
    <mergeCell ref="AA77:AB77"/>
    <mergeCell ref="B76:E76"/>
    <mergeCell ref="I76:J76"/>
    <mergeCell ref="K76:L76"/>
    <mergeCell ref="Q76:R76"/>
    <mergeCell ref="S76:T76"/>
    <mergeCell ref="Y76:Z76"/>
    <mergeCell ref="B82:E82"/>
    <mergeCell ref="I82:L82"/>
    <mergeCell ref="Q82:T82"/>
    <mergeCell ref="Y82:AB82"/>
    <mergeCell ref="B83:E83"/>
    <mergeCell ref="I83:L83"/>
    <mergeCell ref="Q83:T83"/>
    <mergeCell ref="Y83:AB83"/>
    <mergeCell ref="AA78:AB78"/>
    <mergeCell ref="B80:AG80"/>
    <mergeCell ref="B81:E81"/>
    <mergeCell ref="I81:L81"/>
    <mergeCell ref="Q81:T81"/>
    <mergeCell ref="Y81:AB81"/>
    <mergeCell ref="B78:E78"/>
    <mergeCell ref="I78:J78"/>
    <mergeCell ref="K78:L78"/>
    <mergeCell ref="Q78:R78"/>
    <mergeCell ref="S78:T78"/>
    <mergeCell ref="Y78:Z78"/>
  </mergeCells>
  <conditionalFormatting sqref="I40 Y40 Q40">
    <cfRule type="expression" dxfId="194" priority="879">
      <formula>I40&lt;30</formula>
    </cfRule>
    <cfRule type="expression" dxfId="193" priority="880">
      <formula>I40&gt;50</formula>
    </cfRule>
  </conditionalFormatting>
  <conditionalFormatting sqref="I41 Y41 Q41">
    <cfRule type="expression" dxfId="192" priority="877">
      <formula>I41&lt;160</formula>
    </cfRule>
    <cfRule type="expression" dxfId="191" priority="878">
      <formula>I41&gt;220</formula>
    </cfRule>
  </conditionalFormatting>
  <conditionalFormatting sqref="I82 Y82 Q82">
    <cfRule type="expression" dxfId="190" priority="875">
      <formula>I82&lt;30</formula>
    </cfRule>
    <cfRule type="expression" dxfId="189" priority="876">
      <formula>I82&gt;50</formula>
    </cfRule>
  </conditionalFormatting>
  <conditionalFormatting sqref="I83 Y83 Q83">
    <cfRule type="expression" dxfId="188" priority="873">
      <formula>I83&lt;160</formula>
    </cfRule>
    <cfRule type="expression" dxfId="187" priority="874">
      <formula>I83&gt;220</formula>
    </cfRule>
  </conditionalFormatting>
  <conditionalFormatting sqref="AK36:AK37 AS36:AS37 BA36:BA37">
    <cfRule type="cellIs" dxfId="186" priority="633" operator="between">
      <formula>65</formula>
      <formula>66.9</formula>
    </cfRule>
    <cfRule type="cellIs" dxfId="185" priority="634" operator="between">
      <formula>73.1</formula>
      <formula>75</formula>
    </cfRule>
    <cfRule type="expression" dxfId="184" priority="635">
      <formula>AK36&lt;65</formula>
    </cfRule>
    <cfRule type="expression" dxfId="183" priority="636">
      <formula>AK36&gt;75</formula>
    </cfRule>
  </conditionalFormatting>
  <conditionalFormatting sqref="AI36:AI37 AK36:AK37 AQ36:AQ37 AS36:AS37 AY36:AY37 BA36:BA37">
    <cfRule type="expression" dxfId="182" priority="623">
      <formula>AI36&lt;40</formula>
    </cfRule>
    <cfRule type="expression" dxfId="181" priority="624">
      <formula>AI36&gt;60</formula>
    </cfRule>
  </conditionalFormatting>
  <conditionalFormatting sqref="AI35 AK35 AQ35 AS35 AY35 BA35">
    <cfRule type="expression" dxfId="180" priority="611">
      <formula>AI35&lt;50</formula>
    </cfRule>
    <cfRule type="expression" dxfId="179" priority="612">
      <formula>AI35&gt;70</formula>
    </cfRule>
  </conditionalFormatting>
  <conditionalFormatting sqref="AQ35:AT35 AY35:BB35 AH35:AL35">
    <cfRule type="cellIs" dxfId="178" priority="609" operator="between">
      <formula>50</formula>
      <formula>54.9</formula>
    </cfRule>
    <cfRule type="cellIs" dxfId="177" priority="610" operator="between">
      <formula>65.1</formula>
      <formula>70</formula>
    </cfRule>
  </conditionalFormatting>
  <conditionalFormatting sqref="I14 Q14 Y14 I56 Q56 Y56">
    <cfRule type="expression" dxfId="176" priority="402" stopIfTrue="1">
      <formula>I14&lt;135</formula>
    </cfRule>
  </conditionalFormatting>
  <conditionalFormatting sqref="I14 Q14 Y14 I56 Q56 Y56">
    <cfRule type="expression" dxfId="175" priority="401" stopIfTrue="1">
      <formula>I14&gt;145</formula>
    </cfRule>
  </conditionalFormatting>
  <conditionalFormatting sqref="I10 I12 Q10 Q12 Y10 Y12 I52 I54 Q52 Q54 Y52 Y54">
    <cfRule type="cellIs" dxfId="174" priority="392" operator="between">
      <formula>50</formula>
      <formula>54.99</formula>
    </cfRule>
    <cfRule type="cellIs" dxfId="173" priority="393" operator="between">
      <formula>65.01</formula>
      <formula>70</formula>
    </cfRule>
    <cfRule type="expression" dxfId="172" priority="394">
      <formula>I10&lt;50</formula>
    </cfRule>
    <cfRule type="expression" dxfId="171" priority="395">
      <formula>I10&gt;70</formula>
    </cfRule>
  </conditionalFormatting>
  <conditionalFormatting sqref="I6 I8 Q6 Q8 Y6 Y8 I48 I50 Q48 Q50 Y48 Y50">
    <cfRule type="cellIs" dxfId="170" priority="388" operator="between">
      <formula>40</formula>
      <formula>44.99</formula>
    </cfRule>
    <cfRule type="cellIs" dxfId="169" priority="389" operator="between">
      <formula>55.1</formula>
      <formula>60</formula>
    </cfRule>
    <cfRule type="expression" dxfId="168" priority="390">
      <formula>I6&lt;40</formula>
    </cfRule>
    <cfRule type="expression" dxfId="167" priority="391">
      <formula>I6&gt;60</formula>
    </cfRule>
  </conditionalFormatting>
  <conditionalFormatting sqref="I22 Q22 Y22">
    <cfRule type="expression" dxfId="166" priority="384">
      <formula>I22&lt;0.6%</formula>
    </cfRule>
    <cfRule type="expression" dxfId="165" priority="385">
      <formula>I22&gt;1.4%</formula>
    </cfRule>
  </conditionalFormatting>
  <conditionalFormatting sqref="I15 Q15 Y15 I57 Q57 Y57">
    <cfRule type="cellIs" dxfId="164" priority="380" operator="between">
      <formula>7</formula>
      <formula>7.499</formula>
    </cfRule>
    <cfRule type="cellIs" dxfId="163" priority="381" operator="between">
      <formula>9.51</formula>
      <formula>10</formula>
    </cfRule>
    <cfRule type="expression" dxfId="162" priority="382">
      <formula>I15&lt;7</formula>
    </cfRule>
    <cfRule type="expression" dxfId="161" priority="383">
      <formula>I15&gt;10</formula>
    </cfRule>
  </conditionalFormatting>
  <conditionalFormatting sqref="I64:I66">
    <cfRule type="expression" dxfId="160" priority="303">
      <formula>I64&lt;0.6%</formula>
    </cfRule>
    <cfRule type="expression" dxfId="159" priority="304">
      <formula>I64&gt;1.4%</formula>
    </cfRule>
  </conditionalFormatting>
  <conditionalFormatting sqref="Q64:Q66">
    <cfRule type="expression" dxfId="158" priority="276">
      <formula>Q64&lt;0.6%</formula>
    </cfRule>
    <cfRule type="expression" dxfId="157" priority="277">
      <formula>Q64&gt;1.4%</formula>
    </cfRule>
  </conditionalFormatting>
  <conditionalFormatting sqref="Y64:Y66">
    <cfRule type="expression" dxfId="156" priority="249">
      <formula>Y64&lt;0.6%</formula>
    </cfRule>
    <cfRule type="expression" dxfId="155" priority="250">
      <formula>Y64&gt;1.4%</formula>
    </cfRule>
  </conditionalFormatting>
  <conditionalFormatting sqref="I31:L31 Q31:T31 Y31:AB31">
    <cfRule type="expression" dxfId="154" priority="239">
      <formula>I31&lt;22</formula>
    </cfRule>
    <cfRule type="expression" dxfId="153" priority="240">
      <formula>I31&gt;28</formula>
    </cfRule>
  </conditionalFormatting>
  <conditionalFormatting sqref="I27:L30 Q27:T30 Y27:AB30">
    <cfRule type="cellIs" dxfId="152" priority="235" operator="between">
      <formula>50</formula>
      <formula>54.9</formula>
    </cfRule>
    <cfRule type="cellIs" dxfId="151" priority="236" operator="between">
      <formula>65.1</formula>
      <formula>70</formula>
    </cfRule>
    <cfRule type="expression" dxfId="150" priority="237">
      <formula>I27&lt;50</formula>
    </cfRule>
    <cfRule type="expression" dxfId="149" priority="238">
      <formula>I27&gt;70</formula>
    </cfRule>
  </conditionalFormatting>
  <conditionalFormatting sqref="K33 I33 S33 Q33 AA33 Y33">
    <cfRule type="expression" dxfId="148" priority="229">
      <formula>I33&lt;55</formula>
    </cfRule>
    <cfRule type="expression" dxfId="147" priority="230">
      <formula>I33&gt;65</formula>
    </cfRule>
  </conditionalFormatting>
  <conditionalFormatting sqref="K34 S34 AA34">
    <cfRule type="cellIs" dxfId="146" priority="225" operator="between">
      <formula>80</formula>
      <formula>84.9</formula>
    </cfRule>
    <cfRule type="cellIs" dxfId="145" priority="226" operator="between">
      <formula>95.1</formula>
      <formula>100</formula>
    </cfRule>
    <cfRule type="expression" dxfId="144" priority="227">
      <formula>K34&lt;80</formula>
    </cfRule>
    <cfRule type="expression" dxfId="143" priority="228">
      <formula>K34&gt;100</formula>
    </cfRule>
  </conditionalFormatting>
  <conditionalFormatting sqref="K35 I35 S35 Q35 AA35 Y35">
    <cfRule type="expression" dxfId="142" priority="223">
      <formula>I35&lt;40</formula>
    </cfRule>
    <cfRule type="expression" dxfId="141" priority="224">
      <formula>I35&gt;60</formula>
    </cfRule>
  </conditionalFormatting>
  <conditionalFormatting sqref="I36:I37 S36:S37 Q36:Q37 AA36:AA37 Y36:Y37 K36:K37">
    <cfRule type="expression" dxfId="140" priority="221">
      <formula>I36&lt;50</formula>
    </cfRule>
    <cfRule type="expression" dxfId="139" priority="222">
      <formula>I36&gt;70</formula>
    </cfRule>
  </conditionalFormatting>
  <conditionalFormatting sqref="I73:L73 Q73:T73 Y73:AB73">
    <cfRule type="expression" dxfId="138" priority="219">
      <formula>I73&lt;22</formula>
    </cfRule>
    <cfRule type="expression" dxfId="137" priority="220">
      <formula>I73&gt;28</formula>
    </cfRule>
  </conditionalFormatting>
  <conditionalFormatting sqref="I69:L72 Q69:T72 Y69:AB72">
    <cfRule type="cellIs" dxfId="136" priority="215" operator="between">
      <formula>50</formula>
      <formula>54.9</formula>
    </cfRule>
    <cfRule type="cellIs" dxfId="135" priority="216" operator="between">
      <formula>65.1</formula>
      <formula>70</formula>
    </cfRule>
    <cfRule type="expression" dxfId="134" priority="217">
      <formula>I69&lt;50</formula>
    </cfRule>
    <cfRule type="expression" dxfId="133" priority="218">
      <formula>I69&gt;70</formula>
    </cfRule>
  </conditionalFormatting>
  <conditionalFormatting sqref="K75 I75 S75 Q75 AA75 Y75">
    <cfRule type="expression" dxfId="132" priority="209">
      <formula>I75&lt;55</formula>
    </cfRule>
    <cfRule type="expression" dxfId="131" priority="210">
      <formula>I75&gt;65</formula>
    </cfRule>
  </conditionalFormatting>
  <conditionalFormatting sqref="K76 S76 AA76">
    <cfRule type="cellIs" dxfId="130" priority="205" operator="between">
      <formula>80</formula>
      <formula>84.9</formula>
    </cfRule>
    <cfRule type="cellIs" dxfId="129" priority="206" operator="between">
      <formula>95.1</formula>
      <formula>100</formula>
    </cfRule>
    <cfRule type="expression" dxfId="128" priority="207">
      <formula>K76&lt;80</formula>
    </cfRule>
    <cfRule type="expression" dxfId="127" priority="208">
      <formula>K76&gt;100</formula>
    </cfRule>
  </conditionalFormatting>
  <conditionalFormatting sqref="K77 I77 S77 Q77 AA77 Y77">
    <cfRule type="expression" dxfId="126" priority="203">
      <formula>I77&lt;40</formula>
    </cfRule>
    <cfRule type="expression" dxfId="125" priority="204">
      <formula>I77&gt;60</formula>
    </cfRule>
  </conditionalFormatting>
  <conditionalFormatting sqref="I78:I79 S78:S79 Q78:Q79 AA78:AA79 Y78:Y79 K78:K79">
    <cfRule type="expression" dxfId="124" priority="201">
      <formula>I78&lt;50</formula>
    </cfRule>
    <cfRule type="expression" dxfId="123" priority="202">
      <formula>I78&gt;70</formula>
    </cfRule>
  </conditionalFormatting>
  <conditionalFormatting sqref="Q59 Q17 Y17 Y59 I59 I17">
    <cfRule type="cellIs" dxfId="122" priority="198" operator="between">
      <formula>2.21</formula>
      <formula>2.4</formula>
    </cfRule>
    <cfRule type="expression" dxfId="121" priority="199">
      <formula>I17&lt;1.8</formula>
    </cfRule>
    <cfRule type="expression" dxfId="120" priority="200">
      <formula>I17&gt;2.4</formula>
    </cfRule>
  </conditionalFormatting>
  <conditionalFormatting sqref="I58 I16 Q16 Y16 Q58 Y58">
    <cfRule type="cellIs" dxfId="119" priority="194" operator="between">
      <formula>8</formula>
      <formula>9.99</formula>
    </cfRule>
    <cfRule type="cellIs" dxfId="118" priority="195" operator="between">
      <formula>14.1</formula>
      <formula>16</formula>
    </cfRule>
    <cfRule type="expression" dxfId="117" priority="196">
      <formula>I16&lt;8</formula>
    </cfRule>
    <cfRule type="expression" dxfId="116" priority="197">
      <formula>I16&gt;16</formula>
    </cfRule>
  </conditionalFormatting>
  <conditionalFormatting sqref="I32 K32 Q32 S32 Y32 AA32">
    <cfRule type="expression" dxfId="115" priority="157">
      <formula>I32&lt;35</formula>
    </cfRule>
    <cfRule type="expression" dxfId="114" priority="158">
      <formula>I32&gt;45</formula>
    </cfRule>
  </conditionalFormatting>
  <conditionalFormatting sqref="I32:L32 Q32:T32 Y32:AB32">
    <cfRule type="cellIs" dxfId="113" priority="155" operator="between">
      <formula>43.1</formula>
      <formula>45</formula>
    </cfRule>
    <cfRule type="cellIs" dxfId="112" priority="156" operator="between">
      <formula>35</formula>
      <formula>36.9</formula>
    </cfRule>
  </conditionalFormatting>
  <conditionalFormatting sqref="I74">
    <cfRule type="expression" dxfId="111" priority="133">
      <formula>I74&lt;35</formula>
    </cfRule>
    <cfRule type="expression" dxfId="110" priority="134">
      <formula>I74&gt;45</formula>
    </cfRule>
  </conditionalFormatting>
  <conditionalFormatting sqref="I74:J74">
    <cfRule type="cellIs" dxfId="109" priority="131" operator="between">
      <formula>43.1</formula>
      <formula>45</formula>
    </cfRule>
    <cfRule type="cellIs" dxfId="108" priority="132" operator="between">
      <formula>35</formula>
      <formula>36.9</formula>
    </cfRule>
  </conditionalFormatting>
  <conditionalFormatting sqref="K74">
    <cfRule type="expression" dxfId="107" priority="129">
      <formula>K74&lt;35</formula>
    </cfRule>
    <cfRule type="expression" dxfId="106" priority="130">
      <formula>K74&gt;45</formula>
    </cfRule>
  </conditionalFormatting>
  <conditionalFormatting sqref="K74:L74">
    <cfRule type="cellIs" dxfId="105" priority="127" operator="between">
      <formula>43.1</formula>
      <formula>45</formula>
    </cfRule>
    <cfRule type="cellIs" dxfId="104" priority="128" operator="between">
      <formula>35</formula>
      <formula>36.9</formula>
    </cfRule>
  </conditionalFormatting>
  <conditionalFormatting sqref="Q74">
    <cfRule type="expression" dxfId="103" priority="125">
      <formula>Q74&lt;35</formula>
    </cfRule>
    <cfRule type="expression" dxfId="102" priority="126">
      <formula>Q74&gt;45</formula>
    </cfRule>
  </conditionalFormatting>
  <conditionalFormatting sqref="Q74:R74">
    <cfRule type="cellIs" dxfId="101" priority="123" operator="between">
      <formula>43.1</formula>
      <formula>45</formula>
    </cfRule>
    <cfRule type="cellIs" dxfId="100" priority="124" operator="between">
      <formula>35</formula>
      <formula>36.9</formula>
    </cfRule>
  </conditionalFormatting>
  <conditionalFormatting sqref="S74">
    <cfRule type="expression" dxfId="99" priority="121">
      <formula>S74&lt;35</formula>
    </cfRule>
    <cfRule type="expression" dxfId="98" priority="122">
      <formula>S74&gt;45</formula>
    </cfRule>
  </conditionalFormatting>
  <conditionalFormatting sqref="S74:T74">
    <cfRule type="cellIs" dxfId="97" priority="119" operator="between">
      <formula>43.1</formula>
      <formula>45</formula>
    </cfRule>
    <cfRule type="cellIs" dxfId="96" priority="120" operator="between">
      <formula>35</formula>
      <formula>36.9</formula>
    </cfRule>
  </conditionalFormatting>
  <conditionalFormatting sqref="Y74">
    <cfRule type="expression" dxfId="95" priority="117">
      <formula>Y74&lt;35</formula>
    </cfRule>
    <cfRule type="expression" dxfId="94" priority="118">
      <formula>Y74&gt;45</formula>
    </cfRule>
  </conditionalFormatting>
  <conditionalFormatting sqref="Y74:Z74">
    <cfRule type="cellIs" dxfId="93" priority="115" operator="between">
      <formula>43.1</formula>
      <formula>45</formula>
    </cfRule>
    <cfRule type="cellIs" dxfId="92" priority="116" operator="between">
      <formula>35</formula>
      <formula>36.9</formula>
    </cfRule>
  </conditionalFormatting>
  <conditionalFormatting sqref="AA74">
    <cfRule type="expression" dxfId="91" priority="113">
      <formula>AA74&lt;35</formula>
    </cfRule>
    <cfRule type="expression" dxfId="90" priority="114">
      <formula>AA74&gt;45</formula>
    </cfRule>
  </conditionalFormatting>
  <conditionalFormatting sqref="AA74:AB74">
    <cfRule type="cellIs" dxfId="89" priority="111" operator="between">
      <formula>43.1</formula>
      <formula>45</formula>
    </cfRule>
    <cfRule type="cellIs" dxfId="88" priority="112" operator="between">
      <formula>35</formula>
      <formula>36.9</formula>
    </cfRule>
  </conditionalFormatting>
  <conditionalFormatting sqref="I74">
    <cfRule type="expression" dxfId="87" priority="109">
      <formula>I74&lt;35</formula>
    </cfRule>
    <cfRule type="expression" dxfId="86" priority="110">
      <formula>I74&gt;45</formula>
    </cfRule>
  </conditionalFormatting>
  <conditionalFormatting sqref="I74:J74">
    <cfRule type="cellIs" dxfId="85" priority="107" operator="between">
      <formula>43.1</formula>
      <formula>45</formula>
    </cfRule>
    <cfRule type="cellIs" dxfId="84" priority="108" operator="between">
      <formula>35</formula>
      <formula>36.9</formula>
    </cfRule>
  </conditionalFormatting>
  <conditionalFormatting sqref="K74">
    <cfRule type="expression" dxfId="83" priority="105">
      <formula>K74&lt;35</formula>
    </cfRule>
    <cfRule type="expression" dxfId="82" priority="106">
      <formula>K74&gt;45</formula>
    </cfRule>
  </conditionalFormatting>
  <conditionalFormatting sqref="K74:L74">
    <cfRule type="cellIs" dxfId="81" priority="103" operator="between">
      <formula>43.1</formula>
      <formula>45</formula>
    </cfRule>
    <cfRule type="cellIs" dxfId="80" priority="104" operator="between">
      <formula>35</formula>
      <formula>36.9</formula>
    </cfRule>
  </conditionalFormatting>
  <conditionalFormatting sqref="Q74">
    <cfRule type="expression" dxfId="79" priority="101">
      <formula>Q74&lt;35</formula>
    </cfRule>
    <cfRule type="expression" dxfId="78" priority="102">
      <formula>Q74&gt;45</formula>
    </cfRule>
  </conditionalFormatting>
  <conditionalFormatting sqref="Q74:R74">
    <cfRule type="cellIs" dxfId="77" priority="99" operator="between">
      <formula>43.1</formula>
      <formula>45</formula>
    </cfRule>
    <cfRule type="cellIs" dxfId="76" priority="100" operator="between">
      <formula>35</formula>
      <formula>36.9</formula>
    </cfRule>
  </conditionalFormatting>
  <conditionalFormatting sqref="S74">
    <cfRule type="expression" dxfId="75" priority="97">
      <formula>S74&lt;35</formula>
    </cfRule>
    <cfRule type="expression" dxfId="74" priority="98">
      <formula>S74&gt;45</formula>
    </cfRule>
  </conditionalFormatting>
  <conditionalFormatting sqref="S74:T74">
    <cfRule type="cellIs" dxfId="73" priority="95" operator="between">
      <formula>43.1</formula>
      <formula>45</formula>
    </cfRule>
    <cfRule type="cellIs" dxfId="72" priority="96" operator="between">
      <formula>35</formula>
      <formula>36.9</formula>
    </cfRule>
  </conditionalFormatting>
  <conditionalFormatting sqref="Y74">
    <cfRule type="expression" dxfId="71" priority="93">
      <formula>Y74&lt;35</formula>
    </cfRule>
    <cfRule type="expression" dxfId="70" priority="94">
      <formula>Y74&gt;45</formula>
    </cfRule>
  </conditionalFormatting>
  <conditionalFormatting sqref="Y74:Z74">
    <cfRule type="cellIs" dxfId="69" priority="91" operator="between">
      <formula>43.1</formula>
      <formula>45</formula>
    </cfRule>
    <cfRule type="cellIs" dxfId="68" priority="92" operator="between">
      <formula>35</formula>
      <formula>36.9</formula>
    </cfRule>
  </conditionalFormatting>
  <conditionalFormatting sqref="AA74">
    <cfRule type="expression" dxfId="67" priority="89">
      <formula>AA74&lt;35</formula>
    </cfRule>
    <cfRule type="expression" dxfId="66" priority="90">
      <formula>AA74&gt;45</formula>
    </cfRule>
  </conditionalFormatting>
  <conditionalFormatting sqref="AA74:AB74">
    <cfRule type="cellIs" dxfId="65" priority="87" operator="between">
      <formula>43.1</formula>
      <formula>45</formula>
    </cfRule>
    <cfRule type="cellIs" dxfId="64" priority="88" operator="between">
      <formula>35</formula>
      <formula>36.9</formula>
    </cfRule>
  </conditionalFormatting>
  <conditionalFormatting sqref="I23 Q23 Y23">
    <cfRule type="cellIs" dxfId="63" priority="83" operator="between">
      <formula>5</formula>
      <formula>5.499</formula>
    </cfRule>
    <cfRule type="cellIs" dxfId="62" priority="84" operator="between">
      <formula>6.51</formula>
      <formula>8</formula>
    </cfRule>
    <cfRule type="expression" dxfId="61" priority="85">
      <formula>I23&lt;5</formula>
    </cfRule>
    <cfRule type="expression" dxfId="60" priority="86">
      <formula>I23&gt;8</formula>
    </cfRule>
  </conditionalFormatting>
  <conditionalFormatting sqref="I24 Q24 Y24">
    <cfRule type="cellIs" dxfId="59" priority="79" operator="between">
      <formula>1.8</formula>
      <formula>1.999</formula>
    </cfRule>
    <cfRule type="cellIs" dxfId="58" priority="80" operator="between">
      <formula>2.21</formula>
      <formula>2.4</formula>
    </cfRule>
    <cfRule type="expression" dxfId="57" priority="81">
      <formula>I24&lt;1.8</formula>
    </cfRule>
    <cfRule type="expression" dxfId="56" priority="82">
      <formula>I24&gt;2.4</formula>
    </cfRule>
  </conditionalFormatting>
  <conditionalFormatting sqref="I65">
    <cfRule type="cellIs" dxfId="55" priority="59" operator="between">
      <formula>5</formula>
      <formula>5.499</formula>
    </cfRule>
    <cfRule type="cellIs" dxfId="54" priority="60" operator="between">
      <formula>6.51</formula>
      <formula>8</formula>
    </cfRule>
    <cfRule type="expression" dxfId="53" priority="61">
      <formula>I65&lt;5</formula>
    </cfRule>
    <cfRule type="expression" dxfId="52" priority="62">
      <formula>I65&gt;8</formula>
    </cfRule>
  </conditionalFormatting>
  <conditionalFormatting sqref="I66">
    <cfRule type="cellIs" dxfId="51" priority="55" operator="between">
      <formula>1.8</formula>
      <formula>1.999</formula>
    </cfRule>
    <cfRule type="cellIs" dxfId="50" priority="56" operator="between">
      <formula>2.21</formula>
      <formula>2.4</formula>
    </cfRule>
    <cfRule type="expression" dxfId="49" priority="57">
      <formula>I66&lt;1.8</formula>
    </cfRule>
    <cfRule type="expression" dxfId="48" priority="58">
      <formula>I66&gt;2.4</formula>
    </cfRule>
  </conditionalFormatting>
  <conditionalFormatting sqref="Q65">
    <cfRule type="cellIs" dxfId="47" priority="51" operator="between">
      <formula>5</formula>
      <formula>5.499</formula>
    </cfRule>
    <cfRule type="cellIs" dxfId="46" priority="52" operator="between">
      <formula>6.51</formula>
      <formula>8</formula>
    </cfRule>
    <cfRule type="expression" dxfId="45" priority="53">
      <formula>Q65&lt;5</formula>
    </cfRule>
    <cfRule type="expression" dxfId="44" priority="54">
      <formula>Q65&gt;8</formula>
    </cfRule>
  </conditionalFormatting>
  <conditionalFormatting sqref="Q66">
    <cfRule type="cellIs" dxfId="43" priority="47" operator="between">
      <formula>1.8</formula>
      <formula>1.999</formula>
    </cfRule>
    <cfRule type="cellIs" dxfId="42" priority="48" operator="between">
      <formula>2.21</formula>
      <formula>2.4</formula>
    </cfRule>
    <cfRule type="expression" dxfId="41" priority="49">
      <formula>Q66&lt;1.8</formula>
    </cfRule>
    <cfRule type="expression" dxfId="40" priority="50">
      <formula>Q66&gt;2.4</formula>
    </cfRule>
  </conditionalFormatting>
  <conditionalFormatting sqref="Y65">
    <cfRule type="cellIs" dxfId="39" priority="43" operator="between">
      <formula>5</formula>
      <formula>5.499</formula>
    </cfRule>
    <cfRule type="cellIs" dxfId="38" priority="44" operator="between">
      <formula>6.51</formula>
      <formula>8</formula>
    </cfRule>
    <cfRule type="expression" dxfId="37" priority="45">
      <formula>Y65&lt;5</formula>
    </cfRule>
    <cfRule type="expression" dxfId="36" priority="46">
      <formula>Y65&gt;8</formula>
    </cfRule>
  </conditionalFormatting>
  <conditionalFormatting sqref="Y66">
    <cfRule type="cellIs" dxfId="35" priority="39" operator="between">
      <formula>1.8</formula>
      <formula>1.999</formula>
    </cfRule>
    <cfRule type="cellIs" dxfId="34" priority="40" operator="between">
      <formula>2.21</formula>
      <formula>2.4</formula>
    </cfRule>
    <cfRule type="expression" dxfId="33" priority="41">
      <formula>Y66&lt;1.8</formula>
    </cfRule>
    <cfRule type="expression" dxfId="32" priority="42">
      <formula>Y66&gt;2.4</formula>
    </cfRule>
  </conditionalFormatting>
  <conditionalFormatting sqref="I18">
    <cfRule type="expression" dxfId="31" priority="33">
      <formula>I18&lt;40%</formula>
    </cfRule>
    <cfRule type="expression" dxfId="30" priority="34">
      <formula>I18&gt;50%</formula>
    </cfRule>
  </conditionalFormatting>
  <conditionalFormatting sqref="I20:I21">
    <cfRule type="expression" dxfId="29" priority="31">
      <formula>I20&lt;40%</formula>
    </cfRule>
    <cfRule type="expression" dxfId="28" priority="32">
      <formula>I20&gt;50%</formula>
    </cfRule>
  </conditionalFormatting>
  <conditionalFormatting sqref="Q18">
    <cfRule type="expression" dxfId="27" priority="27">
      <formula>Q18&lt;40%</formula>
    </cfRule>
    <cfRule type="expression" dxfId="26" priority="28">
      <formula>Q18&gt;50%</formula>
    </cfRule>
  </conditionalFormatting>
  <conditionalFormatting sqref="Q20:Q21">
    <cfRule type="expression" dxfId="25" priority="25">
      <formula>Q20&lt;40%</formula>
    </cfRule>
    <cfRule type="expression" dxfId="24" priority="26">
      <formula>Q20&gt;50%</formula>
    </cfRule>
  </conditionalFormatting>
  <conditionalFormatting sqref="Y18">
    <cfRule type="expression" dxfId="23" priority="21">
      <formula>Y18&lt;40%</formula>
    </cfRule>
    <cfRule type="expression" dxfId="22" priority="22">
      <formula>Y18&gt;50%</formula>
    </cfRule>
  </conditionalFormatting>
  <conditionalFormatting sqref="Y20:Y21">
    <cfRule type="expression" dxfId="21" priority="19">
      <formula>Y20&lt;40%</formula>
    </cfRule>
    <cfRule type="expression" dxfId="20" priority="20">
      <formula>Y20&gt;50%</formula>
    </cfRule>
  </conditionalFormatting>
  <conditionalFormatting sqref="I60">
    <cfRule type="expression" dxfId="19" priority="15">
      <formula>I60&lt;40%</formula>
    </cfRule>
    <cfRule type="expression" dxfId="18" priority="16">
      <formula>I60&gt;50%</formula>
    </cfRule>
  </conditionalFormatting>
  <conditionalFormatting sqref="I62:I63">
    <cfRule type="expression" dxfId="17" priority="13">
      <formula>I62&lt;40%</formula>
    </cfRule>
    <cfRule type="expression" dxfId="16" priority="14">
      <formula>I62&gt;50%</formula>
    </cfRule>
  </conditionalFormatting>
  <conditionalFormatting sqref="Q60">
    <cfRule type="expression" dxfId="15" priority="9">
      <formula>Q60&lt;40%</formula>
    </cfRule>
    <cfRule type="expression" dxfId="14" priority="10">
      <formula>Q60&gt;50%</formula>
    </cfRule>
  </conditionalFormatting>
  <conditionalFormatting sqref="Q62:Q63">
    <cfRule type="expression" dxfId="13" priority="7">
      <formula>Q62&lt;40%</formula>
    </cfRule>
    <cfRule type="expression" dxfId="12" priority="8">
      <formula>Q62&gt;50%</formula>
    </cfRule>
  </conditionalFormatting>
  <conditionalFormatting sqref="Y60">
    <cfRule type="expression" dxfId="11" priority="3">
      <formula>Y60&lt;40%</formula>
    </cfRule>
    <cfRule type="expression" dxfId="10" priority="4">
      <formula>Y60&gt;50%</formula>
    </cfRule>
  </conditionalFormatting>
  <conditionalFormatting sqref="Y62:Y63">
    <cfRule type="expression" dxfId="9" priority="1">
      <formula>Y62&lt;40%</formula>
    </cfRule>
    <cfRule type="expression" dxfId="8" priority="2">
      <formula>Y62&gt;50%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legacyDrawing r:id="rId3"/>
</worksheet>
</file>

<file path=xl/worksheets/sheet53.xml><?xml version="1.0" encoding="utf-8"?>
<worksheet xmlns="http://schemas.openxmlformats.org/spreadsheetml/2006/main" xmlns:r="http://schemas.openxmlformats.org/officeDocument/2006/relationships">
  <sheetPr>
    <tabColor rgb="FFCCFF66"/>
  </sheetPr>
  <dimension ref="A1:N60"/>
  <sheetViews>
    <sheetView zoomScale="70" zoomScaleNormal="70" workbookViewId="0">
      <pane xSplit="1" ySplit="2" topLeftCell="B48" activePane="bottomRight" state="frozen"/>
      <selection pane="topRight" activeCell="B1" sqref="B1"/>
      <selection pane="bottomLeft" activeCell="A3" sqref="A3"/>
      <selection pane="bottomRight" activeCell="A54" sqref="A54:A60"/>
    </sheetView>
  </sheetViews>
  <sheetFormatPr defaultRowHeight="15.75"/>
  <cols>
    <col min="1" max="1" width="18.25" style="265" customWidth="1"/>
    <col min="2" max="2" width="42.5" style="265" customWidth="1"/>
    <col min="3" max="3" width="101.875" style="1224" customWidth="1"/>
    <col min="4" max="4" width="23.5" style="265" customWidth="1"/>
    <col min="5" max="5" width="18.125" style="265" customWidth="1"/>
    <col min="6" max="6" width="7.625" style="265" customWidth="1"/>
    <col min="7" max="7" width="18.125" style="265" customWidth="1"/>
    <col min="8" max="8" width="7.125" style="265" customWidth="1"/>
    <col min="9" max="10" width="18.125" style="265" customWidth="1"/>
    <col min="11" max="11" width="12" style="265" customWidth="1"/>
    <col min="12" max="12" width="24.75" style="265" customWidth="1"/>
    <col min="13" max="16384" width="9" style="265"/>
  </cols>
  <sheetData>
    <row r="1" spans="1:3" ht="39" customHeight="1">
      <c r="B1" s="3844" t="s">
        <v>1610</v>
      </c>
      <c r="C1" s="3844"/>
    </row>
    <row r="2" spans="1:3" ht="41.25" customHeight="1">
      <c r="A2" s="2456" t="s">
        <v>1605</v>
      </c>
      <c r="B2" s="2472" t="s">
        <v>1603</v>
      </c>
      <c r="C2" s="2456" t="s">
        <v>1005</v>
      </c>
    </row>
    <row r="3" spans="1:3" ht="36" customHeight="1">
      <c r="A3" s="3841" t="s">
        <v>1604</v>
      </c>
      <c r="B3" s="2457" t="s">
        <v>77</v>
      </c>
      <c r="C3" s="3849" t="s">
        <v>1010</v>
      </c>
    </row>
    <row r="4" spans="1:3" ht="36" customHeight="1">
      <c r="A4" s="3841"/>
      <c r="B4" s="2457" t="s">
        <v>78</v>
      </c>
      <c r="C4" s="3849"/>
    </row>
    <row r="5" spans="1:3" ht="36" customHeight="1">
      <c r="A5" s="3841"/>
      <c r="B5" s="2457" t="s">
        <v>49</v>
      </c>
      <c r="C5" s="3849"/>
    </row>
    <row r="6" spans="1:3" ht="36" customHeight="1">
      <c r="A6" s="3841"/>
      <c r="B6" s="2457" t="s">
        <v>50</v>
      </c>
      <c r="C6" s="3849"/>
    </row>
    <row r="7" spans="1:3" ht="36" customHeight="1">
      <c r="A7" s="3841"/>
      <c r="B7" s="102" t="s">
        <v>56</v>
      </c>
      <c r="C7" s="2458" t="s">
        <v>1299</v>
      </c>
    </row>
    <row r="8" spans="1:3" ht="36" customHeight="1">
      <c r="A8" s="3841"/>
      <c r="B8" s="2455" t="s">
        <v>57</v>
      </c>
      <c r="C8" s="2458" t="s">
        <v>1019</v>
      </c>
    </row>
    <row r="9" spans="1:3" ht="36" customHeight="1">
      <c r="A9" s="3841"/>
      <c r="B9" s="2453" t="s">
        <v>978</v>
      </c>
      <c r="C9" s="2458" t="s">
        <v>1009</v>
      </c>
    </row>
    <row r="10" spans="1:3" ht="36" customHeight="1">
      <c r="A10" s="3841"/>
      <c r="B10" s="102" t="s">
        <v>58</v>
      </c>
      <c r="C10" s="3849" t="s">
        <v>1006</v>
      </c>
    </row>
    <row r="11" spans="1:3" ht="36" customHeight="1">
      <c r="A11" s="3841"/>
      <c r="B11" s="102" t="s">
        <v>59</v>
      </c>
      <c r="C11" s="3849"/>
    </row>
    <row r="12" spans="1:3" ht="36" customHeight="1">
      <c r="A12" s="3841"/>
      <c r="B12" s="102" t="s">
        <v>60</v>
      </c>
      <c r="C12" s="2458" t="s">
        <v>1007</v>
      </c>
    </row>
    <row r="13" spans="1:3" ht="36" customHeight="1">
      <c r="A13" s="3841"/>
      <c r="B13" s="102" t="s">
        <v>146</v>
      </c>
      <c r="C13" s="2458" t="s">
        <v>1601</v>
      </c>
    </row>
    <row r="14" spans="1:3" ht="36" customHeight="1">
      <c r="A14" s="3841"/>
      <c r="B14" s="102" t="s">
        <v>1550</v>
      </c>
      <c r="C14" s="2458" t="s">
        <v>1551</v>
      </c>
    </row>
    <row r="15" spans="1:3" ht="36" customHeight="1">
      <c r="A15" s="3841" t="s">
        <v>1606</v>
      </c>
      <c r="B15" s="2466" t="s">
        <v>1485</v>
      </c>
      <c r="C15" s="3846" t="s">
        <v>1300</v>
      </c>
    </row>
    <row r="16" spans="1:3" ht="36" customHeight="1">
      <c r="A16" s="3841"/>
      <c r="B16" s="2466" t="s">
        <v>1486</v>
      </c>
      <c r="C16" s="3847"/>
    </row>
    <row r="17" spans="1:13" ht="36" customHeight="1">
      <c r="A17" s="3841"/>
      <c r="B17" s="2466" t="s">
        <v>1487</v>
      </c>
      <c r="C17" s="3847"/>
    </row>
    <row r="18" spans="1:13" ht="36" customHeight="1">
      <c r="A18" s="3841"/>
      <c r="B18" s="2466" t="s">
        <v>1489</v>
      </c>
      <c r="C18" s="3848"/>
    </row>
    <row r="19" spans="1:13" ht="36" customHeight="1">
      <c r="A19" s="3841"/>
      <c r="B19" s="2460" t="s">
        <v>56</v>
      </c>
      <c r="C19" s="2458" t="s">
        <v>1299</v>
      </c>
    </row>
    <row r="20" spans="1:13" ht="36" customHeight="1">
      <c r="A20" s="3841"/>
      <c r="B20" s="2452" t="s">
        <v>57</v>
      </c>
      <c r="C20" s="2458" t="s">
        <v>1019</v>
      </c>
    </row>
    <row r="21" spans="1:13" ht="36" customHeight="1">
      <c r="A21" s="3841"/>
      <c r="B21" s="2465" t="s">
        <v>1022</v>
      </c>
      <c r="C21" s="2458" t="s">
        <v>1301</v>
      </c>
    </row>
    <row r="22" spans="1:13" ht="36" customHeight="1">
      <c r="A22" s="3841"/>
      <c r="B22" s="2460" t="s">
        <v>58</v>
      </c>
      <c r="C22" s="3849" t="s">
        <v>1006</v>
      </c>
    </row>
    <row r="23" spans="1:13" ht="36" customHeight="1">
      <c r="A23" s="3841"/>
      <c r="B23" s="2460" t="s">
        <v>59</v>
      </c>
      <c r="C23" s="3849"/>
    </row>
    <row r="24" spans="1:13" ht="36" customHeight="1">
      <c r="A24" s="3841"/>
      <c r="B24" s="2460" t="s">
        <v>60</v>
      </c>
      <c r="C24" s="2458" t="s">
        <v>1007</v>
      </c>
    </row>
    <row r="25" spans="1:13" ht="36" customHeight="1">
      <c r="A25" s="3841"/>
      <c r="B25" s="2460" t="s">
        <v>146</v>
      </c>
      <c r="C25" s="2458" t="s">
        <v>1601</v>
      </c>
    </row>
    <row r="26" spans="1:13" ht="36" customHeight="1">
      <c r="A26" s="3841"/>
      <c r="B26" s="2467" t="s">
        <v>832</v>
      </c>
      <c r="C26" s="2470" t="s">
        <v>1602</v>
      </c>
    </row>
    <row r="27" spans="1:13" ht="36" customHeight="1">
      <c r="A27" s="3841" t="s">
        <v>1607</v>
      </c>
      <c r="B27" s="2466" t="s">
        <v>1490</v>
      </c>
      <c r="C27" s="3850" t="s">
        <v>1300</v>
      </c>
      <c r="D27" s="1047"/>
      <c r="E27" s="1047"/>
      <c r="F27" s="1047"/>
      <c r="G27" s="1047"/>
      <c r="H27" s="1047"/>
      <c r="I27" s="1047"/>
      <c r="J27" s="1047"/>
      <c r="K27" s="1047"/>
      <c r="L27" s="1047"/>
      <c r="M27" s="1047"/>
    </row>
    <row r="28" spans="1:13" ht="36" customHeight="1">
      <c r="A28" s="3841"/>
      <c r="B28" s="2466" t="s">
        <v>1491</v>
      </c>
      <c r="C28" s="3851"/>
      <c r="D28" s="1047"/>
      <c r="E28" s="1047"/>
      <c r="F28" s="1047"/>
      <c r="G28" s="1047"/>
      <c r="H28" s="1047"/>
      <c r="I28" s="1047"/>
      <c r="J28" s="1047"/>
      <c r="K28" s="1047"/>
      <c r="L28" s="1047"/>
      <c r="M28" s="1047"/>
    </row>
    <row r="29" spans="1:13" ht="36" customHeight="1">
      <c r="A29" s="3841"/>
      <c r="B29" s="2466" t="s">
        <v>1492</v>
      </c>
      <c r="C29" s="3851"/>
      <c r="D29" s="1047"/>
      <c r="E29" s="1047"/>
      <c r="F29" s="1047"/>
      <c r="G29" s="1047"/>
      <c r="H29" s="1047"/>
      <c r="I29" s="1047"/>
      <c r="J29" s="1047"/>
      <c r="K29" s="1047"/>
      <c r="L29" s="1047"/>
      <c r="M29" s="1047"/>
    </row>
    <row r="30" spans="1:13" ht="36" customHeight="1">
      <c r="A30" s="3841"/>
      <c r="B30" s="2466" t="s">
        <v>1493</v>
      </c>
      <c r="C30" s="3852"/>
      <c r="D30" s="1047"/>
      <c r="E30" s="1047"/>
      <c r="F30" s="1047"/>
      <c r="G30" s="1047"/>
      <c r="H30" s="1047"/>
      <c r="I30" s="1047"/>
      <c r="J30" s="1047"/>
      <c r="K30" s="1047"/>
      <c r="L30" s="1047"/>
      <c r="M30" s="1047"/>
    </row>
    <row r="31" spans="1:13" ht="36" customHeight="1">
      <c r="A31" s="3841"/>
      <c r="B31" s="2461" t="s">
        <v>80</v>
      </c>
      <c r="C31" s="2458" t="s">
        <v>1299</v>
      </c>
      <c r="D31" s="1047"/>
      <c r="E31" s="1047"/>
      <c r="F31" s="1047"/>
      <c r="G31" s="1047"/>
      <c r="H31" s="1047"/>
      <c r="I31" s="1047"/>
      <c r="J31" s="1047"/>
      <c r="K31" s="1047"/>
      <c r="L31" s="1047"/>
      <c r="M31" s="1047"/>
    </row>
    <row r="32" spans="1:13" ht="36" customHeight="1">
      <c r="A32" s="3841"/>
      <c r="B32" s="2452" t="s">
        <v>81</v>
      </c>
      <c r="C32" s="2458" t="s">
        <v>1019</v>
      </c>
      <c r="D32" s="1047"/>
      <c r="E32" s="1047"/>
      <c r="F32" s="1047"/>
      <c r="G32" s="1047"/>
      <c r="H32" s="1047"/>
      <c r="I32" s="1047"/>
      <c r="J32" s="1047"/>
      <c r="K32" s="1047"/>
      <c r="L32" s="1047"/>
      <c r="M32" s="1047"/>
    </row>
    <row r="33" spans="1:13" ht="36" customHeight="1">
      <c r="A33" s="3841"/>
      <c r="B33" s="2465" t="s">
        <v>1585</v>
      </c>
      <c r="C33" s="2458" t="s">
        <v>1301</v>
      </c>
      <c r="D33" s="1047"/>
      <c r="E33" s="1047"/>
      <c r="F33" s="1047"/>
      <c r="G33" s="1047"/>
      <c r="H33" s="1047"/>
      <c r="I33" s="1047"/>
      <c r="J33" s="1047"/>
      <c r="K33" s="1047"/>
      <c r="L33" s="1047"/>
      <c r="M33" s="1047"/>
    </row>
    <row r="34" spans="1:13" ht="36" customHeight="1">
      <c r="A34" s="3841"/>
      <c r="B34" s="102" t="s">
        <v>1577</v>
      </c>
      <c r="C34" s="3849" t="s">
        <v>1008</v>
      </c>
      <c r="D34" s="1047"/>
      <c r="E34" s="1047"/>
      <c r="F34" s="1047"/>
      <c r="G34" s="1047"/>
      <c r="H34" s="1047"/>
      <c r="I34" s="1047"/>
      <c r="J34" s="1047"/>
      <c r="K34" s="1047"/>
      <c r="L34" s="1047"/>
      <c r="M34" s="1047"/>
    </row>
    <row r="35" spans="1:13" ht="36" customHeight="1">
      <c r="A35" s="3841"/>
      <c r="B35" s="102" t="s">
        <v>1578</v>
      </c>
      <c r="C35" s="3849"/>
      <c r="D35" s="1047"/>
      <c r="E35" s="1047"/>
      <c r="F35" s="1047"/>
      <c r="G35" s="1047"/>
      <c r="H35" s="1047"/>
      <c r="I35" s="1047"/>
      <c r="J35" s="1047"/>
      <c r="K35" s="1047"/>
      <c r="L35" s="1047"/>
      <c r="M35" s="1047"/>
    </row>
    <row r="36" spans="1:13" ht="36" customHeight="1">
      <c r="A36" s="3841"/>
      <c r="B36" s="102" t="s">
        <v>83</v>
      </c>
      <c r="C36" s="3849"/>
      <c r="D36" s="1047"/>
      <c r="E36" s="1047"/>
      <c r="F36" s="1047"/>
      <c r="G36" s="1047"/>
      <c r="H36" s="1047"/>
      <c r="I36" s="1047"/>
      <c r="J36" s="1047"/>
      <c r="K36" s="1047"/>
      <c r="L36" s="1047"/>
      <c r="M36" s="1047"/>
    </row>
    <row r="37" spans="1:13" ht="36" customHeight="1">
      <c r="A37" s="3841"/>
      <c r="B37" s="102" t="s">
        <v>82</v>
      </c>
      <c r="C37" s="3849"/>
      <c r="D37" s="1047"/>
      <c r="E37" s="1047"/>
      <c r="F37" s="1047"/>
      <c r="G37" s="1047"/>
      <c r="H37" s="1047"/>
      <c r="I37" s="1047"/>
      <c r="J37" s="1047"/>
      <c r="K37" s="1047"/>
      <c r="L37" s="1047"/>
      <c r="M37" s="1047"/>
    </row>
    <row r="38" spans="1:13" ht="36" customHeight="1">
      <c r="A38" s="3841"/>
      <c r="B38" s="102" t="s">
        <v>148</v>
      </c>
      <c r="C38" s="2458" t="s">
        <v>1601</v>
      </c>
      <c r="D38" s="1047"/>
      <c r="E38" s="1047"/>
      <c r="F38" s="1047"/>
      <c r="G38" s="1047"/>
      <c r="H38" s="1047"/>
      <c r="I38" s="1047"/>
      <c r="J38" s="1047"/>
      <c r="K38" s="1047"/>
      <c r="L38" s="1047"/>
      <c r="M38" s="1047"/>
    </row>
    <row r="39" spans="1:13" ht="36" customHeight="1">
      <c r="A39" s="3841"/>
      <c r="B39" s="2468" t="s">
        <v>1568</v>
      </c>
      <c r="C39" s="2458" t="s">
        <v>1602</v>
      </c>
      <c r="D39" s="1047"/>
      <c r="E39" s="1047"/>
      <c r="F39" s="1047"/>
      <c r="G39" s="1047"/>
      <c r="H39" s="1047"/>
      <c r="I39" s="1047"/>
      <c r="J39" s="1047"/>
      <c r="K39" s="1047"/>
      <c r="L39" s="1047"/>
      <c r="M39" s="1047"/>
    </row>
    <row r="40" spans="1:13" ht="36" customHeight="1">
      <c r="A40" s="3841"/>
      <c r="B40" s="1361" t="s">
        <v>193</v>
      </c>
      <c r="C40" s="2458" t="s">
        <v>1108</v>
      </c>
      <c r="D40" s="1047"/>
      <c r="E40" s="1047"/>
      <c r="F40" s="1047"/>
      <c r="G40" s="1047"/>
      <c r="H40" s="1047"/>
      <c r="I40" s="1047"/>
      <c r="J40" s="1047"/>
      <c r="K40" s="1047"/>
      <c r="L40" s="1047"/>
      <c r="M40" s="1047"/>
    </row>
    <row r="41" spans="1:13" ht="36" customHeight="1">
      <c r="A41" s="3841"/>
      <c r="B41" s="1361" t="s">
        <v>192</v>
      </c>
      <c r="C41" s="2458" t="s">
        <v>1299</v>
      </c>
      <c r="D41" s="1047"/>
      <c r="E41" s="1047"/>
      <c r="F41" s="1047"/>
      <c r="G41" s="1047"/>
      <c r="H41" s="1047"/>
      <c r="I41" s="1047"/>
      <c r="J41" s="1047"/>
      <c r="K41" s="1047"/>
      <c r="L41" s="1047"/>
      <c r="M41" s="1047"/>
    </row>
    <row r="42" spans="1:13" ht="36" customHeight="1">
      <c r="A42" s="3841" t="s">
        <v>1609</v>
      </c>
      <c r="B42" s="2457" t="s">
        <v>449</v>
      </c>
      <c r="C42" s="2469" t="s">
        <v>1012</v>
      </c>
      <c r="D42" s="12"/>
      <c r="E42" s="12"/>
      <c r="F42" s="12"/>
      <c r="G42" s="12"/>
      <c r="H42" s="12"/>
      <c r="I42" s="12"/>
      <c r="J42" s="12"/>
      <c r="K42" s="12"/>
    </row>
    <row r="43" spans="1:13" ht="36" customHeight="1">
      <c r="A43" s="3841"/>
      <c r="B43" s="2457" t="s">
        <v>838</v>
      </c>
      <c r="C43" s="2469" t="s">
        <v>1011</v>
      </c>
      <c r="D43" s="12"/>
      <c r="E43" s="12"/>
      <c r="F43" s="12"/>
      <c r="G43" s="12"/>
      <c r="H43" s="12"/>
      <c r="I43" s="12"/>
      <c r="J43" s="12"/>
      <c r="K43" s="12"/>
    </row>
    <row r="44" spans="1:13" ht="36" customHeight="1">
      <c r="A44" s="3841"/>
      <c r="B44" s="2457" t="s">
        <v>785</v>
      </c>
      <c r="C44" s="2469" t="s">
        <v>1013</v>
      </c>
      <c r="D44" s="12"/>
      <c r="E44" s="12"/>
      <c r="F44" s="12"/>
      <c r="G44" s="12"/>
      <c r="H44" s="12"/>
      <c r="I44" s="12"/>
      <c r="J44" s="12"/>
      <c r="K44" s="12"/>
    </row>
    <row r="45" spans="1:13" ht="36" customHeight="1">
      <c r="A45" s="3841"/>
      <c r="B45" s="2457" t="s">
        <v>786</v>
      </c>
      <c r="C45" s="2469" t="s">
        <v>1014</v>
      </c>
      <c r="D45" s="12"/>
      <c r="E45" s="12"/>
      <c r="F45" s="12"/>
      <c r="G45" s="12"/>
      <c r="H45" s="12"/>
      <c r="I45" s="12"/>
      <c r="J45" s="12"/>
      <c r="K45" s="12"/>
    </row>
    <row r="46" spans="1:13" ht="36" customHeight="1">
      <c r="A46" s="3841"/>
      <c r="B46" s="2457" t="s">
        <v>787</v>
      </c>
      <c r="C46" s="2469" t="s">
        <v>1015</v>
      </c>
      <c r="D46" s="12"/>
      <c r="E46" s="12"/>
      <c r="F46" s="12"/>
      <c r="G46" s="12"/>
      <c r="H46" s="12"/>
      <c r="I46" s="12"/>
      <c r="J46" s="12"/>
      <c r="K46" s="12"/>
    </row>
    <row r="47" spans="1:13" ht="36" customHeight="1">
      <c r="A47" s="3841"/>
      <c r="B47" s="2457" t="s">
        <v>440</v>
      </c>
      <c r="C47" s="2471"/>
      <c r="D47" s="12"/>
      <c r="E47" s="12"/>
      <c r="F47" s="12"/>
      <c r="G47" s="12"/>
      <c r="H47" s="12"/>
      <c r="I47" s="12"/>
      <c r="J47" s="12"/>
      <c r="K47" s="12"/>
    </row>
    <row r="48" spans="1:13" ht="36" customHeight="1">
      <c r="A48" s="3841" t="s">
        <v>1608</v>
      </c>
      <c r="B48" s="2457" t="s">
        <v>528</v>
      </c>
      <c r="C48" s="3845" t="s">
        <v>1020</v>
      </c>
      <c r="D48" s="12"/>
      <c r="E48" s="12"/>
      <c r="F48" s="12"/>
      <c r="G48" s="12"/>
      <c r="H48" s="12"/>
      <c r="I48" s="12"/>
      <c r="J48" s="12"/>
      <c r="K48" s="12"/>
    </row>
    <row r="49" spans="1:14" ht="36" customHeight="1">
      <c r="A49" s="3841"/>
      <c r="B49" s="2457" t="s">
        <v>532</v>
      </c>
      <c r="C49" s="3845"/>
      <c r="D49" s="12"/>
      <c r="E49" s="12"/>
      <c r="F49" s="12"/>
      <c r="G49" s="12"/>
      <c r="H49" s="12"/>
      <c r="I49" s="12"/>
      <c r="J49" s="12"/>
      <c r="K49" s="12"/>
    </row>
    <row r="50" spans="1:14" ht="36" customHeight="1">
      <c r="A50" s="3841"/>
      <c r="B50" s="2457" t="s">
        <v>534</v>
      </c>
      <c r="C50" s="2469" t="s">
        <v>1021</v>
      </c>
      <c r="D50" s="12"/>
      <c r="E50" s="12"/>
      <c r="F50" s="12"/>
      <c r="G50" s="12"/>
      <c r="H50" s="12"/>
      <c r="I50" s="12"/>
      <c r="J50" s="12"/>
      <c r="K50" s="12"/>
    </row>
    <row r="51" spans="1:14" ht="36" customHeight="1">
      <c r="A51" s="3841"/>
      <c r="B51" s="2457" t="s">
        <v>1093</v>
      </c>
      <c r="C51" s="2469" t="s">
        <v>1016</v>
      </c>
      <c r="D51" s="12"/>
      <c r="E51" s="12"/>
      <c r="F51" s="12"/>
      <c r="G51" s="12"/>
      <c r="H51" s="12"/>
      <c r="I51" s="12"/>
      <c r="J51" s="12"/>
      <c r="K51" s="12"/>
    </row>
    <row r="52" spans="1:14" ht="36" customHeight="1">
      <c r="A52" s="3841"/>
      <c r="B52" s="2457" t="s">
        <v>1094</v>
      </c>
      <c r="C52" s="2469" t="s">
        <v>1017</v>
      </c>
      <c r="D52" s="12"/>
      <c r="E52" s="12"/>
      <c r="F52" s="12"/>
      <c r="G52" s="12"/>
      <c r="H52" s="12"/>
      <c r="I52" s="12"/>
      <c r="J52" s="12"/>
      <c r="K52" s="12"/>
    </row>
    <row r="53" spans="1:14" ht="36" customHeight="1">
      <c r="A53" s="3841"/>
      <c r="B53" s="2457" t="s">
        <v>545</v>
      </c>
      <c r="C53" s="2469" t="s">
        <v>1018</v>
      </c>
      <c r="D53" s="12"/>
      <c r="E53" s="12"/>
      <c r="F53" s="12"/>
      <c r="G53" s="12"/>
      <c r="H53" s="12"/>
      <c r="I53" s="12"/>
      <c r="J53" s="12"/>
      <c r="K53" s="12"/>
    </row>
    <row r="54" spans="1:14" ht="45" customHeight="1">
      <c r="A54" s="3841" t="s">
        <v>772</v>
      </c>
      <c r="B54" s="2782" t="s">
        <v>474</v>
      </c>
      <c r="C54" s="2783" t="s">
        <v>1634</v>
      </c>
      <c r="D54" s="12"/>
      <c r="E54" s="12"/>
      <c r="F54" s="12"/>
      <c r="G54" s="12"/>
      <c r="H54" s="12"/>
      <c r="I54" s="12"/>
      <c r="J54" s="12"/>
      <c r="K54" s="12"/>
      <c r="L54" s="12"/>
      <c r="M54" s="12"/>
      <c r="N54" s="12"/>
    </row>
    <row r="55" spans="1:14" ht="45" customHeight="1">
      <c r="A55" s="3841"/>
      <c r="B55" s="2782" t="s">
        <v>478</v>
      </c>
      <c r="C55" s="3842" t="s">
        <v>1635</v>
      </c>
      <c r="D55" s="12"/>
      <c r="E55" s="12"/>
      <c r="F55" s="12"/>
      <c r="G55" s="12"/>
      <c r="H55" s="12"/>
      <c r="I55" s="12"/>
      <c r="J55" s="12"/>
      <c r="K55" s="12"/>
      <c r="L55" s="12"/>
      <c r="M55" s="12"/>
      <c r="N55" s="12"/>
    </row>
    <row r="56" spans="1:14" ht="45" customHeight="1">
      <c r="A56" s="3841"/>
      <c r="B56" s="2782" t="s">
        <v>480</v>
      </c>
      <c r="C56" s="3843"/>
    </row>
    <row r="57" spans="1:14" ht="45" customHeight="1">
      <c r="A57" s="3841"/>
      <c r="B57" s="2782" t="s">
        <v>484</v>
      </c>
      <c r="C57" s="2783" t="s">
        <v>1636</v>
      </c>
    </row>
    <row r="58" spans="1:14" ht="45" customHeight="1">
      <c r="A58" s="3841"/>
      <c r="B58" s="2782" t="s">
        <v>487</v>
      </c>
      <c r="C58" s="2783" t="s">
        <v>1637</v>
      </c>
    </row>
    <row r="59" spans="1:14" ht="45" customHeight="1">
      <c r="A59" s="3841"/>
      <c r="B59" s="2782" t="s">
        <v>373</v>
      </c>
      <c r="C59" s="2783" t="s">
        <v>1638</v>
      </c>
    </row>
    <row r="60" spans="1:14" ht="36.75" customHeight="1">
      <c r="A60" s="3841"/>
      <c r="B60" s="2782" t="s">
        <v>375</v>
      </c>
      <c r="C60" s="2783" t="s">
        <v>1639</v>
      </c>
    </row>
  </sheetData>
  <sheetProtection formatCells="0" formatColumns="0" formatRows="0" insertColumns="0" insertRows="0" insertHyperlinks="0" deleteColumns="0" deleteRows="0" selectLockedCells="1" sort="0" autoFilter="0" pivotTables="0"/>
  <mergeCells count="15">
    <mergeCell ref="A54:A60"/>
    <mergeCell ref="C55:C56"/>
    <mergeCell ref="B1:C1"/>
    <mergeCell ref="C48:C49"/>
    <mergeCell ref="A3:A14"/>
    <mergeCell ref="A15:A26"/>
    <mergeCell ref="A27:A41"/>
    <mergeCell ref="A42:A47"/>
    <mergeCell ref="A48:A53"/>
    <mergeCell ref="C15:C18"/>
    <mergeCell ref="C34:C37"/>
    <mergeCell ref="C27:C30"/>
    <mergeCell ref="C22:C23"/>
    <mergeCell ref="C10:C11"/>
    <mergeCell ref="C3:C6"/>
  </mergeCells>
  <hyperlinks>
    <hyperlink ref="C10" r:id="rId1"/>
    <hyperlink ref="C12" r:id="rId2"/>
    <hyperlink ref="C22" r:id="rId3"/>
    <hyperlink ref="C24" r:id="rId4"/>
    <hyperlink ref="C34:C37" r:id="rId5" display="D:\2. Data hoa nghiem\1. PP HÓA NGHIỆM CÁC BỒN-XLBM\HCL đặc, loãng-XT.pdf"/>
    <hyperlink ref="C9" r:id="rId6"/>
    <hyperlink ref="C3:C6" r:id="rId7" display="D:\2. Data hoa nghiem\1. PP HÓA NGHIỆM CÁC BỒN-XLBM\JASCO-XB,ĐG-XL-1E.pdf"/>
    <hyperlink ref="C8" r:id="rId8"/>
    <hyperlink ref="C20" r:id="rId9"/>
    <hyperlink ref="C32" r:id="rId10"/>
    <hyperlink ref="C40" r:id="rId11"/>
    <hyperlink ref="C7" r:id="rId12"/>
    <hyperlink ref="C19" r:id="rId13"/>
    <hyperlink ref="C31" r:id="rId14"/>
    <hyperlink ref="C27:C30" r:id="rId15" display="..\..\..\2. Data hoa nghiem\1. PP HÓA NGHIỆM CÁC BỒN-XLBM\XB,ĐG-1F,XT.pdf"/>
    <hyperlink ref="C33" r:id="rId16"/>
    <hyperlink ref="C21" r:id="rId17"/>
    <hyperlink ref="C13" r:id="rId18"/>
    <hyperlink ref="C25" r:id="rId19"/>
    <hyperlink ref="C38" r:id="rId20"/>
    <hyperlink ref="C14" r:id="rId21"/>
    <hyperlink ref="C39" r:id="rId22"/>
    <hyperlink ref="C26" r:id="rId23"/>
    <hyperlink ref="C44" r:id="rId24"/>
    <hyperlink ref="C42" r:id="rId25"/>
    <hyperlink ref="C43" r:id="rId26"/>
    <hyperlink ref="C45" r:id="rId27"/>
    <hyperlink ref="C46" r:id="rId28"/>
    <hyperlink ref="C51" r:id="rId29"/>
    <hyperlink ref="C52" r:id="rId30"/>
    <hyperlink ref="C53" r:id="rId31"/>
    <hyperlink ref="C48" r:id="rId32"/>
    <hyperlink ref="C50" r:id="rId33"/>
    <hyperlink ref="C41" r:id="rId34"/>
    <hyperlink ref="C54" r:id="rId35"/>
    <hyperlink ref="C55:C56" r:id="rId36" display="..\..\..\2. Data hoa nghiem\1. PP HÓA NGHIỆM CÁC BỒN-XLBM\xđ-xb2,3.pdf"/>
    <hyperlink ref="C57" r:id="rId37"/>
    <hyperlink ref="C58" r:id="rId38"/>
    <hyperlink ref="C59" r:id="rId39"/>
    <hyperlink ref="C60" r:id="rId40"/>
  </hyperlinks>
  <printOptions horizontalCentered="1"/>
  <pageMargins left="0.26" right="0.16" top="0.3" bottom="0.45" header="0.17" footer="0.27559055118110237"/>
  <pageSetup paperSize="9" scale="42" orientation="portrait" verticalDpi="300" r:id="rId41"/>
  <headerFooter alignWithMargins="0"/>
  <drawing r:id="rId4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20</vt:i4>
      </vt:variant>
    </vt:vector>
  </HeadingPairs>
  <TitlesOfParts>
    <vt:vector size="73" baseType="lpstr">
      <vt:lpstr>PT TAP CHAT</vt:lpstr>
      <vt:lpstr>1</vt:lpstr>
      <vt:lpstr>2</vt:lpstr>
      <vt:lpstr>3</vt:lpstr>
      <vt:lpstr>4</vt:lpstr>
      <vt:lpstr>5</vt:lpstr>
      <vt:lpstr>6</vt:lpstr>
      <vt:lpstr>7</vt:lpstr>
      <vt:lpstr>8</vt:lpstr>
      <vt:lpstr>MENU</vt:lpstr>
      <vt:lpstr>XM.HN</vt:lpstr>
      <vt:lpstr>XM.FILE GOC</vt:lpstr>
      <vt:lpstr>1. XL-1E kh</vt:lpstr>
      <vt:lpstr>2. XL-1F kh</vt:lpstr>
      <vt:lpstr>3.XT-C KH</vt:lpstr>
      <vt:lpstr>XM.GUI MAIL</vt:lpstr>
      <vt:lpstr>1. XL-1E TT</vt:lpstr>
      <vt:lpstr>2. XL-1F TT </vt:lpstr>
      <vt:lpstr>3.XT-C TT</vt:lpstr>
      <vt:lpstr>4.ZN-NI tt(CA1)</vt:lpstr>
      <vt:lpstr>1. XL-1E TT(CA2)</vt:lpstr>
      <vt:lpstr>2. XL-1F TT(CA2)</vt:lpstr>
      <vt:lpstr>3.XT-C TT(CA2)</vt:lpstr>
      <vt:lpstr>4.ZN-NI tt(CA2)</vt:lpstr>
      <vt:lpstr>XM.chart</vt:lpstr>
      <vt:lpstr>XM.chart 1</vt:lpstr>
      <vt:lpstr>BS-XT</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tg import</vt:lpstr>
      <vt:lpstr>IT.NONG DO</vt:lpstr>
      <vt:lpstr>IT.NHIET DO</vt:lpstr>
      <vt:lpstr>4. Zn-Ni</vt:lpstr>
      <vt:lpstr>3'.XT-C KH-HL</vt:lpstr>
      <vt:lpstr>3''.XT-C KH-JC </vt:lpstr>
      <vt:lpstr>SOP HOA NGHIEM</vt:lpstr>
      <vt:lpstr>'SOP HOA NGHIEM'!_XM_XT_THUCTE</vt:lpstr>
      <vt:lpstr>_XM_XT_THUCTE</vt:lpstr>
      <vt:lpstr>'1. XL-1E kh'!Print_Area</vt:lpstr>
      <vt:lpstr>'2. XL-1F kh'!Print_Area</vt:lpstr>
      <vt:lpstr>'2.RL E'!Print_Area</vt:lpstr>
      <vt:lpstr>'2.RL E tt'!Print_Area</vt:lpstr>
      <vt:lpstr>'3.RL G'!Print_Area</vt:lpstr>
      <vt:lpstr>'3.RL G tt'!Print_Area</vt:lpstr>
      <vt:lpstr>'3''.XT-C KH-HL'!Print_Area</vt:lpstr>
      <vt:lpstr>'3''''.XT-C KH-JC '!Print_Area</vt:lpstr>
      <vt:lpstr>'4. Zn-Ni'!Print_Area</vt:lpstr>
      <vt:lpstr>'4.RL F'!Print_Area</vt:lpstr>
      <vt:lpstr>'4.RL F tt'!Print_Area</vt:lpstr>
      <vt:lpstr>'4.ZN-NI tt(CA1)'!Print_Area</vt:lpstr>
      <vt:lpstr>'4.ZN-NI tt(CA2)'!Print_Area</vt:lpstr>
      <vt:lpstr>'5.ML'!Print_Area</vt:lpstr>
      <vt:lpstr>'5.ML tt'!Print_Area</vt:lpstr>
      <vt:lpstr>'ACID Đ.VAO'!Print_Area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CXUser</cp:lastModifiedBy>
  <cp:lastPrinted>2024-05-22T19:21:08Z</cp:lastPrinted>
  <dcterms:created xsi:type="dcterms:W3CDTF">2008-06-29T07:33:16Z</dcterms:created>
  <dcterms:modified xsi:type="dcterms:W3CDTF">2024-05-22T22:29:53Z</dcterms:modified>
</cp:coreProperties>
</file>